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Damage Calculations" sheetId="2" state="visible" r:id="rId4"/>
    <sheet name="Tenaska's i Adjustment" sheetId="3" state="visible" r:id="rId5"/>
    <sheet name="Brazos' i Adjustment" sheetId="4" state="visible" r:id="rId6"/>
    <sheet name="Offer Comparison" sheetId="5" state="visible" r:id="rId7"/>
    <sheet name="PPE-ENA Offer" sheetId="6" state="visible" r:id="rId8"/>
    <sheet name="Cedar Brakes" sheetId="7" state="visible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function="false" hidden="false" localSheetId="3" name="_xlnm.Print_Area" vbProcedure="false">'Brazos'' i Adjustment'!$A$1:$Z$55</definedName>
    <definedName function="false" hidden="false" localSheetId="6" name="_xlnm.Print_Area" vbProcedure="false">'Cedar Brakes'!$A$1:$J$43</definedName>
    <definedName function="false" hidden="false" localSheetId="1" name="_xlnm.Print_Area" vbProcedure="false">'Damage Calculations'!$A$1:$AC$81</definedName>
    <definedName function="false" hidden="false" localSheetId="4" name="_xlnm.Print_Area" vbProcedure="false">'Offer Comparison'!$A$1:$K$43</definedName>
    <definedName function="false" hidden="false" localSheetId="4" name="_xlnm.Print_Titles" vbProcedure="false">'Offer Comparison'!$6:$7</definedName>
    <definedName function="false" hidden="false" localSheetId="0" name="_xlnm.Print_Area" vbProcedure="false">Summary!$A$1:$S$71</definedName>
    <definedName function="false" hidden="false" localSheetId="2" name="_xlnm.Print_Area" vbProcedure="false">'Tenaska''s i Adjustment'!$A$1:$Z$55</definedName>
    <definedName function="false" hidden="false" name="BegDate" vbProcedure="false">[2]MAIN!$C$7</definedName>
    <definedName function="false" hidden="false" name="Book_Basis_Plant1" vbProcedure="false">[1]Assumptions!$J$26</definedName>
    <definedName function="false" hidden="false" name="Book_Basis_Plant2" vbProcedure="false">[1]Assumptions!$K$26</definedName>
    <definedName function="false" hidden="false" name="Book_Basis_Plant3" vbProcedure="false">[1]Assumptions!$L$26</definedName>
    <definedName function="false" hidden="false" name="CC" vbProcedure="false">#REF!</definedName>
    <definedName function="false" hidden="false" name="Choices_Wrapper" vbProcedure="false">Choices_Wrapper</definedName>
    <definedName function="false" hidden="false" name="Coal_Esc" vbProcedure="false">[1]Assumptions!$F$25</definedName>
    <definedName function="false" hidden="false" name="Com_OpDate_1" vbProcedure="false">'[1]Summary &amp; Control'!$D$41</definedName>
    <definedName function="false" hidden="false" name="Com_OpDate_2" vbProcedure="false">'[1]Summary &amp; Control'!$E$41</definedName>
    <definedName function="false" hidden="false" name="Com_OpDate_3" vbProcedure="false">'[1]Summary &amp; Control'!$F$41</definedName>
    <definedName function="false" hidden="false" name="DateToday" vbProcedure="false">[3]MAIN!$C$2</definedName>
    <definedName function="false" hidden="false" name="Disc_Rate_Base" vbProcedure="false">[1]Assumptions!$L$7</definedName>
    <definedName function="false" hidden="false" name="Disc_Rate_Restruct" vbProcedure="false">[1]Assumptions!$R$20</definedName>
    <definedName function="false" hidden="false" name="Dispatch_Plant1" vbProcedure="false">[1]Assumptions!$F$81</definedName>
    <definedName function="false" hidden="false" name="Dispatch_Plant2" vbProcedure="false">[1]Assumptions!$L$81</definedName>
    <definedName function="false" hidden="false" name="Dispatch_Plant3" vbProcedure="false">[1]Assumptions!$R$81</definedName>
    <definedName function="false" hidden="false" name="driftswitch" vbProcedure="false">#REF!</definedName>
    <definedName function="false" hidden="false" name="EndDate" vbProcedure="false">[2]MAIN!$C$8</definedName>
    <definedName function="false" hidden="false" name="EXP" vbProcedure="false">#REF!</definedName>
    <definedName function="false" hidden="false" name="GasSwitch" vbProcedure="false">#REF!</definedName>
    <definedName function="false" hidden="false" name="Gas_Esc" vbProcedure="false">[1]Assumptions!$F$26</definedName>
    <definedName function="false" hidden="false" name="INT" vbProcedure="false">#REF!</definedName>
    <definedName function="false" hidden="false" name="Int_Rate_NewDebt" vbProcedure="false">[1]Assumptions!$F$21</definedName>
    <definedName function="false" hidden="false" name="Master_Check" vbProcedure="false">'[1]Summary &amp; Control'!$W$1</definedName>
    <definedName function="false" hidden="false" name="OilSwitch" vbProcedure="false">#REF!</definedName>
    <definedName function="false" hidden="false" name="Outages_Plant1" vbProcedure="false">[1]Assumptions!$F$82</definedName>
    <definedName function="false" hidden="false" name="Outages_Plant2" vbProcedure="false">[1]Assumptions!$L$82</definedName>
    <definedName function="false" hidden="false" name="Outages_Plant3" vbProcedure="false">[1]Assumptions!$R$82</definedName>
    <definedName function="false" hidden="false" name="Ownership_Plant1" vbProcedure="false">'[1]Summary &amp; Control'!$D$49</definedName>
    <definedName function="false" hidden="false" name="Ownership_Plant2" vbProcedure="false">'[1]Summary &amp; Control'!$E$49</definedName>
    <definedName function="false" hidden="false" name="Ownership_Plant3" vbProcedure="false">'[1]Summary &amp; Control'!$F$49</definedName>
    <definedName function="false" hidden="false" name="PAGE1" vbProcedure="false">#REF!</definedName>
    <definedName function="false" hidden="false" name="PAGE10" vbProcedure="false">#REF!</definedName>
    <definedName function="false" hidden="false" name="PAGE11" vbProcedure="false">#REF!</definedName>
    <definedName function="false" hidden="false" name="PAGE12" vbProcedure="false">#REF!</definedName>
    <definedName function="false" hidden="false" name="PAGE14" vbProcedure="false">#REF!</definedName>
    <definedName function="false" hidden="false" name="PAGE15" vbProcedure="false">#REF!</definedName>
    <definedName function="false" hidden="false" name="PAGE1A" vbProcedure="false">#REF!</definedName>
    <definedName function="false" hidden="false" name="PAGE2" vbProcedure="false">#REF!</definedName>
    <definedName function="false" hidden="false" name="PAGE3" vbProcedure="false">#REF!</definedName>
    <definedName function="false" hidden="false" name="PAGE4" vbProcedure="false">#REF!</definedName>
    <definedName function="false" hidden="false" name="PAGE5" vbProcedure="false">#REF!</definedName>
    <definedName function="false" hidden="false" name="PAGE6" vbProcedure="false">#REF!</definedName>
    <definedName function="false" hidden="false" name="PAGE7" vbProcedure="false">#REF!</definedName>
    <definedName function="false" hidden="false" name="PAGE8" vbProcedure="false">#REF!</definedName>
    <definedName function="false" hidden="false" name="PAGE9" vbProcedure="false">#REF!</definedName>
    <definedName function="false" hidden="false" name="PAGET1" vbProcedure="false">#REF!</definedName>
    <definedName function="false" hidden="false" name="PAGET2" vbProcedure="false">#REF!</definedName>
    <definedName function="false" hidden="false" name="PAGET3" vbProcedure="false">#REF!</definedName>
    <definedName function="false" hidden="false" name="PAGET4" vbProcedure="false">#REF!</definedName>
    <definedName function="false" hidden="false" name="Plant1" vbProcedure="false">'[1]Summary &amp; Control'!$D$39</definedName>
    <definedName function="false" hidden="false" name="Plant1_Toggle" vbProcedure="false">'[1]Summary &amp; Control'!$D$48</definedName>
    <definedName function="false" hidden="false" name="Plant2" vbProcedure="false">'[1]Summary &amp; Control'!$E$39</definedName>
    <definedName function="false" hidden="false" name="Plant2_Toggle" vbProcedure="false">'[1]Summary &amp; Control'!$E$48</definedName>
    <definedName function="false" hidden="false" name="Plant3" vbProcedure="false">'[1]Summary &amp; Control'!$F$39</definedName>
    <definedName function="false" hidden="false" name="Plant3_Toggle" vbProcedure="false">'[1]Summary &amp; Control'!$F$48</definedName>
    <definedName function="false" hidden="false" name="Plants_Purchased" vbProcedure="false">'[1]Summary &amp; Control'!$W$4</definedName>
    <definedName function="false" hidden="false" name="PRINC" vbProcedure="false">#REF!</definedName>
    <definedName function="false" hidden="false" name="Restruct_Yr" vbProcedure="false">[1]Assumptions!$R$13</definedName>
    <definedName function="false" hidden="false" name="Seller" vbProcedure="false">[1]Assumptions!$L$8</definedName>
    <definedName function="false" hidden="false" name="shiftswitch2" vbProcedure="false">#REF!</definedName>
    <definedName function="false" hidden="false" name="SUMMAR" vbProcedure="false">#REF!</definedName>
    <definedName function="false" hidden="false" name="Tax_Basis_Plant1" vbProcedure="false">[1]Assumptions!$J$25</definedName>
    <definedName function="false" hidden="false" name="Tax_Basis_Plant2" vbProcedure="false">[1]Assumptions!$K$25</definedName>
    <definedName function="false" hidden="false" name="Tax_Basis_Plant3" vbProcedure="false">[1]Assumptions!$L$25</definedName>
    <definedName function="false" hidden="false" name="Tax_Rate_Fed" vbProcedure="false">[1]Assumptions!$K$31</definedName>
    <definedName function="false" hidden="false" name="Tax_Rate_State1" vbProcedure="false">[1]Assumptions!$J$34</definedName>
    <definedName function="false" hidden="false" name="Tax_Rate_State2" vbProcedure="false">[1]Assumptions!$K$34</definedName>
    <definedName function="false" hidden="false" name="Tax_Rate_State3" vbProcedure="false">[1]Assumptions!$L$34</definedName>
    <definedName function="false" hidden="false" name="Terminal_Yr_Plant1" vbProcedure="false">'[1]Summary &amp; Control'!$D$50</definedName>
    <definedName function="false" hidden="false" name="Terminal_Yr_Plant2" vbProcedure="false">'[1]Summary &amp; Control'!$E$50</definedName>
    <definedName function="false" hidden="false" name="Terminal_Yr_Plant3" vbProcedure="false">'[1]Summary &amp; Control'!$F$50</definedName>
    <definedName function="false" hidden="false" name="\P" vbProcedure="false">#REF!</definedName>
    <definedName function="false" hidden="false" name="_Table1_In1" vbProcedure="false">#REF!</definedName>
    <definedName function="false" hidden="false" localSheetId="0" name="Book_Basis_Plant1" vbProcedure="false">[4]Assumptions!$J$26</definedName>
    <definedName function="false" hidden="false" localSheetId="0" name="Book_Basis_Plant2" vbProcedure="false">[4]Assumptions!$K$26</definedName>
    <definedName function="false" hidden="false" localSheetId="0" name="Book_Basis_Plant3" vbProcedure="false">[4]Assumptions!$L$26</definedName>
    <definedName function="false" hidden="false" localSheetId="0" name="Choices_Wrapper" vbProcedure="false">Choices_Wrapper</definedName>
    <definedName function="false" hidden="false" localSheetId="0" name="Coal_Esc" vbProcedure="false">[4]Assumptions!$F$25</definedName>
    <definedName function="false" hidden="false" localSheetId="0" name="Com_OpDate_1" vbProcedure="false">'[4]Summary &amp; Control'!$D$41</definedName>
    <definedName function="false" hidden="false" localSheetId="0" name="Com_OpDate_2" vbProcedure="false">'[4]Summary &amp; Control'!$E$41</definedName>
    <definedName function="false" hidden="false" localSheetId="0" name="Com_OpDate_3" vbProcedure="false">'[4]Summary &amp; Control'!$F$41</definedName>
    <definedName function="false" hidden="false" localSheetId="0" name="Disc_Rate_Base" vbProcedure="false">[4]Assumptions!$L$7</definedName>
    <definedName function="false" hidden="false" localSheetId="0" name="Disc_Rate_Restruct" vbProcedure="false">[4]Assumptions!$R$20</definedName>
    <definedName function="false" hidden="false" localSheetId="0" name="Dispatch_Plant1" vbProcedure="false">[4]Assumptions!$F$81</definedName>
    <definedName function="false" hidden="false" localSheetId="0" name="Dispatch_Plant2" vbProcedure="false">[4]Assumptions!$L$81</definedName>
    <definedName function="false" hidden="false" localSheetId="0" name="Dispatch_Plant3" vbProcedure="false">[4]Assumptions!$R$81</definedName>
    <definedName function="false" hidden="false" localSheetId="0" name="Gas_Esc" vbProcedure="false">[4]Assumptions!$F$26</definedName>
    <definedName function="false" hidden="false" localSheetId="0" name="Int_Rate_NewDebt" vbProcedure="false">[4]Assumptions!$F$21</definedName>
    <definedName function="false" hidden="false" localSheetId="0" name="Master_Check" vbProcedure="false">'[4]Summary &amp; Control'!$W$1</definedName>
    <definedName function="false" hidden="false" localSheetId="0" name="Outages_Plant1" vbProcedure="false">[4]Assumptions!$F$82</definedName>
    <definedName function="false" hidden="false" localSheetId="0" name="Outages_Plant2" vbProcedure="false">[4]Assumptions!$L$82</definedName>
    <definedName function="false" hidden="false" localSheetId="0" name="Outages_Plant3" vbProcedure="false">[4]Assumptions!$R$82</definedName>
    <definedName function="false" hidden="false" localSheetId="0" name="Ownership_Plant1" vbProcedure="false">'[4]Summary &amp; Control'!$D$49</definedName>
    <definedName function="false" hidden="false" localSheetId="0" name="Ownership_Plant2" vbProcedure="false">'[4]Summary &amp; Control'!$E$49</definedName>
    <definedName function="false" hidden="false" localSheetId="0" name="Ownership_Plant3" vbProcedure="false">'[4]Summary &amp; Control'!$F$49</definedName>
    <definedName function="false" hidden="false" localSheetId="0" name="Plant1" vbProcedure="false">'[4]Summary &amp; Control'!$D$39</definedName>
    <definedName function="false" hidden="false" localSheetId="0" name="Plant1_Toggle" vbProcedure="false">'[4]Summary &amp; Control'!$D$48</definedName>
    <definedName function="false" hidden="false" localSheetId="0" name="Plant2" vbProcedure="false">'[4]Summary &amp; Control'!$E$39</definedName>
    <definedName function="false" hidden="false" localSheetId="0" name="Plant2_Toggle" vbProcedure="false">'[4]Summary &amp; Control'!$E$48</definedName>
    <definedName function="false" hidden="false" localSheetId="0" name="Plant3" vbProcedure="false">'[4]Summary &amp; Control'!$F$39</definedName>
    <definedName function="false" hidden="false" localSheetId="0" name="Plant3_Toggle" vbProcedure="false">'[4]Summary &amp; Control'!$F$48</definedName>
    <definedName function="false" hidden="false" localSheetId="0" name="Plants_Purchased" vbProcedure="false">'[4]Summary &amp; Control'!$W$4</definedName>
    <definedName function="false" hidden="false" localSheetId="0" name="Restruct_Yr" vbProcedure="false">[4]Assumptions!$R$13</definedName>
    <definedName function="false" hidden="false" localSheetId="0" name="Seller" vbProcedure="false">[4]Assumptions!$L$8</definedName>
    <definedName function="false" hidden="false" localSheetId="0" name="Tax_Basis_Plant1" vbProcedure="false">[4]Assumptions!$J$25</definedName>
    <definedName function="false" hidden="false" localSheetId="0" name="Tax_Basis_Plant2" vbProcedure="false">[4]Assumptions!$K$25</definedName>
    <definedName function="false" hidden="false" localSheetId="0" name="Tax_Basis_Plant3" vbProcedure="false">[4]Assumptions!$L$25</definedName>
    <definedName function="false" hidden="false" localSheetId="0" name="Tax_Rate_Fed" vbProcedure="false">[4]Assumptions!$K$31</definedName>
    <definedName function="false" hidden="false" localSheetId="0" name="Tax_Rate_State1" vbProcedure="false">[4]Assumptions!$J$34</definedName>
    <definedName function="false" hidden="false" localSheetId="0" name="Tax_Rate_State2" vbProcedure="false">[4]Assumptions!$K$34</definedName>
    <definedName function="false" hidden="false" localSheetId="0" name="Tax_Rate_State3" vbProcedure="false">[4]Assumptions!$L$34</definedName>
    <definedName function="false" hidden="false" localSheetId="0" name="Terminal_Yr_Plant1" vbProcedure="false">'[4]Summary &amp; Control'!$D$50</definedName>
    <definedName function="false" hidden="false" localSheetId="0" name="Terminal_Yr_Plant2" vbProcedure="false">'[4]Summary &amp; Control'!$E$50</definedName>
    <definedName function="false" hidden="false" localSheetId="0" name="Terminal_Yr_Plant3" vbProcedure="false">'[4]Summary &amp; Control'!$F$50</definedName>
    <definedName function="false" hidden="false" localSheetId="3" name="Choices_Wrapper" vbProcedure="false">Choices_Wrapper</definedName>
  </definedNames>
  <calcPr iterateCount="100" refMode="A1" iterate="true" iterateDelta="0.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2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8</xdr:row>
                <xdr:rowOff>15</xdr:rowOff>
              </xdr:from>
              <xdr:to>
                <xdr:col>3</xdr:col>
                <xdr:colOff>56</xdr:colOff>
                <xdr:row>13</xdr:row>
                <xdr:rowOff>2</xdr:rowOff>
              </xdr:to>
            </anchor>
          </commentPr>
        </mc:Choice>
        <mc:Fallback/>
      </mc:AlternateContent>
    </comment>
    <comment ref="B13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9</xdr:row>
                <xdr:rowOff>16</xdr:rowOff>
              </xdr:from>
              <xdr:to>
                <xdr:col>3</xdr:col>
                <xdr:colOff>56</xdr:colOff>
                <xdr:row>14</xdr:row>
                <xdr:rowOff>2</xdr:rowOff>
              </xdr:to>
            </anchor>
          </commentPr>
        </mc:Choice>
        <mc:Fallback/>
      </mc:AlternateContent>
    </comment>
    <comment ref="B16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12</xdr:row>
                <xdr:rowOff>12</xdr:rowOff>
              </xdr:from>
              <xdr:to>
                <xdr:col>3</xdr:col>
                <xdr:colOff>56</xdr:colOff>
                <xdr:row>16</xdr:row>
                <xdr:rowOff>15</xdr:rowOff>
              </xdr:to>
            </anchor>
          </commentPr>
        </mc:Choice>
        <mc:Fallback/>
      </mc:AlternateContent>
    </comment>
    <comment ref="B17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13</xdr:row>
                <xdr:rowOff>15</xdr:rowOff>
              </xdr:from>
              <xdr:to>
                <xdr:col>3</xdr:col>
                <xdr:colOff>56</xdr:colOff>
                <xdr:row>18</xdr:row>
                <xdr:rowOff>1</xdr:rowOff>
              </xdr:to>
            </anchor>
          </commentPr>
        </mc:Choice>
        <mc:Fallback/>
      </mc:AlternateContent>
    </comment>
    <comment ref="B20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18</xdr:row>
                <xdr:rowOff>5</xdr:rowOff>
              </xdr:from>
              <xdr:to>
                <xdr:col>3</xdr:col>
                <xdr:colOff>56</xdr:colOff>
                <xdr:row>22</xdr:row>
                <xdr:rowOff>7</xdr:rowOff>
              </xdr:to>
            </anchor>
          </commentPr>
        </mc:Choice>
        <mc:Fallback/>
      </mc:AlternateContent>
    </comment>
    <comment ref="B21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18</xdr:row>
                <xdr:rowOff>19</xdr:rowOff>
              </xdr:from>
              <xdr:to>
                <xdr:col>3</xdr:col>
                <xdr:colOff>56</xdr:colOff>
                <xdr:row>23</xdr:row>
                <xdr:rowOff>2</xdr:rowOff>
              </xdr:to>
            </anchor>
          </commentPr>
        </mc:Choice>
        <mc:Fallback/>
      </mc:AlternateContent>
    </comment>
    <comment ref="B24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20</xdr:row>
                <xdr:rowOff>10</xdr:rowOff>
              </xdr:from>
              <xdr:to>
                <xdr:col>3</xdr:col>
                <xdr:colOff>56</xdr:colOff>
                <xdr:row>24</xdr:row>
                <xdr:rowOff>8</xdr:rowOff>
              </xdr:to>
            </anchor>
          </commentPr>
        </mc:Choice>
        <mc:Fallback/>
      </mc:AlternateContent>
    </comment>
    <comment ref="B25" authorId="0">
      <text>
        <r>
          <rPr>
            <b val="true"/>
            <sz val="8"/>
            <color rgb="FF000000"/>
            <rFont val="Tahoma"/>
            <family val="0"/>
          </rPr>
          <t xml:space="preserve">ENA:
</t>
        </r>
        <r>
          <rPr>
            <sz val="8"/>
            <color rgb="FF000000"/>
            <rFont val="Tahoma"/>
            <family val="0"/>
          </rPr>
          <t xml:space="preserve">Enter "Yes" or "No"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21</xdr:row>
                <xdr:rowOff>11</xdr:rowOff>
              </xdr:from>
              <xdr:to>
                <xdr:col>3</xdr:col>
                <xdr:colOff>56</xdr:colOff>
                <xdr:row>25</xdr:row>
                <xdr:rowOff>8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28" authorId="0">
      <text>
        <r>
          <rPr>
            <b val="true"/>
            <sz val="8"/>
            <color rgb="FF000000"/>
            <rFont val="Tahoma"/>
            <family val="0"/>
          </rPr>
          <t xml:space="preserve">jking4:
</t>
        </r>
        <r>
          <rPr>
            <sz val="8"/>
            <color rgb="FF000000"/>
            <rFont val="Tahoma"/>
            <family val="0"/>
          </rPr>
          <t xml:space="preserve">$20 MM per Brazos evaluation.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26</xdr:row>
                <xdr:rowOff>15</xdr:rowOff>
              </xdr:from>
              <xdr:to>
                <xdr:col>9</xdr:col>
                <xdr:colOff>14</xdr:colOff>
                <xdr:row>31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<sst xmlns="http://schemas.openxmlformats.org/spreadsheetml/2006/main" count="315" uniqueCount="145">
  <si>
    <t xml:space="preserve">Cleburne Plant</t>
  </si>
  <si>
    <t xml:space="preserve">Damage Sensitivities</t>
  </si>
  <si>
    <t xml:space="preserve">(Dollars in Thousands)</t>
  </si>
  <si>
    <t xml:space="preserve">THIS INFORMATION IS CONFIDENTIAL PER SECTION 5 OF THE FACILITATION AGREEMENT</t>
  </si>
  <si>
    <t xml:space="preserve">Base Case Plant Capacity (kW)</t>
  </si>
  <si>
    <t xml:space="preserve">Base Case Discount Rate</t>
  </si>
  <si>
    <t xml:space="preserve">Plant Capacity</t>
  </si>
  <si>
    <t xml:space="preserve">245 MW</t>
  </si>
  <si>
    <t xml:space="preserve">258 MW</t>
  </si>
  <si>
    <t xml:space="preserve">263 MW</t>
  </si>
  <si>
    <t xml:space="preserve">Date of Measurement</t>
  </si>
  <si>
    <t xml:space="preserve">ML Proforma</t>
  </si>
  <si>
    <t xml:space="preserve">As Financed</t>
  </si>
  <si>
    <t xml:space="preserve">Question 1:</t>
  </si>
  <si>
    <t xml:space="preserve">What equity value is implied under</t>
  </si>
  <si>
    <t xml:space="preserve">Section 11.02(i)(a), both at inception</t>
  </si>
  <si>
    <t xml:space="preserve">and point forward?</t>
  </si>
  <si>
    <t xml:space="preserve">Excluding Interest Rate Adjustment</t>
  </si>
  <si>
    <t xml:space="preserve">Less:  Project-Level Debt</t>
  </si>
  <si>
    <t xml:space="preserve">Less:  SWAP Unwind Costs</t>
  </si>
  <si>
    <t xml:space="preserve">Implied Equity Value</t>
  </si>
  <si>
    <t xml:space="preserve">Question 2:</t>
  </si>
  <si>
    <t xml:space="preserve">Status quo, what level of damages</t>
  </si>
  <si>
    <t xml:space="preserve">Base Case</t>
  </si>
  <si>
    <t xml:space="preserve">is implied under Section 11.02(i)(a)?</t>
  </si>
  <si>
    <t xml:space="preserve">Question 3:</t>
  </si>
  <si>
    <t xml:space="preserve">How would the answer to Question 2</t>
  </si>
  <si>
    <r>
      <rPr>
        <b val="true"/>
        <sz val="10"/>
        <rFont val="Arial"/>
        <family val="2"/>
      </rPr>
      <t xml:space="preserve">change if the</t>
    </r>
    <r>
      <rPr>
        <b val="true"/>
        <u val="single"/>
        <sz val="10"/>
        <rFont val="Arial"/>
        <family val="2"/>
      </rPr>
      <t xml:space="preserve"> interest rate adjustment</t>
    </r>
  </si>
  <si>
    <t xml:space="preserve">to Capacity Payments was modified?</t>
  </si>
  <si>
    <t xml:space="preserve">Question 4:</t>
  </si>
  <si>
    <r>
      <rPr>
        <b val="true"/>
        <sz val="10"/>
        <rFont val="Arial"/>
        <family val="2"/>
      </rPr>
      <t xml:space="preserve">change if there were </t>
    </r>
    <r>
      <rPr>
        <b val="true"/>
        <u val="single"/>
        <sz val="10"/>
        <rFont val="Arial"/>
        <family val="2"/>
      </rPr>
      <t xml:space="preserve">no interest rate</t>
    </r>
  </si>
  <si>
    <t xml:space="preserve">adjustment to Capacity Payments?</t>
  </si>
  <si>
    <t xml:space="preserve">Difference from Base Case (Assumes 12/31/00 Breach)</t>
  </si>
  <si>
    <t xml:space="preserve">Status Quo</t>
  </si>
  <si>
    <t xml:space="preserve">Modified i Adjustment</t>
  </si>
  <si>
    <t xml:space="preserve">No i Adjustment</t>
  </si>
  <si>
    <t xml:space="preserve">Base Case Variables</t>
  </si>
  <si>
    <t xml:space="preserve">Sensitivity to Plant Capacity</t>
  </si>
  <si>
    <t xml:space="preserve">Plant Capacity (PC)</t>
  </si>
  <si>
    <t xml:space="preserve">kW</t>
  </si>
  <si>
    <t xml:space="preserve">Discount Rate</t>
  </si>
  <si>
    <t xml:space="preserve">Question 1</t>
  </si>
  <si>
    <t xml:space="preserve">@ 12/31/96</t>
  </si>
  <si>
    <t xml:space="preserve">@ 12/31/00</t>
  </si>
  <si>
    <t xml:space="preserve">Include Interest Rate Adjustment?</t>
  </si>
  <si>
    <t xml:space="preserve">No</t>
  </si>
  <si>
    <t xml:space="preserve">What equity value is implied under Sectoin 11.02(I)(a), both at</t>
  </si>
  <si>
    <t xml:space="preserve">PC (kW) =</t>
  </si>
  <si>
    <t xml:space="preserve">Include Apache Savings?</t>
  </si>
  <si>
    <t xml:space="preserve">inception and point forward?</t>
  </si>
  <si>
    <t xml:space="preserve">Question 2</t>
  </si>
  <si>
    <t xml:space="preserve">Yes</t>
  </si>
  <si>
    <r>
      <rPr>
        <u val="single"/>
        <sz val="10"/>
        <rFont val="Arial"/>
        <family val="2"/>
      </rPr>
      <t xml:space="preserve">Status quo</t>
    </r>
    <r>
      <rPr>
        <sz val="10"/>
        <rFont val="Arial"/>
        <family val="0"/>
      </rPr>
      <t xml:space="preserve">, what level of damages is implied under Section</t>
    </r>
  </si>
  <si>
    <t xml:space="preserve">11.02(i)(a)?</t>
  </si>
  <si>
    <t xml:space="preserve">Question 3</t>
  </si>
  <si>
    <t xml:space="preserve">Include Interest Rate Modification?</t>
  </si>
  <si>
    <t xml:space="preserve">How would the answer to Question 2 change if the interest rate</t>
  </si>
  <si>
    <t xml:space="preserve">adjustment to Capacity Payments was modified?</t>
  </si>
  <si>
    <t xml:space="preserve">Question 4</t>
  </si>
  <si>
    <r>
      <rPr>
        <sz val="10"/>
        <rFont val="Arial"/>
        <family val="0"/>
      </rPr>
      <t xml:space="preserve">How would the answer to Question 2 change is there were </t>
    </r>
    <r>
      <rPr>
        <u val="single"/>
        <sz val="10"/>
        <rFont val="Arial"/>
        <family val="2"/>
      </rPr>
      <t xml:space="preserve">no</t>
    </r>
  </si>
  <si>
    <r>
      <rPr>
        <u val="single"/>
        <sz val="10"/>
        <rFont val="Arial"/>
        <family val="2"/>
      </rPr>
      <t xml:space="preserve">interest rate adjustment</t>
    </r>
    <r>
      <rPr>
        <sz val="10"/>
        <rFont val="Arial"/>
        <family val="2"/>
      </rPr>
      <t xml:space="preserve"> to Capacity Payments?</t>
    </r>
  </si>
  <si>
    <t xml:space="preserve">Question 1 - At Inception</t>
  </si>
  <si>
    <t xml:space="preserve">Contract Capacity Rates</t>
  </si>
  <si>
    <t xml:space="preserve">$/kW-mo.</t>
  </si>
  <si>
    <t xml:space="preserve">Interest Rate Adjustment</t>
  </si>
  <si>
    <t xml:space="preserve">(1=Included, 0=Excluded)</t>
  </si>
  <si>
    <t xml:space="preserve">Apache Savings</t>
  </si>
  <si>
    <t xml:space="preserve">O &amp; M Adjustment</t>
  </si>
  <si>
    <t xml:space="preserve">Adjusted Capacity Rate</t>
  </si>
  <si>
    <t xml:space="preserve">Months in the Year</t>
  </si>
  <si>
    <t xml:space="preserve">Yearly Capacity Payments</t>
  </si>
  <si>
    <t xml:space="preserve">Monthly Capacity Payments</t>
  </si>
  <si>
    <t xml:space="preserve">Question 2 - Status Quo</t>
  </si>
  <si>
    <t xml:space="preserve">Question 3 - Modified Interest Rate Adjustment</t>
  </si>
  <si>
    <t xml:space="preserve">(1=Modified, 0=Not Modified)</t>
  </si>
  <si>
    <t xml:space="preserve">Question 4 - No Interest Rate Adjustment</t>
  </si>
  <si>
    <t xml:space="preserve">Apache Savings Variables</t>
  </si>
  <si>
    <t xml:space="preserve">XNPV Variables:</t>
  </si>
  <si>
    <t xml:space="preserve">Date</t>
  </si>
  <si>
    <t xml:space="preserve">Tenaska's Interest Rate Adjustment</t>
  </si>
  <si>
    <t xml:space="preserve">Chase Manhattan</t>
  </si>
  <si>
    <t xml:space="preserve">Yearly Principal Repayment %</t>
  </si>
  <si>
    <t xml:space="preserve">Quarter 1 Principal Repayment </t>
  </si>
  <si>
    <t xml:space="preserve">Quarter 2 Principal Repayment </t>
  </si>
  <si>
    <t xml:space="preserve">Quarter 3 Principal Repayment </t>
  </si>
  <si>
    <t xml:space="preserve">Quarter 4 Principal Repayment </t>
  </si>
  <si>
    <t xml:space="preserve">Quarter 1 Debt Balance </t>
  </si>
  <si>
    <t xml:space="preserve">Quarter 2 Debt Balance </t>
  </si>
  <si>
    <t xml:space="preserve">Quarter 3 Debt Balance </t>
  </si>
  <si>
    <t xml:space="preserve">Quarter 4 Debt Balance </t>
  </si>
  <si>
    <t xml:space="preserve">COBANK</t>
  </si>
  <si>
    <t xml:space="preserve">Total (CHASE &amp; COBANK)</t>
  </si>
  <si>
    <t xml:space="preserve">Days:</t>
  </si>
  <si>
    <t xml:space="preserve">Average Annual Unpaid Principal</t>
  </si>
  <si>
    <t xml:space="preserve">Per This Worksheet</t>
  </si>
  <si>
    <t xml:space="preserve">Per June 27, 1996 Letter to Brazos (Lenox)</t>
  </si>
  <si>
    <t xml:space="preserve">Difference</t>
  </si>
  <si>
    <t xml:space="preserve">Variables Used in Calculation</t>
  </si>
  <si>
    <t xml:space="preserve">Amortization A (Construction Loan)</t>
  </si>
  <si>
    <t xml:space="preserve">Amortization B (Construction Loan)</t>
  </si>
  <si>
    <t xml:space="preserve">Treasury Bond Rate at "Financial Close"</t>
  </si>
  <si>
    <t xml:space="preserve">Index Rate</t>
  </si>
  <si>
    <t xml:space="preserve">Factor 1 - Annual Billing Units, MW =</t>
  </si>
  <si>
    <t xml:space="preserve">Factor 2 - Coverage Ratio</t>
  </si>
  <si>
    <t xml:space="preserve">Brazos' Interest Rate Adjustment</t>
  </si>
  <si>
    <t xml:space="preserve">Per Schedule 11.02 of PPA</t>
  </si>
  <si>
    <t xml:space="preserve">Comparison of PPE-ENA and Tenaska Offers</t>
  </si>
  <si>
    <t xml:space="preserve">Assumptions</t>
  </si>
  <si>
    <t xml:space="preserve">Assets Not Included in Tenaska's May 2000 Offer to Brazos</t>
  </si>
  <si>
    <t xml:space="preserve">End-of-Year DR</t>
  </si>
  <si>
    <t xml:space="preserve">Subtotal-Reserve Accounts</t>
  </si>
  <si>
    <t xml:space="preserve">Mid-Year DR</t>
  </si>
  <si>
    <t xml:space="preserve">Value of Assets NOT Included In Offer</t>
  </si>
  <si>
    <t xml:space="preserve">Offer Comparison</t>
  </si>
  <si>
    <t xml:space="preserve">PPE-ENA Offer</t>
  </si>
  <si>
    <t xml:space="preserve">Tenaska Bona Fide Offer</t>
  </si>
  <si>
    <t xml:space="preserve">Tenaska Indicative Offer</t>
  </si>
  <si>
    <t xml:space="preserve">Closing Date</t>
  </si>
  <si>
    <t xml:space="preserve">Purchase Price - Equity</t>
  </si>
  <si>
    <t xml:space="preserve">Payment for Development Assets</t>
  </si>
  <si>
    <t xml:space="preserve">Increased Capacity Rate - Effective 6/1/00</t>
  </si>
  <si>
    <t xml:space="preserve">N/A</t>
  </si>
  <si>
    <t xml:space="preserve">Increased Energy Rate - Effective 6/1/00</t>
  </si>
  <si>
    <t xml:space="preserve">Contract Purchases (Above Ownership/Operation) - 2001</t>
  </si>
  <si>
    <t xml:space="preserve">Cost to Replace Reserve Accounts</t>
  </si>
  <si>
    <t xml:space="preserve">EWG Savings</t>
  </si>
  <si>
    <t xml:space="preserve">Avoided Costs - Renewal Term</t>
  </si>
  <si>
    <t xml:space="preserve">Cost to Unwind Swap</t>
  </si>
  <si>
    <t xml:space="preserve">Total</t>
  </si>
  <si>
    <t xml:space="preserve">Delta %</t>
  </si>
  <si>
    <t xml:space="preserve">Cedar Brakes L.L.C.</t>
  </si>
  <si>
    <t xml:space="preserve">Restructuring Summary</t>
  </si>
  <si>
    <t xml:space="preserve">NPV</t>
  </si>
  <si>
    <t xml:space="preserve">Old PPA</t>
  </si>
  <si>
    <t xml:space="preserve">Market</t>
  </si>
  <si>
    <t xml:space="preserve">Stranded Investment (SI)</t>
  </si>
  <si>
    <t xml:space="preserve">New PPA</t>
  </si>
  <si>
    <t xml:space="preserve">PPA Savings</t>
  </si>
  <si>
    <t xml:space="preserve">Discount - PPA All-In Price</t>
  </si>
  <si>
    <t xml:space="preserve">Discount - Stranded Investment</t>
  </si>
  <si>
    <t xml:space="preserve">Year</t>
  </si>
  <si>
    <t xml:space="preserve">Volume</t>
  </si>
  <si>
    <t xml:space="preserve">SI</t>
  </si>
  <si>
    <t xml:space="preserve">Savings</t>
  </si>
  <si>
    <t xml:space="preserve">Source:  Moody's Investors Service, Global Credit Research (September 2000)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</si>
</sst>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.00_);_(* \(#,##0.00\);_(* \-??_);_(@_)"/>
    <numFmt numFmtId="166" formatCode="_(* #,##0_);_(* \(#,##0\);_(* \-??_);_(@_)"/>
    <numFmt numFmtId="167" formatCode="0.00%"/>
    <numFmt numFmtId="168" formatCode="0%"/>
    <numFmt numFmtId="169" formatCode="[$-409]m/d/yyyy"/>
    <numFmt numFmtId="170" formatCode="_(\$* #,##0.00_);_(\$* \(#,##0.00\);_(\$* \-??_);_(@_)"/>
    <numFmt numFmtId="171" formatCode="_(\$* #,##0_);_(\$* \(#,##0\);_(\$* \-??_);_(@_)"/>
    <numFmt numFmtId="172" formatCode="\$#,##0;[RED]\$#,##0"/>
    <numFmt numFmtId="173" formatCode="0.00"/>
    <numFmt numFmtId="174" formatCode="0.000%"/>
    <numFmt numFmtId="175" formatCode="[$-409]#,##0_);[RED]\(#,##0\)"/>
    <numFmt numFmtId="176" formatCode="0"/>
    <numFmt numFmtId="177" formatCode="[$-409]#,##0.00_);[RED]\(#,##0.00\)"/>
    <numFmt numFmtId="178" formatCode="0.0000%"/>
    <numFmt numFmtId="179" formatCode="_(* #,##0.0000_);_(* \(#,##0.0000\);_(* \-??_);_(@_)"/>
    <numFmt numFmtId="180" formatCode="_(\$* #,##0.0_);_(\$* \(#,##0.0\);_(\$* \-??_);_(@_)"/>
    <numFmt numFmtId="181" formatCode="[$-409]mmm\-yy"/>
    <numFmt numFmtId="182" formatCode="[$-409]d\-mmm\-yy"/>
    <numFmt numFmtId="183" formatCode="\$#,##0_);[RED]&quot;($&quot;#,##0\)"/>
    <numFmt numFmtId="184" formatCode="0.0%"/>
  </numFmts>
  <fonts count="3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12"/>
      <name val="SWISS"/>
      <family val="0"/>
    </font>
    <font>
      <sz val="10"/>
      <color rgb="FF000000"/>
      <name val="MS Sans Serif"/>
      <family val="0"/>
    </font>
    <font>
      <b val="true"/>
      <sz val="14"/>
      <name val="Arial Black"/>
      <family val="2"/>
    </font>
    <font>
      <b val="true"/>
      <sz val="10"/>
      <name val="Arial Black"/>
      <family val="2"/>
    </font>
    <font>
      <b val="true"/>
      <sz val="10"/>
      <name val="Arial"/>
      <family val="2"/>
    </font>
    <font>
      <b val="true"/>
      <sz val="10"/>
      <color rgb="FFFF0000"/>
      <name val="Arial Black"/>
      <family val="2"/>
    </font>
    <font>
      <sz val="10"/>
      <color rgb="FF0000FF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u val="single"/>
      <sz val="10"/>
      <color rgb="FF0000FF"/>
      <name val="Arial"/>
      <family val="2"/>
    </font>
    <font>
      <b val="true"/>
      <sz val="12"/>
      <name val="Arial"/>
      <family val="2"/>
    </font>
    <font>
      <b val="true"/>
      <sz val="10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0000FF"/>
      <name val="Arial"/>
      <family val="2"/>
    </font>
    <font>
      <b val="true"/>
      <sz val="14"/>
      <color rgb="FFFF0000"/>
      <name val="Arial"/>
      <family val="2"/>
    </font>
    <font>
      <b val="true"/>
      <i val="true"/>
      <sz val="12"/>
      <name val="Arial"/>
      <family val="2"/>
    </font>
    <font>
      <u val="double"/>
      <sz val="10"/>
      <name val="Arial"/>
      <family val="2"/>
    </font>
    <font>
      <b val="true"/>
      <sz val="9"/>
      <color rgb="FF000000"/>
      <name val="Arial"/>
      <family val="2"/>
    </font>
    <font>
      <sz val="8"/>
      <color rgb="FF000000"/>
      <name val="Arial"/>
      <family val="2"/>
    </font>
    <font>
      <b val="true"/>
      <sz val="9"/>
      <name val="Arial"/>
      <family val="2"/>
    </font>
    <font>
      <sz val="14"/>
      <name val="Arial Black"/>
      <family val="2"/>
    </font>
    <font>
      <sz val="10"/>
      <name val="Arial Black"/>
      <family val="2"/>
    </font>
    <font>
      <b val="true"/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CC"/>
        <bgColor rgb="FFFFFFFF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</borders>
  <cellStyleXfs count="2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1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1" fillId="3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9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2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2" borderId="1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3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3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2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2" borderId="2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2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1" fillId="3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1" fillId="3" borderId="2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21" fillId="3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8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1" fillId="3" borderId="1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21" fillId="0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2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1" fillId="0" borderId="1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3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2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2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3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Book1" xfId="20"/>
    <cellStyle name="Normal_Book6" xfId="21"/>
    <cellStyle name="Normal_Delivered Waha Monthly Price Forecast 8-18-00" xfId="22"/>
    <cellStyle name="Normal_flip logic" xfId="23"/>
    <cellStyle name="Normal_inflation forecast ecp 08-18-00 Delivered (UPDATE)" xfId="24"/>
    <cellStyle name="Normal_LSPNB 22 Results" xfId="25"/>
    <cellStyle name="Normal_PACE Commodity Pricing (Brazos 25-Aug-00)" xfId="26"/>
    <cellStyle name="Normal_Sheet1" xfId="27"/>
    <cellStyle name="Normal_~0055515" xfId="2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4790237903798"/>
          <c:y val="0.129414883042873"/>
          <c:w val="0.90006148607104"/>
          <c:h val="0.776025445629846"/>
        </c:manualLayout>
      </c:layout>
      <c:lineChart>
        <c:grouping val="standard"/>
        <c:varyColors val="0"/>
        <c:ser>
          <c:idx val="0"/>
          <c:order val="0"/>
          <c:tx>
            <c:strRef>
              <c:f>[6]Valuation!$B$87</c:f>
              <c:strCache>
                <c:ptCount val="1"/>
                <c:pt idx="0">
                  <c:v>Cost of Contract Purchase (Status Quo)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[6]Valuation!$H$9:$AQ$9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[6]Valuation!$H$87:$AQ$87</c:f>
              <c:numCache>
                <c:formatCode>General</c:formatCode>
                <c:ptCount val="36"/>
                <c:pt idx="0">
                  <c:v>43.4373384107416</c:v>
                </c:pt>
                <c:pt idx="1">
                  <c:v>44.6773461404536</c:v>
                </c:pt>
                <c:pt idx="2">
                  <c:v>46.8328845037797</c:v>
                </c:pt>
                <c:pt idx="3">
                  <c:v>48.8814660388474</c:v>
                </c:pt>
                <c:pt idx="4">
                  <c:v>50.7233249491889</c:v>
                </c:pt>
                <c:pt idx="5">
                  <c:v>53.0016261165483</c:v>
                </c:pt>
                <c:pt idx="6">
                  <c:v>51.8359189278091</c:v>
                </c:pt>
                <c:pt idx="7">
                  <c:v>53.1752040291832</c:v>
                </c:pt>
                <c:pt idx="8">
                  <c:v>54.5968978216124</c:v>
                </c:pt>
                <c:pt idx="9">
                  <c:v>56.1047399005975</c:v>
                </c:pt>
                <c:pt idx="10">
                  <c:v>57.7780712196936</c:v>
                </c:pt>
                <c:pt idx="11">
                  <c:v>59.4667143545591</c:v>
                </c:pt>
                <c:pt idx="12">
                  <c:v>61.1250677954424</c:v>
                </c:pt>
                <c:pt idx="13">
                  <c:v>61.9829722023017</c:v>
                </c:pt>
                <c:pt idx="14">
                  <c:v>62.7432691619339</c:v>
                </c:pt>
                <c:pt idx="15">
                  <c:v>63.5933609424232</c:v>
                </c:pt>
                <c:pt idx="16">
                  <c:v>66.0810491077594</c:v>
                </c:pt>
                <c:pt idx="17">
                  <c:v>67.7169128363776</c:v>
                </c:pt>
                <c:pt idx="18">
                  <c:v>69.443926921915</c:v>
                </c:pt>
                <c:pt idx="19">
                  <c:v>37.9616273628109</c:v>
                </c:pt>
                <c:pt idx="20">
                  <c:v>38.3501449933747</c:v>
                </c:pt>
                <c:pt idx="21">
                  <c:v>41.0829936126887</c:v>
                </c:pt>
                <c:pt idx="22">
                  <c:v>40.5357128832549</c:v>
                </c:pt>
                <c:pt idx="23">
                  <c:v>41.6221766720626</c:v>
                </c:pt>
                <c:pt idx="24">
                  <c:v>46.5952646943293</c:v>
                </c:pt>
                <c:pt idx="25">
                  <c:v>43.9844055521917</c:v>
                </c:pt>
                <c:pt idx="26">
                  <c:v>44.5072754892172</c:v>
                </c:pt>
                <c:pt idx="27">
                  <c:v>47.439389318901</c:v>
                </c:pt>
                <c:pt idx="28">
                  <c:v>47.0548384260995</c:v>
                </c:pt>
                <c:pt idx="29">
                  <c:v>48.3495620773067</c:v>
                </c:pt>
                <c:pt idx="30">
                  <c:v>53.6012360322009</c:v>
                </c:pt>
                <c:pt idx="31">
                  <c:v>51.0666175589123</c:v>
                </c:pt>
                <c:pt idx="32">
                  <c:v>51.7985313901899</c:v>
                </c:pt>
                <c:pt idx="33">
                  <c:v>55.0145494748896</c:v>
                </c:pt>
                <c:pt idx="34">
                  <c:v>54.7796181152723</c:v>
                </c:pt>
                <c:pt idx="35">
                  <c:v>56.2796068025273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[6]Valuation!$A$39</c:f>
              <c:strCache>
                <c:ptCount val="1"/>
                <c:pt idx="0">
                  <c:v>Market Price - ERCOT 7x24 w/Wheeling (Pace)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[6]Valuation!$H$9:$AQ$9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[6]Valuation!$H$39:$AQ$39</c:f>
              <c:numCache>
                <c:formatCode>General</c:formatCode>
                <c:ptCount val="36"/>
                <c:pt idx="0">
                  <c:v>37.2423670454243</c:v>
                </c:pt>
                <c:pt idx="1">
                  <c:v>31.1137307039562</c:v>
                </c:pt>
                <c:pt idx="2">
                  <c:v>29.9517717068529</c:v>
                </c:pt>
                <c:pt idx="3">
                  <c:v>31.5234122576721</c:v>
                </c:pt>
                <c:pt idx="4">
                  <c:v>33.9352290994459</c:v>
                </c:pt>
                <c:pt idx="5">
                  <c:v>35.0920720145232</c:v>
                </c:pt>
                <c:pt idx="6">
                  <c:v>36.9136048518082</c:v>
                </c:pt>
                <c:pt idx="7">
                  <c:v>39.7324111725473</c:v>
                </c:pt>
                <c:pt idx="8">
                  <c:v>40.6123890685507</c:v>
                </c:pt>
                <c:pt idx="9">
                  <c:v>41.6594005260721</c:v>
                </c:pt>
                <c:pt idx="10">
                  <c:v>42.8868506404742</c:v>
                </c:pt>
                <c:pt idx="11">
                  <c:v>43.641232880531</c:v>
                </c:pt>
                <c:pt idx="12">
                  <c:v>44.6007220265115</c:v>
                </c:pt>
                <c:pt idx="13">
                  <c:v>46.4373350596128</c:v>
                </c:pt>
                <c:pt idx="14">
                  <c:v>45.1347102125821</c:v>
                </c:pt>
                <c:pt idx="15">
                  <c:v>45.9807034805413</c:v>
                </c:pt>
                <c:pt idx="16">
                  <c:v>46.7193472960623</c:v>
                </c:pt>
                <c:pt idx="17">
                  <c:v>47.2915166305407</c:v>
                </c:pt>
                <c:pt idx="18">
                  <c:v>48.9167535870342</c:v>
                </c:pt>
                <c:pt idx="19">
                  <c:v>49.9124694194766</c:v>
                </c:pt>
                <c:pt idx="20">
                  <c:v>50.9284533593928</c:v>
                </c:pt>
                <c:pt idx="21">
                  <c:v>51.9651179704554</c:v>
                </c:pt>
                <c:pt idx="22">
                  <c:v>53.0228842141996</c:v>
                </c:pt>
                <c:pt idx="23">
                  <c:v>54.1021816209643</c:v>
                </c:pt>
                <c:pt idx="24">
                  <c:v>55.2034484643131</c:v>
                </c:pt>
                <c:pt idx="25">
                  <c:v>56.3271319390051</c:v>
                </c:pt>
                <c:pt idx="26">
                  <c:v>57.4736883425888</c:v>
                </c:pt>
                <c:pt idx="27">
                  <c:v>58.6435832606919</c:v>
                </c:pt>
                <c:pt idx="28">
                  <c:v>59.8372917560835</c:v>
                </c:pt>
                <c:pt idx="29">
                  <c:v>61.0552985615841</c:v>
                </c:pt>
                <c:pt idx="30">
                  <c:v>62.2980982769024</c:v>
                </c:pt>
                <c:pt idx="31">
                  <c:v>63.5661955694791</c:v>
                </c:pt>
                <c:pt idx="32">
                  <c:v>64.8601053794186</c:v>
                </c:pt>
                <c:pt idx="33">
                  <c:v>66.1803531285923</c:v>
                </c:pt>
                <c:pt idx="34">
                  <c:v>67.5274749339983</c:v>
                </c:pt>
                <c:pt idx="35">
                  <c:v>68.9020178254639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[6]Valuation!$B$317</c:f>
              <c:strCache>
                <c:ptCount val="1"/>
                <c:pt idx="0">
                  <c:v>Ownership/Operation (Saves $121.7 MM or 47%)</c:v>
                </c:pt>
              </c:strCache>
            </c:strRef>
          </c:tx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[6]Valuation!$H$9:$AQ$9</c:f>
              <c:strCach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strCache>
            </c:strRef>
          </c:cat>
          <c:val>
            <c:numRef>
              <c:f>[6]Valuation!$H$317:$AQ$317</c:f>
              <c:numCache>
                <c:formatCode>General</c:formatCode>
                <c:ptCount val="36"/>
                <c:pt idx="0">
                  <c:v>47.9305005637937</c:v>
                </c:pt>
                <c:pt idx="1">
                  <c:v>46.5778147006396</c:v>
                </c:pt>
                <c:pt idx="2">
                  <c:v>47.1735573102657</c:v>
                </c:pt>
                <c:pt idx="3">
                  <c:v>50.101805896476</c:v>
                </c:pt>
                <c:pt idx="4">
                  <c:v>49.9015130136546</c:v>
                </c:pt>
                <c:pt idx="5">
                  <c:v>51.1996136809043</c:v>
                </c:pt>
                <c:pt idx="6">
                  <c:v>51.0402971674775</c:v>
                </c:pt>
                <c:pt idx="7">
                  <c:v>47.3836491750706</c:v>
                </c:pt>
                <c:pt idx="8">
                  <c:v>47.2943425399429</c:v>
                </c:pt>
                <c:pt idx="9">
                  <c:v>52.0858873754659</c:v>
                </c:pt>
                <c:pt idx="10">
                  <c:v>49.3695295833968</c:v>
                </c:pt>
                <c:pt idx="11">
                  <c:v>50.0684394931841</c:v>
                </c:pt>
                <c:pt idx="12">
                  <c:v>54.2792129355</c:v>
                </c:pt>
                <c:pt idx="13">
                  <c:v>42.7763201082805</c:v>
                </c:pt>
                <c:pt idx="14">
                  <c:v>42.7266655694221</c:v>
                </c:pt>
                <c:pt idx="15">
                  <c:v>45.2734997194974</c:v>
                </c:pt>
                <c:pt idx="16">
                  <c:v>44.7685300509571</c:v>
                </c:pt>
                <c:pt idx="17">
                  <c:v>45.5278539047057</c:v>
                </c:pt>
                <c:pt idx="18">
                  <c:v>50.2523201858348</c:v>
                </c:pt>
                <c:pt idx="19">
                  <c:v>47.8374313823783</c:v>
                </c:pt>
                <c:pt idx="20">
                  <c:v>48.2219253930173</c:v>
                </c:pt>
                <c:pt idx="21">
                  <c:v>50.9206244544911</c:v>
                </c:pt>
                <c:pt idx="22">
                  <c:v>50.3371726585404</c:v>
                </c:pt>
                <c:pt idx="23">
                  <c:v>51.357125609408</c:v>
                </c:pt>
                <c:pt idx="24">
                  <c:v>56.3178735543582</c:v>
                </c:pt>
                <c:pt idx="25">
                  <c:v>42.5433082167095</c:v>
                </c:pt>
                <c:pt idx="26">
                  <c:v>43.0207660735211</c:v>
                </c:pt>
                <c:pt idx="27">
                  <c:v>45.9070140349475</c:v>
                </c:pt>
                <c:pt idx="28">
                  <c:v>45.4694740714184</c:v>
                </c:pt>
                <c:pt idx="29">
                  <c:v>46.71046496597</c:v>
                </c:pt>
                <c:pt idx="30">
                  <c:v>51.9053301152221</c:v>
                </c:pt>
                <c:pt idx="31">
                  <c:v>49.3128384139712</c:v>
                </c:pt>
                <c:pt idx="32">
                  <c:v>49.979113536755</c:v>
                </c:pt>
                <c:pt idx="33">
                  <c:v>53.1280736926846</c:v>
                </c:pt>
                <c:pt idx="34">
                  <c:v>52.8222978707225</c:v>
                </c:pt>
                <c:pt idx="35">
                  <c:v>54.2496304589841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093436"/>
        <c:axId val="46081049"/>
      </c:lineChart>
      <c:catAx>
        <c:axId val="20934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081049"/>
        <c:crossesAt val="0"/>
        <c:auto val="1"/>
        <c:lblAlgn val="ctr"/>
        <c:lblOffset val="100"/>
        <c:noMultiLvlLbl val="0"/>
      </c:catAx>
      <c:valAx>
        <c:axId val="46081049"/>
        <c:scaling>
          <c:orientation val="minMax"/>
        </c:scaling>
        <c:delete val="0"/>
        <c:axPos val="l"/>
        <c:majorGridlines>
          <c:spPr>
            <a:ln w="0">
              <a:solidFill>
                <a:srgbClr val="ffffff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168850210471551"/>
              <c:y val="0.358558080975416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93436"/>
        <c:crossesAt val="1"/>
        <c:crossBetween val="midCat"/>
      </c:valAx>
      <c:spPr>
        <a:solidFill>
          <a:srgbClr val="ffffff"/>
        </a:solidFill>
        <a:ln w="0">
          <a:noFill/>
        </a:ln>
      </c:spPr>
    </c:plotArea>
    <c:legend>
      <c:legendPos val="r"/>
      <c:layout>
        <c:manualLayout>
          <c:xMode val="edge"/>
          <c:yMode val="edge"/>
          <c:x val="0.0552901669583314"/>
          <c:y val="0.901729507653568"/>
          <c:w val="1.03282410253985"/>
          <c:h val="0.05374064011662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60</xdr:row>
      <xdr:rowOff>0</xdr:rowOff>
    </xdr:from>
    <xdr:to>
      <xdr:col>14</xdr:col>
      <xdr:colOff>754560</xdr:colOff>
      <xdr:row>68</xdr:row>
      <xdr:rowOff>161640</xdr:rowOff>
    </xdr:to>
    <xdr:sp>
      <xdr:nvSpPr>
        <xdr:cNvPr id="0" name="Rectangle 1"/>
        <xdr:cNvSpPr/>
      </xdr:nvSpPr>
      <xdr:spPr>
        <a:xfrm>
          <a:off x="1889640" y="9277200"/>
          <a:ext cx="5126760" cy="15145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339840</xdr:colOff>
      <xdr:row>6</xdr:row>
      <xdr:rowOff>28440</xdr:rowOff>
    </xdr:from>
    <xdr:to>
      <xdr:col>5</xdr:col>
      <xdr:colOff>342000</xdr:colOff>
      <xdr:row>29</xdr:row>
      <xdr:rowOff>2880</xdr:rowOff>
    </xdr:to>
    <xdr:sp>
      <xdr:nvSpPr>
        <xdr:cNvPr id="2" name="Line 1"/>
        <xdr:cNvSpPr/>
      </xdr:nvSpPr>
      <xdr:spPr>
        <a:xfrm flipH="1" flipV="1">
          <a:off x="4403880" y="1003680"/>
          <a:ext cx="2160" cy="3713400"/>
        </a:xfrm>
        <a:prstGeom prst="line">
          <a:avLst/>
        </a:prstGeom>
        <a:ln w="9360">
          <a:solidFill>
            <a:srgbClr val="969696"/>
          </a:solidFill>
          <a:prstDash val="sysDot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504720</xdr:colOff>
      <xdr:row>24</xdr:row>
      <xdr:rowOff>25560</xdr:rowOff>
    </xdr:from>
    <xdr:to>
      <xdr:col>5</xdr:col>
      <xdr:colOff>45000</xdr:colOff>
      <xdr:row>25</xdr:row>
      <xdr:rowOff>48960</xdr:rowOff>
    </xdr:to>
    <xdr:sp>
      <xdr:nvSpPr>
        <xdr:cNvPr id="3" name="Rectangle 2"/>
        <xdr:cNvSpPr/>
      </xdr:nvSpPr>
      <xdr:spPr>
        <a:xfrm>
          <a:off x="1317600" y="3926880"/>
          <a:ext cx="2791440" cy="186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900" strike="noStrike" u="none">
              <a:effectLst/>
              <a:uFillTx/>
              <a:latin typeface="Arial"/>
            </a:rPr>
            <a:t>Initial Term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566280</xdr:colOff>
      <xdr:row>24</xdr:row>
      <xdr:rowOff>25560</xdr:rowOff>
    </xdr:from>
    <xdr:to>
      <xdr:col>9</xdr:col>
      <xdr:colOff>106560</xdr:colOff>
      <xdr:row>25</xdr:row>
      <xdr:rowOff>45000</xdr:rowOff>
    </xdr:to>
    <xdr:sp>
      <xdr:nvSpPr>
        <xdr:cNvPr id="4" name="Rectangle 3"/>
        <xdr:cNvSpPr/>
      </xdr:nvSpPr>
      <xdr:spPr>
        <a:xfrm>
          <a:off x="4630320" y="3926880"/>
          <a:ext cx="2791440" cy="18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900" strike="noStrike" u="none">
              <a:effectLst/>
              <a:uFillTx/>
              <a:latin typeface="Arial"/>
            </a:rPr>
            <a:t>Renewal Term 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763200</xdr:colOff>
      <xdr:row>8</xdr:row>
      <xdr:rowOff>132840</xdr:rowOff>
    </xdr:from>
    <xdr:to>
      <xdr:col>3</xdr:col>
      <xdr:colOff>30600</xdr:colOff>
      <xdr:row>10</xdr:row>
      <xdr:rowOff>5760</xdr:rowOff>
    </xdr:to>
    <xdr:sp>
      <xdr:nvSpPr>
        <xdr:cNvPr id="5" name="Text 4"/>
        <xdr:cNvSpPr/>
      </xdr:nvSpPr>
      <xdr:spPr>
        <a:xfrm>
          <a:off x="2388960" y="1433160"/>
          <a:ext cx="79920" cy="198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453240</xdr:colOff>
      <xdr:row>26</xdr:row>
      <xdr:rowOff>137880</xdr:rowOff>
    </xdr:from>
    <xdr:to>
      <xdr:col>9</xdr:col>
      <xdr:colOff>196200</xdr:colOff>
      <xdr:row>27</xdr:row>
      <xdr:rowOff>150480</xdr:rowOff>
    </xdr:to>
    <xdr:sp>
      <xdr:nvSpPr>
        <xdr:cNvPr id="6" name="AutoShape 5"/>
        <xdr:cNvSpPr/>
      </xdr:nvSpPr>
      <xdr:spPr>
        <a:xfrm>
          <a:off x="1266120" y="4364280"/>
          <a:ext cx="6245280" cy="175320"/>
        </a:xfrm>
        <a:custGeom>
          <a:avLst/>
          <a:gdLst>
            <a:gd name="textAreaLeft" fmla="*/ 0 w 6245280"/>
            <a:gd name="textAreaRight" fmla="*/ 6245640 w 6245280"/>
            <a:gd name="textAreaTop" fmla="*/ 0 h 175320"/>
            <a:gd name="textAreaBottom" fmla="*/ 175320 h 175320"/>
          </a:gdLst>
          <a:ahLst/>
          <a:cxnLst/>
          <a:rect l="textAreaLeft" t="textAreaTop" r="textAreaRight" b="textAreaBottom"/>
          <a:pathLst>
            <a:path w="21600" h="21600">
              <a:moveTo>
                <a:pt x="0" y="0"/>
              </a:moveTo>
              <a:lnTo>
                <a:pt x="20674" y="0"/>
              </a:lnTo>
              <a:lnTo>
                <a:pt x="21600" y="10800"/>
              </a:lnTo>
              <a:lnTo>
                <a:pt x="20674" y="21600"/>
              </a:lnTo>
              <a:lnTo>
                <a:pt x="0" y="21600"/>
              </a:lnTo>
              <a:close/>
            </a:path>
          </a:pathLst>
        </a:custGeom>
        <a:solidFill>
          <a:srgbClr val="ffffcc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1" lang="en-US" sz="1000" strike="noStrike" u="none">
              <a:effectLst/>
              <a:uFillTx/>
              <a:latin typeface="Arial"/>
            </a:rPr>
            <a:t>Stranded Investment Through 2036 Is $252.5 MM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427680</xdr:colOff>
      <xdr:row>1</xdr:row>
      <xdr:rowOff>16920</xdr:rowOff>
    </xdr:from>
    <xdr:to>
      <xdr:col>6</xdr:col>
      <xdr:colOff>192960</xdr:colOff>
      <xdr:row>5</xdr:row>
      <xdr:rowOff>88560</xdr:rowOff>
    </xdr:to>
    <xdr:sp>
      <xdr:nvSpPr>
        <xdr:cNvPr id="7" name="Text 6"/>
        <xdr:cNvSpPr/>
      </xdr:nvSpPr>
      <xdr:spPr>
        <a:xfrm>
          <a:off x="3678840" y="179640"/>
          <a:ext cx="1391040" cy="721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0" lang="en-US" sz="1400" strike="noStrike" u="none">
              <a:effectLst/>
              <a:uFillTx/>
              <a:latin typeface="Arial Black"/>
            </a:rPr>
            <a:t>Cleburne Plant</a:t>
          </a:r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 Black"/>
            </a:rPr>
            <a:t>PPE-ENA Offer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662040</xdr:colOff>
      <xdr:row>4</xdr:row>
      <xdr:rowOff>19800</xdr:rowOff>
    </xdr:from>
    <xdr:to>
      <xdr:col>7</xdr:col>
      <xdr:colOff>703080</xdr:colOff>
      <xdr:row>5</xdr:row>
      <xdr:rowOff>153360</xdr:rowOff>
    </xdr:to>
    <xdr:sp>
      <xdr:nvSpPr>
        <xdr:cNvPr id="8" name="Text 7"/>
        <xdr:cNvSpPr/>
      </xdr:nvSpPr>
      <xdr:spPr>
        <a:xfrm>
          <a:off x="2287800" y="669960"/>
          <a:ext cx="4104720" cy="296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1" lang="en-US" sz="900" strike="noStrike" u="none">
              <a:solidFill>
                <a:srgbClr val="ff0000"/>
              </a:solidFill>
              <a:effectLst/>
              <a:uFillTx/>
              <a:latin typeface="Arial"/>
            </a:rPr>
            <a:t>This Information Is CONFIDENTIAL Per Section 5 of the Facilitation Agreement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0</xdr:colOff>
      <xdr:row>4</xdr:row>
      <xdr:rowOff>0</xdr:rowOff>
    </xdr:from>
    <xdr:to>
      <xdr:col>8</xdr:col>
      <xdr:colOff>720</xdr:colOff>
      <xdr:row>19</xdr:row>
      <xdr:rowOff>171360</xdr:rowOff>
    </xdr:to>
    <xdr:sp>
      <xdr:nvSpPr>
        <xdr:cNvPr id="9" name="Rectangle 1"/>
        <xdr:cNvSpPr/>
      </xdr:nvSpPr>
      <xdr:spPr>
        <a:xfrm>
          <a:off x="1378080" y="781200"/>
          <a:ext cx="4226040" cy="2628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Entergy%20Pump%20Storage%20Model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specia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~0016017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apital%20Risk%20Structuring/POWER%20PROJECTS/Cornhusker/special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Valuations/offer%20comparison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Valuations/Brazos%20Buyout%20@%2010-Nov-00%20(WIP)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Valuation Summary"/>
      <sheetName val="Valuation"/>
      <sheetName val="PACE ERCOT Power Pricing"/>
      <sheetName val="PACE Waha Natural Gas Pricing"/>
      <sheetName val="PACE CPI (1998=100)"/>
    </sheetNames>
    <sheetDataSet>
      <sheetData sheetId="0"/>
      <sheetData sheetId="1">
        <row r="90">
          <cell r="B90" t="str">
            <v>DSCR Reserve</v>
          </cell>
        </row>
        <row r="91">
          <cell r="B91" t="str">
            <v>Overhaul Reserve</v>
          </cell>
        </row>
        <row r="92">
          <cell r="B92" t="str">
            <v>COBANK Stock - Book Value</v>
          </cell>
        </row>
      </sheetData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Basic Graph"/>
      <sheetName val="Summary Graph"/>
      <sheetName val="New Alternatives"/>
      <sheetName val="Valuation"/>
      <sheetName val="Litigation Analysis"/>
      <sheetName val="PACE ERCOT Power Pricing"/>
      <sheetName val="PACE Waha Natural Gas Pricing"/>
      <sheetName val="PACE CPI (1998=100)"/>
      <sheetName val="Alternatives"/>
      <sheetName val="Assum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2" min="1" style="1" width="2.7"/>
    <col collapsed="false" customWidth="true" hidden="false" outlineLevel="0" max="5" min="3" style="1" width="10.71"/>
    <col collapsed="false" customWidth="true" hidden="false" outlineLevel="0" max="6" min="6" style="1" width="1.7"/>
    <col collapsed="false" customWidth="true" hidden="false" outlineLevel="0" max="7" min="7" style="1" width="10.71"/>
    <col collapsed="false" customWidth="true" hidden="false" outlineLevel="0" max="8" min="8" style="1" width="1.7"/>
    <col collapsed="false" customWidth="true" hidden="false" outlineLevel="0" max="9" min="9" style="1" width="10.71"/>
    <col collapsed="false" customWidth="true" hidden="false" outlineLevel="0" max="10" min="10" style="1" width="1.7"/>
    <col collapsed="false" customWidth="true" hidden="false" outlineLevel="0" max="11" min="11" style="1" width="10.71"/>
    <col collapsed="false" customWidth="true" hidden="false" outlineLevel="0" max="12" min="12" style="1" width="1.7"/>
    <col collapsed="false" customWidth="true" hidden="false" outlineLevel="0" max="13" min="13" style="1" width="10.71"/>
    <col collapsed="false" customWidth="true" hidden="false" outlineLevel="0" max="14" min="14" style="1" width="1.7"/>
    <col collapsed="false" customWidth="true" hidden="false" outlineLevel="0" max="15" min="15" style="1" width="10.71"/>
    <col collapsed="false" customWidth="true" hidden="false" outlineLevel="0" max="16" min="16" style="1" width="2.7"/>
    <col collapsed="false" customWidth="true" hidden="false" outlineLevel="0" max="17" min="17" style="1" width="10.71"/>
    <col collapsed="false" customWidth="true" hidden="false" outlineLevel="0" max="18" min="18" style="1" width="2.7"/>
    <col collapsed="false" customWidth="true" hidden="false" outlineLevel="0" max="34" min="19" style="1" width="10.71"/>
    <col collapsed="false" customWidth="false" hidden="false" outlineLevel="0" max="257" min="35" style="1" width="9.14"/>
  </cols>
  <sheetData>
    <row r="1" customFormat="false" ht="22.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customFormat="false" ht="1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customFormat="false" ht="15" hidden="false" customHeight="fals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7" customFormat="false" ht="12.75" hidden="false" customHeight="false" outlineLevel="0" collapsed="false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customFormat="false" ht="12.75" hidden="false" customHeight="false" outlineLevel="0" collapsed="false">
      <c r="A8" s="7" t="s">
        <v>4</v>
      </c>
      <c r="B8" s="7"/>
      <c r="C8" s="7"/>
      <c r="D8" s="7"/>
      <c r="E8" s="7"/>
      <c r="F8" s="7"/>
      <c r="H8" s="6"/>
      <c r="I8" s="6"/>
      <c r="J8" s="8"/>
      <c r="K8" s="6"/>
      <c r="L8" s="6"/>
      <c r="M8" s="6"/>
      <c r="N8" s="6"/>
      <c r="O8" s="9"/>
      <c r="P8" s="6"/>
      <c r="Q8" s="6"/>
      <c r="R8" s="10"/>
      <c r="S8" s="11" t="n">
        <v>263000</v>
      </c>
    </row>
    <row r="9" customFormat="false" ht="12.75" hidden="false" customHeight="false" outlineLevel="0" collapsed="false">
      <c r="A9" s="7"/>
      <c r="B9" s="7"/>
      <c r="C9" s="7"/>
      <c r="D9" s="7"/>
      <c r="E9" s="7"/>
      <c r="F9" s="7"/>
      <c r="H9" s="6"/>
      <c r="I9" s="6"/>
      <c r="J9" s="8"/>
      <c r="K9" s="6"/>
      <c r="L9" s="6"/>
      <c r="M9" s="6"/>
      <c r="N9" s="6"/>
      <c r="O9" s="9"/>
      <c r="P9" s="6"/>
      <c r="Q9" s="6"/>
      <c r="R9" s="10"/>
    </row>
    <row r="10" customFormat="false" ht="12.75" hidden="false" customHeight="false" outlineLevel="0" collapsed="false">
      <c r="A10" s="12" t="s">
        <v>5</v>
      </c>
      <c r="B10" s="6"/>
      <c r="C10" s="6"/>
      <c r="D10" s="6"/>
      <c r="E10" s="6"/>
      <c r="F10" s="6"/>
      <c r="H10" s="6"/>
      <c r="I10" s="6"/>
      <c r="J10" s="13"/>
      <c r="K10" s="6"/>
      <c r="L10" s="6"/>
      <c r="M10" s="6"/>
      <c r="N10" s="6"/>
      <c r="O10" s="9"/>
      <c r="P10" s="6"/>
      <c r="Q10" s="6"/>
      <c r="R10" s="14"/>
      <c r="S10" s="15" t="n">
        <v>0.05</v>
      </c>
    </row>
    <row r="12" customFormat="false" ht="12.75" hidden="false" customHeight="false" outlineLevel="0" collapsed="false">
      <c r="A12" s="16" t="s">
        <v>6</v>
      </c>
      <c r="G12" s="17" t="str">
        <f aca="false">CONCATENATE('Damage Calculations'!T12/1000," MW")</f>
        <v>240 MW</v>
      </c>
      <c r="H12" s="17"/>
      <c r="I12" s="17"/>
      <c r="J12" s="17"/>
      <c r="K12" s="17"/>
      <c r="L12" s="17"/>
      <c r="M12" s="17"/>
      <c r="O12" s="17" t="s">
        <v>7</v>
      </c>
      <c r="Q12" s="17" t="s">
        <v>8</v>
      </c>
      <c r="S12" s="17" t="s">
        <v>9</v>
      </c>
    </row>
    <row r="13" customFormat="false" ht="12.75" hidden="false" customHeight="false" outlineLevel="0" collapsed="false">
      <c r="A13" s="16"/>
    </row>
    <row r="14" customFormat="false" ht="12.75" hidden="false" customHeight="false" outlineLevel="0" collapsed="false">
      <c r="A14" s="16" t="s">
        <v>10</v>
      </c>
      <c r="G14" s="18" t="n">
        <v>35430</v>
      </c>
      <c r="I14" s="18" t="n">
        <v>36891</v>
      </c>
      <c r="K14" s="18" t="n">
        <v>35430</v>
      </c>
      <c r="M14" s="18" t="n">
        <v>36891</v>
      </c>
      <c r="O14" s="18" t="n">
        <v>36891</v>
      </c>
      <c r="Q14" s="18" t="n">
        <v>36891</v>
      </c>
      <c r="S14" s="18" t="n">
        <v>36891</v>
      </c>
    </row>
    <row r="16" customFormat="false" ht="30" hidden="false" customHeight="true" outlineLevel="0" collapsed="false">
      <c r="G16" s="19" t="s">
        <v>11</v>
      </c>
      <c r="H16" s="19"/>
      <c r="I16" s="19"/>
      <c r="J16" s="20"/>
      <c r="K16" s="19" t="s">
        <v>12</v>
      </c>
      <c r="L16" s="19"/>
      <c r="M16" s="19"/>
      <c r="N16" s="20"/>
      <c r="O16" s="19" t="s">
        <v>12</v>
      </c>
      <c r="Q16" s="19" t="s">
        <v>12</v>
      </c>
      <c r="S16" s="19" t="s">
        <v>12</v>
      </c>
    </row>
    <row r="18" customFormat="false" ht="15" hidden="false" customHeight="false" outlineLevel="0" collapsed="false">
      <c r="A18" s="21" t="s">
        <v>13</v>
      </c>
      <c r="B18" s="21"/>
      <c r="C18" s="21"/>
      <c r="D18" s="21"/>
      <c r="E18" s="21"/>
      <c r="F18" s="21"/>
    </row>
    <row r="19" customFormat="false" ht="12.75" hidden="false" customHeight="false" outlineLevel="0" collapsed="false">
      <c r="A19" s="22" t="s">
        <v>14</v>
      </c>
      <c r="B19" s="22"/>
      <c r="C19" s="22"/>
      <c r="D19" s="22"/>
      <c r="E19" s="16"/>
      <c r="F19" s="16"/>
    </row>
    <row r="20" customFormat="false" ht="12.75" hidden="false" customHeight="false" outlineLevel="0" collapsed="false">
      <c r="A20" s="22" t="s">
        <v>15</v>
      </c>
      <c r="B20" s="22"/>
      <c r="C20" s="22"/>
      <c r="D20" s="22"/>
      <c r="E20" s="16"/>
      <c r="F20" s="16"/>
    </row>
    <row r="21" customFormat="false" ht="12.75" hidden="false" customHeight="false" outlineLevel="0" collapsed="false">
      <c r="A21" s="22" t="s">
        <v>16</v>
      </c>
      <c r="B21" s="22"/>
      <c r="C21" s="22"/>
      <c r="D21" s="22"/>
      <c r="E21" s="16"/>
      <c r="F21" s="16"/>
    </row>
    <row r="22" customFormat="false" ht="4.5" hidden="false" customHeight="true" outlineLevel="0" collapsed="false">
      <c r="A22" s="23"/>
      <c r="B22" s="23"/>
      <c r="C22" s="23"/>
      <c r="D22" s="23"/>
    </row>
    <row r="23" customFormat="false" ht="12.75" hidden="false" customHeight="false" outlineLevel="0" collapsed="false">
      <c r="A23" s="23"/>
      <c r="B23" s="22" t="str">
        <f aca="false">CONCATENATE("PV",ROUND('Damage Calculations'!$F$9*100,2)," of Net Capacity Payments")</f>
        <v>PV5 of Net Capacity Payments</v>
      </c>
      <c r="C23" s="22"/>
      <c r="D23" s="23"/>
      <c r="G23" s="24" t="n">
        <f aca="false">+'Damage Calculations'!$T$13</f>
        <v>534874.648967127</v>
      </c>
      <c r="I23" s="24" t="n">
        <f aca="false">+'Damage Calculations'!$Z$13</f>
        <v>500459.077629319</v>
      </c>
      <c r="K23" s="24" t="n">
        <f aca="false">+'Damage Calculations'!$T$13</f>
        <v>534874.648967127</v>
      </c>
      <c r="M23" s="24" t="n">
        <f aca="false">+'Damage Calculations'!$Z$13</f>
        <v>500459.077629319</v>
      </c>
      <c r="O23" s="25"/>
      <c r="Q23" s="25"/>
      <c r="S23" s="25"/>
    </row>
    <row r="24" customFormat="false" ht="12.75" hidden="false" customHeight="false" outlineLevel="0" collapsed="false">
      <c r="A24" s="23"/>
      <c r="B24" s="22" t="s">
        <v>17</v>
      </c>
      <c r="C24" s="22"/>
      <c r="D24" s="23"/>
      <c r="I24" s="26"/>
      <c r="M24" s="26"/>
    </row>
    <row r="25" customFormat="false" ht="4.5" hidden="false" customHeight="true" outlineLevel="0" collapsed="false">
      <c r="A25" s="23"/>
      <c r="B25" s="22"/>
      <c r="C25" s="22"/>
      <c r="D25" s="23"/>
      <c r="I25" s="26"/>
      <c r="M25" s="26"/>
    </row>
    <row r="26" customFormat="false" ht="12.75" hidden="false" customHeight="false" outlineLevel="0" collapsed="false">
      <c r="A26" s="23"/>
      <c r="B26" s="22" t="s">
        <v>18</v>
      </c>
      <c r="C26" s="22"/>
      <c r="D26" s="23"/>
      <c r="G26" s="27" t="n">
        <v>175275</v>
      </c>
      <c r="H26" s="28"/>
      <c r="I26" s="27" t="n">
        <f aca="false">147230+18891</f>
        <v>166121</v>
      </c>
      <c r="J26" s="29"/>
      <c r="K26" s="27" t="n">
        <v>150300.039051</v>
      </c>
      <c r="L26" s="27"/>
      <c r="M26" s="27" t="n">
        <v>145482.25</v>
      </c>
      <c r="O26" s="30"/>
      <c r="Q26" s="30"/>
      <c r="S26" s="30"/>
    </row>
    <row r="27" customFormat="false" ht="4.5" hidden="false" customHeight="true" outlineLevel="0" collapsed="false">
      <c r="A27" s="23"/>
      <c r="B27" s="22"/>
      <c r="C27" s="22"/>
      <c r="D27" s="23"/>
    </row>
    <row r="28" customFormat="false" ht="15" hidden="false" customHeight="false" outlineLevel="0" collapsed="false">
      <c r="A28" s="23"/>
      <c r="B28" s="22" t="s">
        <v>19</v>
      </c>
      <c r="C28" s="22"/>
      <c r="D28" s="23"/>
      <c r="G28" s="31" t="n">
        <v>0</v>
      </c>
      <c r="H28" s="31"/>
      <c r="I28" s="31" t="n">
        <v>-6888</v>
      </c>
      <c r="J28" s="32"/>
      <c r="K28" s="31" t="n">
        <v>0</v>
      </c>
      <c r="L28" s="31"/>
      <c r="M28" s="31" t="n">
        <v>-6888</v>
      </c>
      <c r="O28" s="33"/>
      <c r="Q28" s="33"/>
      <c r="S28" s="33"/>
    </row>
    <row r="29" customFormat="false" ht="4.5" hidden="false" customHeight="true" outlineLevel="0" collapsed="false">
      <c r="A29" s="23"/>
      <c r="B29" s="22"/>
      <c r="C29" s="22"/>
      <c r="D29" s="23"/>
    </row>
    <row r="30" customFormat="false" ht="12.75" hidden="false" customHeight="false" outlineLevel="0" collapsed="false">
      <c r="A30" s="23"/>
      <c r="B30" s="22" t="s">
        <v>20</v>
      </c>
      <c r="C30" s="22"/>
      <c r="D30" s="23"/>
      <c r="G30" s="30" t="n">
        <f aca="false">+G23-G26-G28</f>
        <v>359599.648967127</v>
      </c>
      <c r="H30" s="30"/>
      <c r="I30" s="30" t="n">
        <f aca="false">+I23-I26-I28</f>
        <v>341226.077629319</v>
      </c>
      <c r="K30" s="30" t="n">
        <f aca="false">+K23-K26-K28</f>
        <v>384574.609916127</v>
      </c>
      <c r="L30" s="30"/>
      <c r="M30" s="30" t="n">
        <f aca="false">+M23-M26-M28</f>
        <v>361864.827629319</v>
      </c>
      <c r="O30" s="30"/>
      <c r="Q30" s="30"/>
      <c r="S30" s="30"/>
    </row>
    <row r="31" customFormat="false" ht="12.75" hidden="false" customHeight="false" outlineLevel="0" collapsed="false">
      <c r="A31" s="23"/>
      <c r="B31" s="23"/>
      <c r="C31" s="23"/>
      <c r="D31" s="23"/>
    </row>
    <row r="32" customFormat="false" ht="12.75" hidden="false" customHeight="false" outlineLevel="0" collapsed="false">
      <c r="A32" s="23"/>
      <c r="B32" s="23"/>
      <c r="C32" s="23"/>
      <c r="D32" s="23"/>
    </row>
    <row r="33" customFormat="false" ht="15" hidden="false" customHeight="false" outlineLevel="0" collapsed="false">
      <c r="A33" s="21" t="s">
        <v>21</v>
      </c>
      <c r="B33" s="21"/>
      <c r="C33" s="21"/>
      <c r="D33" s="21"/>
      <c r="E33" s="21"/>
      <c r="F33" s="21"/>
      <c r="S33" s="34"/>
    </row>
    <row r="34" customFormat="false" ht="12.75" hidden="false" customHeight="false" outlineLevel="0" collapsed="false">
      <c r="A34" s="22" t="s">
        <v>22</v>
      </c>
      <c r="B34" s="22"/>
      <c r="C34" s="22"/>
      <c r="D34" s="22"/>
      <c r="E34" s="16"/>
      <c r="F34" s="16"/>
      <c r="G34" s="35"/>
      <c r="S34" s="36" t="s">
        <v>23</v>
      </c>
    </row>
    <row r="35" customFormat="false" ht="12.75" hidden="false" customHeight="false" outlineLevel="0" collapsed="false">
      <c r="A35" s="22" t="s">
        <v>24</v>
      </c>
      <c r="B35" s="22"/>
      <c r="C35" s="22"/>
      <c r="D35" s="22"/>
      <c r="E35" s="16"/>
      <c r="F35" s="16"/>
      <c r="S35" s="37"/>
    </row>
    <row r="36" customFormat="false" ht="5.25" hidden="false" customHeight="true" outlineLevel="0" collapsed="false">
      <c r="A36" s="22"/>
      <c r="B36" s="22"/>
      <c r="C36" s="22"/>
      <c r="D36" s="22"/>
      <c r="E36" s="16"/>
      <c r="F36" s="16"/>
      <c r="S36" s="37"/>
    </row>
    <row r="37" customFormat="false" ht="12.75" hidden="false" customHeight="false" outlineLevel="0" collapsed="false">
      <c r="A37" s="22"/>
      <c r="B37" s="22" t="str">
        <f aca="false">CONCATENATE("PV",ROUND('Damage Calculations'!$F$9*100,2)," of Net Capacity Payments")</f>
        <v>PV5 of Net Capacity Payments</v>
      </c>
      <c r="C37" s="22"/>
      <c r="D37" s="22"/>
      <c r="E37" s="16"/>
      <c r="F37" s="16"/>
      <c r="M37" s="24" t="n">
        <f aca="false">+'Damage Calculations'!Z17</f>
        <v>507998.176778635</v>
      </c>
      <c r="N37" s="26"/>
      <c r="O37" s="24" t="n">
        <f aca="false">+'Damage Calculations'!AA17</f>
        <v>518581.47212819</v>
      </c>
      <c r="P37" s="26"/>
      <c r="Q37" s="24" t="n">
        <f aca="false">+'Damage Calculations'!AB17</f>
        <v>546098.040037032</v>
      </c>
      <c r="R37" s="26"/>
      <c r="S37" s="38" t="n">
        <f aca="false">+'Damage Calculations'!AC17</f>
        <v>556681.335386587</v>
      </c>
    </row>
    <row r="38" customFormat="false" ht="5.25" hidden="false" customHeight="true" outlineLevel="0" collapsed="false">
      <c r="A38" s="22"/>
      <c r="B38" s="22"/>
      <c r="C38" s="22"/>
      <c r="D38" s="22"/>
      <c r="E38" s="16"/>
      <c r="F38" s="16"/>
      <c r="S38" s="37"/>
    </row>
    <row r="39" customFormat="false" ht="12.75" hidden="false" customHeight="false" outlineLevel="0" collapsed="false">
      <c r="A39" s="22"/>
      <c r="B39" s="22" t="s">
        <v>20</v>
      </c>
      <c r="C39" s="22"/>
      <c r="D39" s="22"/>
      <c r="E39" s="16"/>
      <c r="F39" s="16"/>
      <c r="M39" s="30" t="n">
        <f aca="false">+M37-$M$26-$M$28</f>
        <v>369403.926778635</v>
      </c>
      <c r="O39" s="30" t="n">
        <f aca="false">+O37-$M$26-$M$28</f>
        <v>379987.22212819</v>
      </c>
      <c r="Q39" s="30" t="n">
        <f aca="false">+Q37-$M$26-$M$28</f>
        <v>407503.790037032</v>
      </c>
      <c r="S39" s="39" t="n">
        <f aca="false">+S37-$M$26-$M$28</f>
        <v>418087.085386587</v>
      </c>
    </row>
    <row r="40" customFormat="false" ht="12.75" hidden="false" customHeight="false" outlineLevel="0" collapsed="false">
      <c r="A40" s="23"/>
      <c r="B40" s="23"/>
      <c r="C40" s="23"/>
      <c r="D40" s="23"/>
      <c r="S40" s="40"/>
    </row>
    <row r="41" customFormat="false" ht="15" hidden="false" customHeight="false" outlineLevel="0" collapsed="false">
      <c r="A41" s="21" t="s">
        <v>25</v>
      </c>
      <c r="B41" s="21"/>
      <c r="C41" s="21"/>
      <c r="D41" s="21"/>
      <c r="E41" s="21"/>
      <c r="F41" s="21"/>
    </row>
    <row r="42" customFormat="false" ht="12.75" hidden="false" customHeight="false" outlineLevel="0" collapsed="false">
      <c r="A42" s="22" t="s">
        <v>26</v>
      </c>
      <c r="B42" s="22"/>
      <c r="C42" s="22"/>
      <c r="D42" s="22"/>
      <c r="E42" s="16"/>
      <c r="F42" s="16"/>
    </row>
    <row r="43" customFormat="false" ht="12.75" hidden="false" customHeight="false" outlineLevel="0" collapsed="false">
      <c r="A43" s="22" t="s">
        <v>27</v>
      </c>
      <c r="B43" s="22"/>
      <c r="C43" s="22"/>
      <c r="D43" s="22"/>
      <c r="E43" s="16"/>
      <c r="F43" s="16"/>
    </row>
    <row r="44" customFormat="false" ht="12.75" hidden="false" customHeight="false" outlineLevel="0" collapsed="false">
      <c r="A44" s="22" t="s">
        <v>28</v>
      </c>
      <c r="B44" s="22"/>
      <c r="C44" s="22"/>
      <c r="D44" s="22"/>
      <c r="E44" s="16"/>
      <c r="F44" s="16"/>
    </row>
    <row r="45" customFormat="false" ht="4.5" hidden="false" customHeight="true" outlineLevel="0" collapsed="false">
      <c r="A45" s="22"/>
      <c r="B45" s="22"/>
      <c r="C45" s="22"/>
      <c r="D45" s="22"/>
      <c r="E45" s="16"/>
      <c r="F45" s="16"/>
    </row>
    <row r="46" customFormat="false" ht="12.75" hidden="false" customHeight="false" outlineLevel="0" collapsed="false">
      <c r="A46" s="22"/>
      <c r="B46" s="22" t="str">
        <f aca="false">CONCATENATE("PV",ROUND('Damage Calculations'!$F$9*100,2)," of Net Capacity Payments")</f>
        <v>PV5 of Net Capacity Payments</v>
      </c>
      <c r="C46" s="22"/>
      <c r="D46" s="22"/>
      <c r="E46" s="16"/>
      <c r="F46" s="16"/>
      <c r="M46" s="24" t="n">
        <f aca="false">+'Damage Calculations'!Z21</f>
        <v>501468.405781801</v>
      </c>
      <c r="N46" s="26"/>
      <c r="O46" s="24" t="n">
        <f aca="false">+'Damage Calculations'!AA21</f>
        <v>511495.561045498</v>
      </c>
      <c r="P46" s="26"/>
      <c r="Q46" s="24" t="n">
        <f aca="false">+'Damage Calculations'!AB21</f>
        <v>537566.164731108</v>
      </c>
      <c r="R46" s="26"/>
      <c r="S46" s="24" t="n">
        <f aca="false">+'Damage Calculations'!AC21</f>
        <v>547593.319994804</v>
      </c>
    </row>
    <row r="47" customFormat="false" ht="4.5" hidden="false" customHeight="true" outlineLevel="0" collapsed="false">
      <c r="A47" s="22"/>
      <c r="B47" s="22"/>
      <c r="C47" s="22"/>
      <c r="D47" s="22"/>
      <c r="E47" s="16"/>
      <c r="F47" s="16"/>
    </row>
    <row r="48" customFormat="false" ht="12.75" hidden="false" customHeight="false" outlineLevel="0" collapsed="false">
      <c r="A48" s="22"/>
      <c r="B48" s="22" t="s">
        <v>20</v>
      </c>
      <c r="C48" s="22"/>
      <c r="D48" s="22"/>
      <c r="E48" s="16"/>
      <c r="F48" s="16"/>
      <c r="M48" s="30" t="n">
        <f aca="false">+M46-$M$26-$M$28</f>
        <v>362874.155781801</v>
      </c>
      <c r="O48" s="30" t="n">
        <f aca="false">+O46-$M$26-$M$28</f>
        <v>372901.311045498</v>
      </c>
      <c r="Q48" s="30" t="n">
        <f aca="false">+Q46-$M$26-$M$28</f>
        <v>398971.914731108</v>
      </c>
      <c r="S48" s="30" t="n">
        <f aca="false">+S46-$M$26-$M$28</f>
        <v>408999.069994804</v>
      </c>
    </row>
    <row r="49" customFormat="false" ht="12.75" hidden="false" customHeight="false" outlineLevel="0" collapsed="false">
      <c r="A49" s="22"/>
      <c r="B49" s="22"/>
      <c r="C49" s="22"/>
      <c r="D49" s="22"/>
      <c r="E49" s="16"/>
      <c r="F49" s="16"/>
    </row>
    <row r="50" customFormat="false" ht="15" hidden="false" customHeight="false" outlineLevel="0" collapsed="false">
      <c r="A50" s="21" t="s">
        <v>29</v>
      </c>
      <c r="B50" s="21"/>
      <c r="C50" s="21"/>
      <c r="D50" s="21"/>
      <c r="E50" s="21"/>
      <c r="F50" s="21"/>
    </row>
    <row r="51" customFormat="false" ht="12.75" hidden="false" customHeight="false" outlineLevel="0" collapsed="false">
      <c r="A51" s="22" t="s">
        <v>26</v>
      </c>
      <c r="B51" s="22"/>
      <c r="C51" s="22"/>
      <c r="D51" s="22"/>
      <c r="E51" s="16"/>
      <c r="F51" s="16"/>
    </row>
    <row r="52" customFormat="false" ht="12.75" hidden="false" customHeight="false" outlineLevel="0" collapsed="false">
      <c r="A52" s="22" t="s">
        <v>30</v>
      </c>
      <c r="B52" s="22"/>
      <c r="C52" s="22"/>
      <c r="D52" s="22"/>
      <c r="E52" s="16"/>
      <c r="F52" s="16"/>
    </row>
    <row r="53" customFormat="false" ht="12.75" hidden="false" customHeight="false" outlineLevel="0" collapsed="false">
      <c r="A53" s="22" t="s">
        <v>31</v>
      </c>
      <c r="B53" s="22"/>
      <c r="C53" s="22"/>
      <c r="D53" s="22"/>
      <c r="E53" s="16"/>
      <c r="F53" s="16"/>
    </row>
    <row r="54" customFormat="false" ht="5.25" hidden="false" customHeight="true" outlineLevel="0" collapsed="false">
      <c r="A54" s="22"/>
      <c r="B54" s="22"/>
      <c r="C54" s="22"/>
      <c r="D54" s="22"/>
      <c r="E54" s="16"/>
      <c r="F54" s="16"/>
      <c r="O54" s="41"/>
    </row>
    <row r="55" customFormat="false" ht="12.75" hidden="false" customHeight="false" outlineLevel="0" collapsed="false">
      <c r="A55" s="22"/>
      <c r="B55" s="22" t="str">
        <f aca="false">CONCATENATE("PV",ROUND('Damage Calculations'!$F$9*100,2)," of Net Capacity Payments")</f>
        <v>PV5 of Net Capacity Payments</v>
      </c>
      <c r="C55" s="22"/>
      <c r="D55" s="22"/>
      <c r="E55" s="16"/>
      <c r="F55" s="16"/>
      <c r="M55" s="24" t="n">
        <f aca="false">+'Damage Calculations'!Z25</f>
        <v>481303.452657421</v>
      </c>
      <c r="O55" s="24" t="n">
        <f aca="false">+'Damage Calculations'!AA25</f>
        <v>491330.607921118</v>
      </c>
      <c r="P55" s="26"/>
      <c r="Q55" s="24" t="n">
        <f aca="false">+'Damage Calculations'!AB25</f>
        <v>517401.211606728</v>
      </c>
      <c r="R55" s="26"/>
      <c r="S55" s="24" t="n">
        <f aca="false">+'Damage Calculations'!AC25</f>
        <v>527428.366870424</v>
      </c>
    </row>
    <row r="56" customFormat="false" ht="5.25" hidden="false" customHeight="true" outlineLevel="0" collapsed="false">
      <c r="A56" s="22"/>
      <c r="B56" s="22"/>
      <c r="C56" s="22"/>
      <c r="D56" s="22"/>
      <c r="E56" s="16"/>
      <c r="F56" s="16"/>
    </row>
    <row r="57" customFormat="false" ht="12.75" hidden="false" customHeight="false" outlineLevel="0" collapsed="false">
      <c r="A57" s="22"/>
      <c r="B57" s="22" t="s">
        <v>20</v>
      </c>
      <c r="C57" s="22"/>
      <c r="D57" s="22"/>
      <c r="E57" s="16"/>
      <c r="F57" s="16"/>
      <c r="M57" s="30" t="n">
        <f aca="false">+M55-$M$26-$M$28</f>
        <v>342709.202657421</v>
      </c>
      <c r="O57" s="30" t="n">
        <f aca="false">+O55-$M$26-$M$28</f>
        <v>352736.357921118</v>
      </c>
      <c r="Q57" s="30" t="n">
        <f aca="false">+Q55-$M$26-$M$28</f>
        <v>378806.961606728</v>
      </c>
      <c r="S57" s="30" t="n">
        <f aca="false">+S55-$M$26-$M$28</f>
        <v>388834.116870424</v>
      </c>
    </row>
    <row r="58" customFormat="false" ht="12.75" hidden="false" customHeight="false" outlineLevel="0" collapsed="false">
      <c r="A58" s="23"/>
      <c r="B58" s="23"/>
      <c r="C58" s="23"/>
      <c r="D58" s="23"/>
    </row>
    <row r="61" customFormat="false" ht="12.75" hidden="false" customHeight="false" outlineLevel="0" collapsed="false">
      <c r="E61" s="42"/>
      <c r="F61" s="43"/>
      <c r="G61" s="43"/>
      <c r="H61" s="43"/>
      <c r="I61" s="43"/>
      <c r="J61" s="43"/>
      <c r="K61" s="43"/>
      <c r="L61" s="43"/>
      <c r="M61" s="43"/>
      <c r="N61" s="43"/>
      <c r="O61" s="44"/>
    </row>
    <row r="62" customFormat="false" ht="15" hidden="false" customHeight="false" outlineLevel="0" collapsed="false">
      <c r="E62" s="45" t="s">
        <v>32</v>
      </c>
      <c r="F62" s="45"/>
      <c r="G62" s="45"/>
      <c r="H62" s="45"/>
      <c r="I62" s="45"/>
      <c r="J62" s="45"/>
      <c r="K62" s="45"/>
      <c r="L62" s="45"/>
      <c r="M62" s="45"/>
      <c r="N62" s="45"/>
      <c r="O62" s="45"/>
    </row>
    <row r="63" customFormat="false" ht="12.75" hidden="false" customHeight="false" outlineLevel="0" collapsed="false">
      <c r="E63" s="46"/>
      <c r="F63" s="6"/>
      <c r="G63" s="6"/>
      <c r="H63" s="6"/>
      <c r="I63" s="6"/>
      <c r="J63" s="6"/>
      <c r="K63" s="6"/>
      <c r="L63" s="6"/>
      <c r="M63" s="6"/>
      <c r="N63" s="6"/>
      <c r="O63" s="47"/>
    </row>
    <row r="64" customFormat="false" ht="15" hidden="false" customHeight="false" outlineLevel="0" collapsed="false">
      <c r="E64" s="46"/>
      <c r="F64" s="6"/>
      <c r="G64" s="6"/>
      <c r="H64" s="6"/>
      <c r="I64" s="48" t="str">
        <f aca="false">+G12</f>
        <v>240 MW</v>
      </c>
      <c r="J64" s="48"/>
      <c r="K64" s="48" t="str">
        <f aca="false">+O12</f>
        <v>245 MW</v>
      </c>
      <c r="L64" s="48"/>
      <c r="M64" s="48" t="str">
        <f aca="false">+Q12</f>
        <v>258 MW</v>
      </c>
      <c r="N64" s="48"/>
      <c r="O64" s="49" t="str">
        <f aca="false">+S12</f>
        <v>263 MW</v>
      </c>
    </row>
    <row r="65" customFormat="false" ht="12.75" hidden="false" customHeight="false" outlineLevel="0" collapsed="false">
      <c r="E65" s="46"/>
      <c r="F65" s="6"/>
      <c r="G65" s="6"/>
      <c r="H65" s="6"/>
      <c r="I65" s="6"/>
      <c r="J65" s="6"/>
      <c r="K65" s="6"/>
      <c r="L65" s="6"/>
      <c r="M65" s="6"/>
      <c r="N65" s="6"/>
      <c r="O65" s="47"/>
    </row>
    <row r="66" customFormat="false" ht="12.75" hidden="false" customHeight="false" outlineLevel="0" collapsed="false">
      <c r="E66" s="50" t="s">
        <v>33</v>
      </c>
      <c r="F66" s="12"/>
      <c r="G66" s="6"/>
      <c r="H66" s="6"/>
      <c r="I66" s="51" t="n">
        <f aca="false">+M37-$S$37</f>
        <v>-48683.1586079524</v>
      </c>
      <c r="J66" s="6"/>
      <c r="K66" s="51" t="n">
        <f aca="false">+O37-$S$37</f>
        <v>-38099.8632583974</v>
      </c>
      <c r="L66" s="6"/>
      <c r="M66" s="51" t="n">
        <f aca="false">+Q37-$S$37</f>
        <v>-10583.2953495549</v>
      </c>
      <c r="N66" s="6"/>
      <c r="O66" s="52" t="n">
        <f aca="false">+S37-$S$37</f>
        <v>0</v>
      </c>
    </row>
    <row r="67" customFormat="false" ht="12.75" hidden="false" customHeight="false" outlineLevel="0" collapsed="false">
      <c r="E67" s="50" t="s">
        <v>34</v>
      </c>
      <c r="F67" s="12"/>
      <c r="G67" s="6"/>
      <c r="H67" s="6"/>
      <c r="I67" s="51" t="n">
        <f aca="false">+M46-$S$37</f>
        <v>-55212.9296047858</v>
      </c>
      <c r="J67" s="6"/>
      <c r="K67" s="51" t="n">
        <f aca="false">+O46-$S$37</f>
        <v>-45185.774341089</v>
      </c>
      <c r="L67" s="6"/>
      <c r="M67" s="51" t="n">
        <f aca="false">+Q46-$S$37</f>
        <v>-19115.1706554792</v>
      </c>
      <c r="N67" s="6"/>
      <c r="O67" s="53" t="n">
        <f aca="false">+S46-$S$37</f>
        <v>-9088.01539178286</v>
      </c>
    </row>
    <row r="68" customFormat="false" ht="12.75" hidden="false" customHeight="false" outlineLevel="0" collapsed="false">
      <c r="E68" s="50" t="s">
        <v>35</v>
      </c>
      <c r="F68" s="12"/>
      <c r="G68" s="6"/>
      <c r="H68" s="6"/>
      <c r="I68" s="51" t="n">
        <f aca="false">+M55-$S$37</f>
        <v>-75377.8827291658</v>
      </c>
      <c r="J68" s="6"/>
      <c r="K68" s="51" t="n">
        <f aca="false">+O55-$S$37</f>
        <v>-65350.7274654692</v>
      </c>
      <c r="L68" s="6"/>
      <c r="M68" s="51" t="n">
        <f aca="false">+Q55-$S$37</f>
        <v>-39280.1237798593</v>
      </c>
      <c r="N68" s="6"/>
      <c r="O68" s="53" t="n">
        <f aca="false">+S55-$S$37</f>
        <v>-29252.9685161628</v>
      </c>
    </row>
    <row r="69" customFormat="false" ht="12.75" hidden="false" customHeight="false" outlineLevel="0" collapsed="false">
      <c r="E69" s="54"/>
      <c r="F69" s="55"/>
      <c r="G69" s="55"/>
      <c r="H69" s="55"/>
      <c r="I69" s="55"/>
      <c r="J69" s="55"/>
      <c r="K69" s="55"/>
      <c r="L69" s="55"/>
      <c r="M69" s="55"/>
      <c r="N69" s="55"/>
      <c r="O69" s="56"/>
    </row>
    <row r="74" customFormat="false" ht="12.75" hidden="false" customHeight="false" outlineLevel="0" collapsed="false">
      <c r="I74" s="30"/>
    </row>
    <row r="110" customFormat="false" ht="12.75" hidden="false" customHeight="false" outlineLevel="0" collapsed="false">
      <c r="I110" s="1" t="n">
        <v>258</v>
      </c>
      <c r="K110" s="1" t="n">
        <v>5.7</v>
      </c>
    </row>
    <row r="111" customFormat="false" ht="12.75" hidden="false" customHeight="false" outlineLevel="0" collapsed="false">
      <c r="I111" s="1" t="n">
        <f aca="false">+I110*31*16</f>
        <v>127968</v>
      </c>
      <c r="K111" s="1" t="n">
        <v>9500</v>
      </c>
    </row>
    <row r="112" customFormat="false" ht="12.75" hidden="false" customHeight="false" outlineLevel="0" collapsed="false">
      <c r="I112" s="1" t="n">
        <f aca="false">+I111*0.92</f>
        <v>117730.56</v>
      </c>
      <c r="K112" s="1" t="n">
        <f aca="false">+K110*K111/1000+4</f>
        <v>58.15</v>
      </c>
    </row>
    <row r="114" customFormat="false" ht="12.75" hidden="false" customHeight="false" outlineLevel="0" collapsed="false">
      <c r="I114" s="57" t="n">
        <f aca="false">-I112*K112</f>
        <v>-6846032.064</v>
      </c>
      <c r="K114" s="1" t="n">
        <v>45000</v>
      </c>
    </row>
    <row r="115" customFormat="false" ht="12.75" hidden="false" customHeight="false" outlineLevel="0" collapsed="false">
      <c r="I115" s="57" t="n">
        <f aca="false">+K114*31*K110</f>
        <v>7951500</v>
      </c>
    </row>
    <row r="117" customFormat="false" ht="12.75" hidden="false" customHeight="false" outlineLevel="0" collapsed="false">
      <c r="I117" s="30" t="n">
        <f aca="false">SUM(I114:I115)</f>
        <v>1105467.936</v>
      </c>
    </row>
  </sheetData>
  <mergeCells count="13">
    <mergeCell ref="A1:S1"/>
    <mergeCell ref="A2:S2"/>
    <mergeCell ref="A3:S3"/>
    <mergeCell ref="A5:S5"/>
    <mergeCell ref="A8:F8"/>
    <mergeCell ref="G12:M12"/>
    <mergeCell ref="G16:I16"/>
    <mergeCell ref="K16:M16"/>
    <mergeCell ref="A18:E18"/>
    <mergeCell ref="A33:E33"/>
    <mergeCell ref="A41:E41"/>
    <mergeCell ref="A50:E50"/>
    <mergeCell ref="E62:O62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&amp;L&amp;F, &amp;A&amp;R&amp;D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E364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:AC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8.99"/>
    <col collapsed="false" customWidth="true" hidden="false" outlineLevel="0" max="2" min="2" style="0" width="14.41"/>
    <col collapsed="false" customWidth="true" hidden="false" outlineLevel="0" max="6" min="3" style="0" width="12.7"/>
    <col collapsed="false" customWidth="true" hidden="false" outlineLevel="0" max="29" min="7" style="0" width="11.28"/>
    <col collapsed="false" customWidth="true" hidden="false" outlineLevel="0" max="48" min="48" style="0" width="15.85"/>
    <col collapsed="false" customWidth="true" hidden="false" outlineLevel="0" max="50" min="50" style="0" width="14.41"/>
    <col collapsed="false" customWidth="true" hidden="false" outlineLevel="0" max="52" min="52" style="0" width="11.28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</row>
    <row r="2" customFormat="false" ht="16.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customFormat="false" ht="16.5" hidden="false" customHeight="tru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</row>
    <row r="5" customFormat="false" ht="16.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</row>
    <row r="6" customFormat="false" ht="12.75" hidden="false" customHeight="false" outlineLevel="0" collapsed="false">
      <c r="A6" s="60"/>
      <c r="B6" s="61"/>
      <c r="C6" s="61"/>
      <c r="D6" s="61"/>
      <c r="E6" s="61"/>
    </row>
    <row r="7" customFormat="false" ht="12.75" hidden="false" customHeight="false" outlineLevel="0" collapsed="false">
      <c r="A7" s="62" t="s">
        <v>36</v>
      </c>
      <c r="B7" s="62"/>
      <c r="C7" s="62"/>
      <c r="D7" s="62"/>
      <c r="E7" s="62"/>
      <c r="F7" s="62"/>
      <c r="Q7" s="62" t="s">
        <v>37</v>
      </c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</row>
    <row r="8" customFormat="false" ht="12.75" hidden="false" customHeight="false" outlineLevel="0" collapsed="false">
      <c r="A8" s="63" t="s">
        <v>38</v>
      </c>
      <c r="B8" s="64"/>
      <c r="C8" s="64"/>
      <c r="D8" s="65"/>
      <c r="E8" s="66" t="s">
        <v>39</v>
      </c>
      <c r="F8" s="67" t="n">
        <f aca="false">+Summary!S8</f>
        <v>263000</v>
      </c>
    </row>
    <row r="9" customFormat="false" ht="12.75" hidden="false" customHeight="false" outlineLevel="0" collapsed="false">
      <c r="A9" s="68" t="s">
        <v>40</v>
      </c>
      <c r="B9" s="69"/>
      <c r="C9" s="69"/>
      <c r="D9" s="70"/>
      <c r="E9" s="70"/>
      <c r="F9" s="71" t="n">
        <f aca="false">+Summary!S10</f>
        <v>0.05</v>
      </c>
    </row>
    <row r="10" customFormat="false" ht="12.75" hidden="false" customHeight="false" outlineLevel="0" collapsed="false">
      <c r="A10" s="60"/>
      <c r="B10" s="61"/>
      <c r="C10" s="61"/>
      <c r="D10" s="61"/>
      <c r="E10" s="61"/>
    </row>
    <row r="11" customFormat="false" ht="15" hidden="false" customHeight="false" outlineLevel="0" collapsed="false">
      <c r="A11" s="62" t="s">
        <v>41</v>
      </c>
      <c r="B11" s="62"/>
      <c r="C11" s="62"/>
      <c r="D11" s="62"/>
      <c r="E11" s="62"/>
      <c r="F11" s="62"/>
      <c r="Q11" s="72"/>
      <c r="S11" s="73" t="s">
        <v>42</v>
      </c>
      <c r="T11" s="73"/>
      <c r="U11" s="73"/>
      <c r="V11" s="73"/>
      <c r="W11" s="73"/>
      <c r="Y11" s="73" t="s">
        <v>43</v>
      </c>
      <c r="Z11" s="73"/>
      <c r="AA11" s="73"/>
      <c r="AB11" s="73"/>
      <c r="AC11" s="73"/>
    </row>
    <row r="12" customFormat="false" ht="12.75" hidden="false" customHeight="false" outlineLevel="0" collapsed="false">
      <c r="A12" s="74" t="s">
        <v>44</v>
      </c>
      <c r="B12" s="75" t="s">
        <v>45</v>
      </c>
      <c r="C12" s="42" t="s">
        <v>46</v>
      </c>
      <c r="D12" s="64"/>
      <c r="E12" s="64"/>
      <c r="F12" s="76"/>
      <c r="Q12" s="77" t="s">
        <v>41</v>
      </c>
      <c r="S12" s="78" t="s">
        <v>47</v>
      </c>
      <c r="T12" s="79" t="n">
        <v>240000</v>
      </c>
      <c r="U12" s="79" t="n">
        <v>245000</v>
      </c>
      <c r="V12" s="79" t="n">
        <v>258000</v>
      </c>
      <c r="W12" s="80" t="n">
        <v>263000</v>
      </c>
      <c r="Y12" s="78" t="s">
        <v>47</v>
      </c>
      <c r="Z12" s="79" t="n">
        <v>240000</v>
      </c>
      <c r="AA12" s="79" t="n">
        <v>245000</v>
      </c>
      <c r="AB12" s="79" t="n">
        <v>258000</v>
      </c>
      <c r="AC12" s="80" t="n">
        <v>263000</v>
      </c>
    </row>
    <row r="13" customFormat="false" ht="12.75" hidden="false" customHeight="false" outlineLevel="0" collapsed="false">
      <c r="A13" s="68" t="s">
        <v>48</v>
      </c>
      <c r="B13" s="81" t="s">
        <v>45</v>
      </c>
      <c r="C13" s="54" t="s">
        <v>49</v>
      </c>
      <c r="D13" s="69"/>
      <c r="E13" s="69"/>
      <c r="F13" s="82"/>
      <c r="Q13" s="83"/>
      <c r="S13" s="84" t="n">
        <f aca="false">+B41/1000</f>
        <v>586133.469493143</v>
      </c>
      <c r="T13" s="85" t="n">
        <f aca="true">TABLE($S13,$F$8,T$12)</f>
        <v>534874.648967127</v>
      </c>
      <c r="U13" s="85" t="n">
        <f aca="true">TABLE($S13,$F$8,U$12)</f>
        <v>546017.870820608</v>
      </c>
      <c r="V13" s="85" t="n">
        <f aca="true">TABLE($S13,$F$8,V$12)</f>
        <v>574990.247639661</v>
      </c>
      <c r="W13" s="86" t="n">
        <f aca="true">TABLE($S13,$F$8,W$12)</f>
        <v>586133.469493143</v>
      </c>
      <c r="Y13" s="84" t="n">
        <f aca="false">+B42/1000</f>
        <v>548419.739235463</v>
      </c>
      <c r="Z13" s="85" t="n">
        <f aca="true">TABLE($Y13,$F$8,Z$12)</f>
        <v>500459.077629319</v>
      </c>
      <c r="AA13" s="85" t="n">
        <f aca="true">TABLE($Y13,$F$8,AA$12)</f>
        <v>510885.308413264</v>
      </c>
      <c r="AB13" s="85" t="n">
        <f aca="true">TABLE($Y13,$F$8,AB$12)</f>
        <v>537993.508451519</v>
      </c>
      <c r="AC13" s="86" t="n">
        <f aca="true">TABLE($Y13,$F$8,AC$12)</f>
        <v>548419.739235463</v>
      </c>
    </row>
    <row r="14" customFormat="false" ht="12.75" hidden="false" customHeight="false" outlineLevel="0" collapsed="false">
      <c r="C14" s="1"/>
    </row>
    <row r="15" customFormat="false" ht="15" hidden="false" customHeight="false" outlineLevel="0" collapsed="false">
      <c r="A15" s="62" t="s">
        <v>50</v>
      </c>
      <c r="B15" s="62"/>
      <c r="C15" s="62"/>
      <c r="D15" s="62"/>
      <c r="E15" s="62"/>
      <c r="F15" s="62"/>
      <c r="Q15" s="72"/>
      <c r="Y15" s="73" t="s">
        <v>43</v>
      </c>
      <c r="Z15" s="73"/>
      <c r="AA15" s="73"/>
      <c r="AB15" s="73"/>
      <c r="AC15" s="73"/>
    </row>
    <row r="16" customFormat="false" ht="12.75" hidden="false" customHeight="false" outlineLevel="0" collapsed="false">
      <c r="A16" s="74" t="s">
        <v>44</v>
      </c>
      <c r="B16" s="75" t="s">
        <v>51</v>
      </c>
      <c r="C16" s="87" t="s">
        <v>52</v>
      </c>
      <c r="D16" s="88"/>
      <c r="E16" s="88"/>
      <c r="F16" s="89"/>
      <c r="Q16" s="77" t="s">
        <v>50</v>
      </c>
      <c r="Y16" s="78" t="s">
        <v>47</v>
      </c>
      <c r="Z16" s="79" t="n">
        <v>240000</v>
      </c>
      <c r="AA16" s="79" t="n">
        <v>245000</v>
      </c>
      <c r="AB16" s="79" t="n">
        <v>258000</v>
      </c>
      <c r="AC16" s="80" t="n">
        <v>263000</v>
      </c>
    </row>
    <row r="17" customFormat="false" ht="12.75" hidden="false" customHeight="false" outlineLevel="0" collapsed="false">
      <c r="A17" s="68" t="s">
        <v>48</v>
      </c>
      <c r="B17" s="81" t="s">
        <v>51</v>
      </c>
      <c r="C17" s="54" t="s">
        <v>53</v>
      </c>
      <c r="D17" s="55"/>
      <c r="E17" s="55"/>
      <c r="F17" s="56"/>
      <c r="Q17" s="83"/>
      <c r="Y17" s="84" t="n">
        <f aca="false">+B55/1000</f>
        <v>556681.335386587</v>
      </c>
      <c r="Z17" s="85" t="n">
        <f aca="true">TABLE($Y17,$F$8,Z$16)</f>
        <v>507998.176778635</v>
      </c>
      <c r="AA17" s="85" t="n">
        <f aca="true">TABLE($Y17,$F$8,AA$16)</f>
        <v>518581.47212819</v>
      </c>
      <c r="AB17" s="85" t="n">
        <f aca="true">TABLE($Y17,$F$8,AB$16)</f>
        <v>546098.040037032</v>
      </c>
      <c r="AC17" s="86" t="n">
        <f aca="true">TABLE($Y17,$F$8,AC$16)</f>
        <v>556681.335386587</v>
      </c>
    </row>
    <row r="19" customFormat="false" ht="15" hidden="false" customHeight="false" outlineLevel="0" collapsed="false">
      <c r="A19" s="62" t="s">
        <v>54</v>
      </c>
      <c r="B19" s="62"/>
      <c r="C19" s="62"/>
      <c r="D19" s="62"/>
      <c r="E19" s="62"/>
      <c r="F19" s="62"/>
      <c r="H19" s="23"/>
      <c r="I19" s="23"/>
      <c r="Q19" s="72"/>
      <c r="Y19" s="73" t="s">
        <v>43</v>
      </c>
      <c r="Z19" s="73"/>
      <c r="AA19" s="73"/>
      <c r="AB19" s="73"/>
      <c r="AC19" s="73"/>
    </row>
    <row r="20" customFormat="false" ht="12.75" hidden="false" customHeight="false" outlineLevel="0" collapsed="false">
      <c r="A20" s="74" t="s">
        <v>55</v>
      </c>
      <c r="B20" s="75" t="s">
        <v>51</v>
      </c>
      <c r="C20" s="90" t="s">
        <v>56</v>
      </c>
      <c r="D20" s="88"/>
      <c r="E20" s="88"/>
      <c r="F20" s="89"/>
      <c r="H20" s="23"/>
      <c r="I20" s="23"/>
      <c r="Q20" s="77" t="s">
        <v>54</v>
      </c>
      <c r="Y20" s="78" t="s">
        <v>47</v>
      </c>
      <c r="Z20" s="79" t="n">
        <v>240000</v>
      </c>
      <c r="AA20" s="79" t="n">
        <v>245000</v>
      </c>
      <c r="AB20" s="79" t="n">
        <v>258000</v>
      </c>
      <c r="AC20" s="80" t="n">
        <v>263000</v>
      </c>
    </row>
    <row r="21" customFormat="false" ht="12.75" hidden="false" customHeight="false" outlineLevel="0" collapsed="false">
      <c r="A21" s="68" t="s">
        <v>48</v>
      </c>
      <c r="B21" s="81" t="s">
        <v>51</v>
      </c>
      <c r="C21" s="54" t="s">
        <v>57</v>
      </c>
      <c r="D21" s="55"/>
      <c r="E21" s="55"/>
      <c r="F21" s="56"/>
      <c r="H21" s="91"/>
      <c r="I21" s="91"/>
      <c r="Q21" s="83"/>
      <c r="Y21" s="84" t="n">
        <f aca="false">+B68/1000</f>
        <v>547593.319994804</v>
      </c>
      <c r="Z21" s="85" t="n">
        <f aca="true">TABLE($Y21,$F$8,Z$20)</f>
        <v>501468.405781801</v>
      </c>
      <c r="AA21" s="85" t="n">
        <f aca="true">TABLE($Y21,$F$8,AA$20)</f>
        <v>511495.561045498</v>
      </c>
      <c r="AB21" s="85" t="n">
        <f aca="true">TABLE($Y21,$F$8,AB$20)</f>
        <v>537566.164731108</v>
      </c>
      <c r="AC21" s="86" t="n">
        <f aca="true">TABLE($Y21,$F$8,AC$20)</f>
        <v>547593.319994804</v>
      </c>
    </row>
    <row r="23" customFormat="false" ht="15" hidden="false" customHeight="false" outlineLevel="0" collapsed="false">
      <c r="A23" s="62" t="s">
        <v>58</v>
      </c>
      <c r="B23" s="62"/>
      <c r="C23" s="62"/>
      <c r="D23" s="62"/>
      <c r="E23" s="62"/>
      <c r="F23" s="62"/>
      <c r="Q23" s="72"/>
      <c r="Y23" s="73" t="s">
        <v>43</v>
      </c>
      <c r="Z23" s="73"/>
      <c r="AA23" s="73"/>
      <c r="AB23" s="73"/>
      <c r="AC23" s="73"/>
    </row>
    <row r="24" customFormat="false" ht="12.75" hidden="false" customHeight="false" outlineLevel="0" collapsed="false">
      <c r="A24" s="74" t="s">
        <v>44</v>
      </c>
      <c r="B24" s="75" t="s">
        <v>45</v>
      </c>
      <c r="C24" s="42" t="s">
        <v>59</v>
      </c>
      <c r="D24" s="64"/>
      <c r="E24" s="64"/>
      <c r="F24" s="76"/>
      <c r="Q24" s="77" t="s">
        <v>58</v>
      </c>
      <c r="Y24" s="78" t="s">
        <v>47</v>
      </c>
      <c r="Z24" s="79" t="n">
        <v>240000</v>
      </c>
      <c r="AA24" s="79" t="n">
        <v>245000</v>
      </c>
      <c r="AB24" s="79" t="n">
        <v>258000</v>
      </c>
      <c r="AC24" s="80" t="n">
        <v>263000</v>
      </c>
    </row>
    <row r="25" customFormat="false" ht="12.75" hidden="false" customHeight="false" outlineLevel="0" collapsed="false">
      <c r="A25" s="68" t="s">
        <v>48</v>
      </c>
      <c r="B25" s="81" t="s">
        <v>51</v>
      </c>
      <c r="C25" s="92" t="s">
        <v>60</v>
      </c>
      <c r="D25" s="69"/>
      <c r="E25" s="69"/>
      <c r="F25" s="82"/>
      <c r="Q25" s="83"/>
      <c r="Y25" s="84" t="n">
        <f aca="false">+B81/1000</f>
        <v>527428.366870424</v>
      </c>
      <c r="Z25" s="85" t="n">
        <f aca="true">TABLE($Y25,$F$8,Z$24)</f>
        <v>481303.452657421</v>
      </c>
      <c r="AA25" s="85" t="n">
        <f aca="true">TABLE($Y25,$F$8,AA$24)</f>
        <v>491330.607921118</v>
      </c>
      <c r="AB25" s="85" t="n">
        <f aca="true">TABLE($Y25,$F$8,AB$24)</f>
        <v>517401.211606728</v>
      </c>
      <c r="AC25" s="86" t="n">
        <f aca="true">TABLE($Y25,$F$8,AC$24)</f>
        <v>527428.366870424</v>
      </c>
    </row>
    <row r="26" customFormat="false" ht="12.75" hidden="false" customHeight="false" outlineLevel="0" collapsed="false">
      <c r="C26" s="41"/>
    </row>
    <row r="28" customFormat="false" ht="12.75" hidden="false" customHeight="false" outlineLevel="0" collapsed="false">
      <c r="A28" s="61"/>
      <c r="B28" s="61"/>
      <c r="C28" s="61"/>
      <c r="D28" s="61"/>
      <c r="E28" s="61"/>
      <c r="F28" s="61"/>
      <c r="G28" s="93" t="n">
        <v>1997</v>
      </c>
      <c r="H28" s="94" t="n">
        <v>1998</v>
      </c>
      <c r="I28" s="94" t="n">
        <v>1999</v>
      </c>
      <c r="J28" s="94" t="n">
        <v>2000</v>
      </c>
      <c r="K28" s="94" t="n">
        <v>2001</v>
      </c>
      <c r="L28" s="94" t="n">
        <v>2002</v>
      </c>
      <c r="M28" s="94" t="n">
        <v>2003</v>
      </c>
      <c r="N28" s="94" t="n">
        <v>2004</v>
      </c>
      <c r="O28" s="94" t="n">
        <v>2005</v>
      </c>
      <c r="P28" s="94" t="n">
        <v>2006</v>
      </c>
      <c r="Q28" s="94" t="n">
        <v>2007</v>
      </c>
      <c r="R28" s="94" t="n">
        <v>2008</v>
      </c>
      <c r="S28" s="94" t="n">
        <v>2009</v>
      </c>
      <c r="T28" s="94" t="n">
        <v>2010</v>
      </c>
      <c r="U28" s="94" t="n">
        <v>2011</v>
      </c>
      <c r="V28" s="94" t="n">
        <v>2012</v>
      </c>
      <c r="W28" s="94" t="n">
        <v>2013</v>
      </c>
      <c r="X28" s="94" t="n">
        <v>2014</v>
      </c>
      <c r="Y28" s="94" t="n">
        <v>2015</v>
      </c>
      <c r="Z28" s="94" t="n">
        <v>2016</v>
      </c>
      <c r="AA28" s="94" t="n">
        <v>2017</v>
      </c>
      <c r="AB28" s="94" t="n">
        <v>2018</v>
      </c>
      <c r="AC28" s="95" t="n">
        <v>2019</v>
      </c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</row>
    <row r="29" customFormat="false" ht="12.75" hidden="false" customHeight="false" outlineLevel="0" collapsed="false">
      <c r="A29" s="61"/>
      <c r="B29" s="61"/>
      <c r="C29" s="61"/>
      <c r="D29" s="61"/>
      <c r="E29" s="61"/>
      <c r="F29" s="61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</row>
    <row r="30" customFormat="false" ht="12.75" hidden="false" customHeight="false" outlineLevel="0" collapsed="false">
      <c r="A30" s="97" t="s">
        <v>61</v>
      </c>
      <c r="B30" s="97"/>
      <c r="C30" s="97"/>
      <c r="D30" s="97"/>
      <c r="E30" s="97"/>
      <c r="F30" s="97"/>
    </row>
    <row r="31" customFormat="false" ht="13.5" hidden="false" customHeight="false" outlineLevel="0" collapsed="false">
      <c r="A31" s="98" t="s">
        <v>62</v>
      </c>
      <c r="F31" s="0" t="s">
        <v>63</v>
      </c>
      <c r="G31" s="99" t="n">
        <v>13.6</v>
      </c>
      <c r="H31" s="99" t="n">
        <v>14.04</v>
      </c>
      <c r="I31" s="99" t="n">
        <v>14.57</v>
      </c>
      <c r="J31" s="99" t="n">
        <v>15.09</v>
      </c>
      <c r="K31" s="99" t="n">
        <v>15.65</v>
      </c>
      <c r="L31" s="99" t="n">
        <v>16.21</v>
      </c>
      <c r="M31" s="99" t="n">
        <v>16.87</v>
      </c>
      <c r="N31" s="99" t="n">
        <v>17.54</v>
      </c>
      <c r="O31" s="99" t="n">
        <v>18.18</v>
      </c>
      <c r="P31" s="99" t="n">
        <v>18.88</v>
      </c>
      <c r="Q31" s="99" t="n">
        <v>17.58</v>
      </c>
      <c r="R31" s="99" t="n">
        <v>18.13</v>
      </c>
      <c r="S31" s="99" t="n">
        <v>18.87</v>
      </c>
      <c r="T31" s="99" t="n">
        <v>19.52</v>
      </c>
      <c r="U31" s="99" t="n">
        <v>20.22</v>
      </c>
      <c r="V31" s="99" t="n">
        <v>20.99</v>
      </c>
      <c r="W31" s="99" t="n">
        <v>21.56</v>
      </c>
      <c r="X31" s="99" t="n">
        <v>21.71</v>
      </c>
      <c r="Y31" s="99" t="n">
        <v>22.02</v>
      </c>
      <c r="Z31" s="99" t="n">
        <v>22.18</v>
      </c>
      <c r="AA31" s="99" t="n">
        <v>23.13</v>
      </c>
      <c r="AB31" s="99" t="n">
        <v>23.58</v>
      </c>
      <c r="AC31" s="99" t="n">
        <v>24.07</v>
      </c>
    </row>
    <row r="32" customFormat="false" ht="13.5" hidden="false" customHeight="false" outlineLevel="0" collapsed="false">
      <c r="A32" s="98" t="s">
        <v>64</v>
      </c>
      <c r="C32" s="100" t="n">
        <f aca="false">+IF($B$12="yes",1,0)</f>
        <v>0</v>
      </c>
      <c r="D32" s="101" t="s">
        <v>65</v>
      </c>
      <c r="F32" s="0" t="s">
        <v>63</v>
      </c>
      <c r="G32" s="102" t="n">
        <f aca="false">+'Tenaska''s i Adjustment'!D$44*$C$32</f>
        <v>0</v>
      </c>
      <c r="H32" s="102" t="n">
        <f aca="false">+'Tenaska''s i Adjustment'!E$44*$C$32</f>
        <v>0</v>
      </c>
      <c r="I32" s="102" t="n">
        <f aca="false">+'Tenaska''s i Adjustment'!F$44*$C$32</f>
        <v>0</v>
      </c>
      <c r="J32" s="102" t="n">
        <f aca="false">+'Tenaska''s i Adjustment'!G$44*$C$32</f>
        <v>0</v>
      </c>
      <c r="K32" s="102" t="n">
        <f aca="false">+'Tenaska''s i Adjustment'!H$44*$C$32</f>
        <v>0</v>
      </c>
      <c r="L32" s="102" t="n">
        <f aca="false">+'Tenaska''s i Adjustment'!I$44*$C$32</f>
        <v>0</v>
      </c>
      <c r="M32" s="102" t="n">
        <f aca="false">+'Tenaska''s i Adjustment'!J$44*$C$32</f>
        <v>0</v>
      </c>
      <c r="N32" s="102" t="n">
        <f aca="false">+'Tenaska''s i Adjustment'!K$44*$C$32</f>
        <v>0</v>
      </c>
      <c r="O32" s="102" t="n">
        <f aca="false">+'Tenaska''s i Adjustment'!L$44*$C$32</f>
        <v>0</v>
      </c>
      <c r="P32" s="102" t="n">
        <f aca="false">+'Tenaska''s i Adjustment'!M$44*$C$32</f>
        <v>0</v>
      </c>
      <c r="Q32" s="102" t="n">
        <f aca="false">+'Tenaska''s i Adjustment'!N$44*$C$32</f>
        <v>0</v>
      </c>
      <c r="R32" s="102" t="n">
        <f aca="false">+'Tenaska''s i Adjustment'!O$44*$C$32</f>
        <v>0</v>
      </c>
      <c r="S32" s="102" t="n">
        <f aca="false">+'Tenaska''s i Adjustment'!P$44*$C$32</f>
        <v>0</v>
      </c>
      <c r="T32" s="102" t="n">
        <f aca="false">+'Tenaska''s i Adjustment'!Q$44*$C$32</f>
        <v>0</v>
      </c>
      <c r="U32" s="102" t="n">
        <f aca="false">+'Tenaska''s i Adjustment'!R$44*$C$32</f>
        <v>0</v>
      </c>
      <c r="V32" s="102" t="n">
        <f aca="false">+'Tenaska''s i Adjustment'!S$44*$C$32</f>
        <v>0</v>
      </c>
      <c r="W32" s="102" t="n">
        <f aca="false">+'Tenaska''s i Adjustment'!T$44*$C$32</f>
        <v>0</v>
      </c>
      <c r="X32" s="102" t="n">
        <f aca="false">+'Tenaska''s i Adjustment'!U$44*$C$32</f>
        <v>0</v>
      </c>
      <c r="Y32" s="102" t="n">
        <f aca="false">+'Tenaska''s i Adjustment'!V$44*$C$32</f>
        <v>0</v>
      </c>
      <c r="Z32" s="102" t="n">
        <f aca="false">+'Tenaska''s i Adjustment'!W$44*$C$32</f>
        <v>0</v>
      </c>
      <c r="AA32" s="102" t="n">
        <f aca="false">+'Tenaska''s i Adjustment'!X$44*$C$32</f>
        <v>-0</v>
      </c>
      <c r="AB32" s="102" t="n">
        <f aca="false">+'Tenaska''s i Adjustment'!Y$44*$C$32</f>
        <v>-0</v>
      </c>
      <c r="AC32" s="102" t="n">
        <f aca="false">+'Tenaska''s i Adjustment'!Z$44*$C$32</f>
        <v>-0</v>
      </c>
    </row>
    <row r="33" customFormat="false" ht="13.5" hidden="false" customHeight="false" outlineLevel="0" collapsed="false">
      <c r="A33" s="98" t="s">
        <v>66</v>
      </c>
      <c r="B33" s="98"/>
      <c r="C33" s="100" t="n">
        <f aca="false">+IF($B$13="yes",1,0)</f>
        <v>0</v>
      </c>
      <c r="D33" s="101" t="s">
        <v>65</v>
      </c>
      <c r="E33" s="98"/>
      <c r="F33" s="0" t="s">
        <v>63</v>
      </c>
      <c r="G33" s="103" t="n">
        <f aca="false">+'Damage Calculations'!G$85*'Damage Calculations'!$C$33</f>
        <v>0</v>
      </c>
      <c r="H33" s="103" t="n">
        <f aca="false">+'Damage Calculations'!H$85*'Damage Calculations'!$C$33</f>
        <v>0</v>
      </c>
      <c r="I33" s="103" t="n">
        <f aca="false">+'Damage Calculations'!I$85*'Damage Calculations'!$C$33</f>
        <v>0</v>
      </c>
      <c r="J33" s="103" t="n">
        <f aca="false">+'Damage Calculations'!J$85*'Damage Calculations'!$C$33</f>
        <v>-0</v>
      </c>
      <c r="K33" s="103" t="n">
        <f aca="false">+'Damage Calculations'!K$85*'Damage Calculations'!$C$33</f>
        <v>-0</v>
      </c>
      <c r="L33" s="103" t="n">
        <f aca="false">+'Damage Calculations'!L$85*'Damage Calculations'!$C$33</f>
        <v>-0</v>
      </c>
      <c r="M33" s="103" t="n">
        <f aca="false">+'Damage Calculations'!M$85*'Damage Calculations'!$C$33</f>
        <v>-0</v>
      </c>
      <c r="N33" s="103" t="n">
        <f aca="false">+'Damage Calculations'!N$85*'Damage Calculations'!$C$33</f>
        <v>-0</v>
      </c>
      <c r="O33" s="103" t="n">
        <f aca="false">+'Damage Calculations'!O$85*'Damage Calculations'!$C$33</f>
        <v>-0</v>
      </c>
      <c r="P33" s="103" t="n">
        <f aca="false">+'Damage Calculations'!P$85*'Damage Calculations'!$C$33</f>
        <v>-0</v>
      </c>
      <c r="Q33" s="103" t="n">
        <f aca="false">+'Damage Calculations'!Q$85*'Damage Calculations'!$C$33</f>
        <v>0</v>
      </c>
      <c r="R33" s="103" t="n">
        <f aca="false">+'Damage Calculations'!R$85*'Damage Calculations'!$C$33</f>
        <v>0</v>
      </c>
      <c r="S33" s="103" t="n">
        <f aca="false">+'Damage Calculations'!S$85*'Damage Calculations'!$C$33</f>
        <v>0</v>
      </c>
      <c r="T33" s="103" t="n">
        <f aca="false">+'Damage Calculations'!T$85*'Damage Calculations'!$C$33</f>
        <v>0</v>
      </c>
      <c r="U33" s="103" t="n">
        <f aca="false">+'Damage Calculations'!U$85*'Damage Calculations'!$C$33</f>
        <v>0</v>
      </c>
      <c r="V33" s="103" t="n">
        <f aca="false">+'Damage Calculations'!V$85*'Damage Calculations'!$C$33</f>
        <v>0</v>
      </c>
      <c r="W33" s="103" t="n">
        <f aca="false">+'Damage Calculations'!W$85*'Damage Calculations'!$C$33</f>
        <v>0</v>
      </c>
      <c r="X33" s="103" t="n">
        <f aca="false">+'Damage Calculations'!X$85*'Damage Calculations'!$C$33</f>
        <v>0</v>
      </c>
      <c r="Y33" s="103" t="n">
        <f aca="false">+'Damage Calculations'!Y$85*'Damage Calculations'!$C$33</f>
        <v>0</v>
      </c>
      <c r="Z33" s="103" t="n">
        <f aca="false">+'Damage Calculations'!Z$85*'Damage Calculations'!$C$33</f>
        <v>0</v>
      </c>
      <c r="AA33" s="103" t="n">
        <f aca="false">+'Damage Calculations'!AA$85*'Damage Calculations'!$C$33</f>
        <v>0</v>
      </c>
      <c r="AB33" s="103" t="n">
        <f aca="false">+'Damage Calculations'!AB$85*'Damage Calculations'!$C$33</f>
        <v>0</v>
      </c>
      <c r="AC33" s="103" t="n">
        <f aca="false">+'Damage Calculations'!AC$85*'Damage Calculations'!$C$33</f>
        <v>0</v>
      </c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</row>
    <row r="34" customFormat="false" ht="12.75" hidden="false" customHeight="false" outlineLevel="0" collapsed="false">
      <c r="A34" s="98" t="s">
        <v>67</v>
      </c>
      <c r="D34" s="104"/>
      <c r="F34" s="0" t="s">
        <v>63</v>
      </c>
      <c r="G34" s="105" t="n">
        <v>-1.96</v>
      </c>
      <c r="H34" s="105" t="n">
        <v>-2.12</v>
      </c>
      <c r="I34" s="105" t="n">
        <v>-3.94</v>
      </c>
      <c r="J34" s="105" t="n">
        <v>-2.24</v>
      </c>
      <c r="K34" s="105" t="n">
        <v>-3.42</v>
      </c>
      <c r="L34" s="105" t="n">
        <v>-5.95</v>
      </c>
      <c r="M34" s="105" t="n">
        <v>-2.65</v>
      </c>
      <c r="N34" s="105" t="n">
        <v>-2.74</v>
      </c>
      <c r="O34" s="105" t="n">
        <v>-5.33</v>
      </c>
      <c r="P34" s="105" t="n">
        <v>-4.45</v>
      </c>
      <c r="Q34" s="105" t="n">
        <v>-3.19</v>
      </c>
      <c r="R34" s="105" t="n">
        <v>-10.45</v>
      </c>
      <c r="S34" s="105" t="n">
        <v>-3.53</v>
      </c>
      <c r="T34" s="105" t="n">
        <v>-3.75</v>
      </c>
      <c r="U34" s="105" t="n">
        <v>-6.74</v>
      </c>
      <c r="V34" s="105" t="n">
        <v>-4.08</v>
      </c>
      <c r="W34" s="105" t="n">
        <v>-4.32</v>
      </c>
      <c r="X34" s="105" t="n">
        <v>-9.21</v>
      </c>
      <c r="Y34" s="105" t="n">
        <v>-4.73</v>
      </c>
      <c r="Z34" s="105" t="n">
        <v>-4.99</v>
      </c>
      <c r="AA34" s="105" t="n">
        <v>-10.49</v>
      </c>
      <c r="AB34" s="105" t="n">
        <v>-5.5</v>
      </c>
      <c r="AC34" s="105" t="n">
        <v>-8.87</v>
      </c>
    </row>
    <row r="35" customFormat="false" ht="12.75" hidden="false" customHeight="false" outlineLevel="0" collapsed="false">
      <c r="A35" s="98" t="s">
        <v>68</v>
      </c>
      <c r="B35" s="98"/>
      <c r="C35" s="98"/>
      <c r="D35" s="101"/>
      <c r="E35" s="98"/>
      <c r="F35" s="0" t="s">
        <v>63</v>
      </c>
      <c r="G35" s="103" t="n">
        <f aca="false">SUM(G31:G34)</f>
        <v>11.64</v>
      </c>
      <c r="H35" s="103" t="n">
        <f aca="false">SUM(H31:H34)</f>
        <v>11.92</v>
      </c>
      <c r="I35" s="103" t="n">
        <f aca="false">SUM(I31:I34)</f>
        <v>10.63</v>
      </c>
      <c r="J35" s="103" t="n">
        <f aca="false">SUM(J31:J34)</f>
        <v>12.85</v>
      </c>
      <c r="K35" s="103" t="n">
        <f aca="false">SUM(K31:K34)</f>
        <v>12.23</v>
      </c>
      <c r="L35" s="103" t="n">
        <f aca="false">SUM(L31:L34)</f>
        <v>10.26</v>
      </c>
      <c r="M35" s="103" t="n">
        <f aca="false">SUM(M31:M34)</f>
        <v>14.22</v>
      </c>
      <c r="N35" s="103" t="n">
        <f aca="false">SUM(N31:N34)</f>
        <v>14.8</v>
      </c>
      <c r="O35" s="103" t="n">
        <f aca="false">SUM(O31:O34)</f>
        <v>12.85</v>
      </c>
      <c r="P35" s="103" t="n">
        <f aca="false">SUM(P31:P34)</f>
        <v>14.43</v>
      </c>
      <c r="Q35" s="103" t="n">
        <f aca="false">SUM(Q31:Q34)</f>
        <v>14.39</v>
      </c>
      <c r="R35" s="103" t="n">
        <f aca="false">SUM(R31:R34)</f>
        <v>7.68</v>
      </c>
      <c r="S35" s="103" t="n">
        <f aca="false">SUM(S31:S34)</f>
        <v>15.34</v>
      </c>
      <c r="T35" s="103" t="n">
        <f aca="false">SUM(T31:T34)</f>
        <v>15.77</v>
      </c>
      <c r="U35" s="103" t="n">
        <f aca="false">SUM(U31:U34)</f>
        <v>13.48</v>
      </c>
      <c r="V35" s="103" t="n">
        <f aca="false">SUM(V31:V34)</f>
        <v>16.91</v>
      </c>
      <c r="W35" s="103" t="n">
        <f aca="false">SUM(W31:W34)</f>
        <v>17.24</v>
      </c>
      <c r="X35" s="103" t="n">
        <f aca="false">SUM(X31:X34)</f>
        <v>12.5</v>
      </c>
      <c r="Y35" s="103" t="n">
        <f aca="false">SUM(Y31:Y34)</f>
        <v>17.29</v>
      </c>
      <c r="Z35" s="103" t="n">
        <f aca="false">SUM(Z31:Z34)</f>
        <v>17.19</v>
      </c>
      <c r="AA35" s="103" t="n">
        <f aca="false">SUM(AA31:AA34)</f>
        <v>12.64</v>
      </c>
      <c r="AB35" s="103" t="n">
        <f aca="false">SUM(AB31:AB34)</f>
        <v>18.08</v>
      </c>
      <c r="AC35" s="103" t="n">
        <f aca="false">SUM(AC31:AC34)</f>
        <v>15.2</v>
      </c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</row>
    <row r="36" customFormat="false" ht="12.75" hidden="false" customHeight="false" outlineLevel="0" collapsed="false">
      <c r="A36" s="98" t="s">
        <v>69</v>
      </c>
      <c r="B36" s="106"/>
      <c r="C36" s="106"/>
      <c r="D36" s="107"/>
      <c r="E36" s="106"/>
      <c r="F36" s="106"/>
      <c r="G36" s="79" t="n">
        <v>12</v>
      </c>
      <c r="H36" s="108" t="n">
        <f aca="false">+G36</f>
        <v>12</v>
      </c>
      <c r="I36" s="108" t="n">
        <f aca="false">+H36</f>
        <v>12</v>
      </c>
      <c r="J36" s="108" t="n">
        <f aca="false">+I36</f>
        <v>12</v>
      </c>
      <c r="K36" s="108" t="n">
        <f aca="false">+J36</f>
        <v>12</v>
      </c>
      <c r="L36" s="108" t="n">
        <f aca="false">+K36</f>
        <v>12</v>
      </c>
      <c r="M36" s="108" t="n">
        <f aca="false">+L36</f>
        <v>12</v>
      </c>
      <c r="N36" s="108" t="n">
        <f aca="false">+M36</f>
        <v>12</v>
      </c>
      <c r="O36" s="108" t="n">
        <f aca="false">+N36</f>
        <v>12</v>
      </c>
      <c r="P36" s="108" t="n">
        <f aca="false">+O36</f>
        <v>12</v>
      </c>
      <c r="Q36" s="108" t="n">
        <f aca="false">+P36</f>
        <v>12</v>
      </c>
      <c r="R36" s="108" t="n">
        <f aca="false">+Q36</f>
        <v>12</v>
      </c>
      <c r="S36" s="108" t="n">
        <f aca="false">+R36</f>
        <v>12</v>
      </c>
      <c r="T36" s="108" t="n">
        <f aca="false">+S36</f>
        <v>12</v>
      </c>
      <c r="U36" s="108" t="n">
        <f aca="false">+T36</f>
        <v>12</v>
      </c>
      <c r="V36" s="108" t="n">
        <f aca="false">+U36</f>
        <v>12</v>
      </c>
      <c r="W36" s="108" t="n">
        <f aca="false">+V36</f>
        <v>12</v>
      </c>
      <c r="X36" s="108" t="n">
        <f aca="false">+W36</f>
        <v>12</v>
      </c>
      <c r="Y36" s="108" t="n">
        <f aca="false">+X36</f>
        <v>12</v>
      </c>
      <c r="Z36" s="108" t="n">
        <f aca="false">+Y36</f>
        <v>12</v>
      </c>
      <c r="AA36" s="108" t="n">
        <f aca="false">+Z36</f>
        <v>12</v>
      </c>
      <c r="AB36" s="108" t="n">
        <f aca="false">+AA36</f>
        <v>12</v>
      </c>
      <c r="AC36" s="108" t="n">
        <f aca="false">+AB36</f>
        <v>12</v>
      </c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</row>
    <row r="37" customFormat="false" ht="12.75" hidden="false" customHeight="false" outlineLevel="0" collapsed="false">
      <c r="A37" s="98" t="s">
        <v>6</v>
      </c>
      <c r="D37" s="104"/>
      <c r="F37" s="0" t="s">
        <v>39</v>
      </c>
      <c r="G37" s="109" t="n">
        <f aca="false">+$F$8</f>
        <v>263000</v>
      </c>
      <c r="H37" s="109" t="n">
        <f aca="false">+G37</f>
        <v>263000</v>
      </c>
      <c r="I37" s="109" t="n">
        <f aca="false">+H37</f>
        <v>263000</v>
      </c>
      <c r="J37" s="109" t="n">
        <f aca="false">+I37</f>
        <v>263000</v>
      </c>
      <c r="K37" s="109" t="n">
        <f aca="false">+J37</f>
        <v>263000</v>
      </c>
      <c r="L37" s="109" t="n">
        <f aca="false">+K37</f>
        <v>263000</v>
      </c>
      <c r="M37" s="109" t="n">
        <f aca="false">+L37</f>
        <v>263000</v>
      </c>
      <c r="N37" s="109" t="n">
        <f aca="false">+M37</f>
        <v>263000</v>
      </c>
      <c r="O37" s="109" t="n">
        <f aca="false">+N37</f>
        <v>263000</v>
      </c>
      <c r="P37" s="109" t="n">
        <f aca="false">+O37</f>
        <v>263000</v>
      </c>
      <c r="Q37" s="109" t="n">
        <f aca="false">+P37</f>
        <v>263000</v>
      </c>
      <c r="R37" s="109" t="n">
        <f aca="false">+Q37</f>
        <v>263000</v>
      </c>
      <c r="S37" s="109" t="n">
        <f aca="false">+R37</f>
        <v>263000</v>
      </c>
      <c r="T37" s="109" t="n">
        <f aca="false">+S37</f>
        <v>263000</v>
      </c>
      <c r="U37" s="109" t="n">
        <f aca="false">+T37</f>
        <v>263000</v>
      </c>
      <c r="V37" s="109" t="n">
        <f aca="false">+U37</f>
        <v>263000</v>
      </c>
      <c r="W37" s="109" t="n">
        <f aca="false">+V37</f>
        <v>263000</v>
      </c>
      <c r="X37" s="109" t="n">
        <f aca="false">+W37</f>
        <v>263000</v>
      </c>
      <c r="Y37" s="109" t="n">
        <f aca="false">+X37</f>
        <v>263000</v>
      </c>
      <c r="Z37" s="109" t="n">
        <f aca="false">+Y37</f>
        <v>263000</v>
      </c>
      <c r="AA37" s="109" t="n">
        <f aca="false">+Z37</f>
        <v>263000</v>
      </c>
      <c r="AB37" s="109" t="n">
        <f aca="false">+AA37</f>
        <v>263000</v>
      </c>
      <c r="AC37" s="109" t="n">
        <f aca="false">+AB37</f>
        <v>263000</v>
      </c>
    </row>
    <row r="38" customFormat="false" ht="12.75" hidden="false" customHeight="false" outlineLevel="0" collapsed="false">
      <c r="A38" s="110" t="s">
        <v>70</v>
      </c>
      <c r="B38" s="111"/>
      <c r="C38" s="111"/>
      <c r="D38" s="112"/>
      <c r="E38" s="111"/>
      <c r="F38" s="111"/>
      <c r="G38" s="110" t="n">
        <f aca="false">+G37*G36*G35</f>
        <v>36735840</v>
      </c>
      <c r="H38" s="110" t="n">
        <f aca="false">+H37*H36*H35</f>
        <v>37619520</v>
      </c>
      <c r="I38" s="110" t="n">
        <f aca="false">+I37*I36*I35</f>
        <v>33548280</v>
      </c>
      <c r="J38" s="110" t="n">
        <f aca="false">+J37*J36*J35</f>
        <v>40554600</v>
      </c>
      <c r="K38" s="110" t="n">
        <f aca="false">+K37*K36*K35</f>
        <v>38597880</v>
      </c>
      <c r="L38" s="110" t="n">
        <f aca="false">+L37*L36*L35</f>
        <v>32380560</v>
      </c>
      <c r="M38" s="110" t="n">
        <f aca="false">+M37*M36*M35</f>
        <v>44878320</v>
      </c>
      <c r="N38" s="110" t="n">
        <f aca="false">+N37*N36*N35</f>
        <v>46708800</v>
      </c>
      <c r="O38" s="110" t="n">
        <f aca="false">+O37*O36*O35</f>
        <v>40554600</v>
      </c>
      <c r="P38" s="110" t="n">
        <f aca="false">+P37*P36*P35</f>
        <v>45541080</v>
      </c>
      <c r="Q38" s="110" t="n">
        <f aca="false">+Q37*Q36*Q35</f>
        <v>45414840</v>
      </c>
      <c r="R38" s="110" t="n">
        <f aca="false">+R37*R36*R35</f>
        <v>24238080</v>
      </c>
      <c r="S38" s="110" t="n">
        <f aca="false">+S37*S36*S35</f>
        <v>48413040</v>
      </c>
      <c r="T38" s="110" t="n">
        <f aca="false">+T37*T36*T35</f>
        <v>49770120</v>
      </c>
      <c r="U38" s="110" t="n">
        <f aca="false">+U37*U36*U35</f>
        <v>42542880</v>
      </c>
      <c r="V38" s="110" t="n">
        <f aca="false">+V37*V36*V35</f>
        <v>53367960</v>
      </c>
      <c r="W38" s="110" t="n">
        <f aca="false">+W37*W36*W35</f>
        <v>54409440</v>
      </c>
      <c r="X38" s="110" t="n">
        <f aca="false">+X37*X36*X35</f>
        <v>39450000</v>
      </c>
      <c r="Y38" s="110" t="n">
        <f aca="false">+Y37*Y36*Y35</f>
        <v>54567240</v>
      </c>
      <c r="Z38" s="110" t="n">
        <f aca="false">+Z37*Z36*Z35</f>
        <v>54251640</v>
      </c>
      <c r="AA38" s="110" t="n">
        <f aca="false">+AA37*AA36*AA35</f>
        <v>39891840</v>
      </c>
      <c r="AB38" s="110" t="n">
        <f aca="false">+AB37*AB36*AB35</f>
        <v>57060480</v>
      </c>
      <c r="AC38" s="110" t="n">
        <f aca="false">+AC37*AC36*AC35</f>
        <v>47971200</v>
      </c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</row>
    <row r="39" customFormat="false" ht="12.75" hidden="false" customHeight="false" outlineLevel="0" collapsed="false">
      <c r="A39" s="110" t="s">
        <v>71</v>
      </c>
      <c r="B39" s="111"/>
      <c r="C39" s="111"/>
      <c r="D39" s="112"/>
      <c r="E39" s="111"/>
      <c r="F39" s="111"/>
      <c r="G39" s="110" t="n">
        <f aca="false">+G38/G36</f>
        <v>3061320</v>
      </c>
      <c r="H39" s="110" t="n">
        <f aca="false">+H38/H36</f>
        <v>3134960</v>
      </c>
      <c r="I39" s="110" t="n">
        <f aca="false">+I38/I36</f>
        <v>2795690</v>
      </c>
      <c r="J39" s="110" t="n">
        <f aca="false">+J38/J36</f>
        <v>3379550</v>
      </c>
      <c r="K39" s="110" t="n">
        <f aca="false">+K38/K36</f>
        <v>3216490</v>
      </c>
      <c r="L39" s="110" t="n">
        <f aca="false">+L38/L36</f>
        <v>2698380</v>
      </c>
      <c r="M39" s="110" t="n">
        <f aca="false">+M38/M36</f>
        <v>3739860</v>
      </c>
      <c r="N39" s="110" t="n">
        <f aca="false">+N38/N36</f>
        <v>3892400</v>
      </c>
      <c r="O39" s="110" t="n">
        <f aca="false">+O38/O36</f>
        <v>3379550</v>
      </c>
      <c r="P39" s="110" t="n">
        <f aca="false">+P38/P36</f>
        <v>3795090</v>
      </c>
      <c r="Q39" s="110" t="n">
        <f aca="false">+Q38/Q36</f>
        <v>3784570</v>
      </c>
      <c r="R39" s="110" t="n">
        <f aca="false">+R38/R36</f>
        <v>2019840</v>
      </c>
      <c r="S39" s="110" t="n">
        <f aca="false">+S38/S36</f>
        <v>4034420</v>
      </c>
      <c r="T39" s="110" t="n">
        <f aca="false">+T38/T36</f>
        <v>4147510</v>
      </c>
      <c r="U39" s="110" t="n">
        <f aca="false">+U38/U36</f>
        <v>3545240</v>
      </c>
      <c r="V39" s="110" t="n">
        <f aca="false">+V38/V36</f>
        <v>4447330</v>
      </c>
      <c r="W39" s="110" t="n">
        <f aca="false">+W38/W36</f>
        <v>4534120</v>
      </c>
      <c r="X39" s="110" t="n">
        <f aca="false">+X38/X36</f>
        <v>3287500</v>
      </c>
      <c r="Y39" s="110" t="n">
        <f aca="false">+Y38/Y36</f>
        <v>4547270</v>
      </c>
      <c r="Z39" s="110" t="n">
        <f aca="false">+Z38/Z36</f>
        <v>4520970</v>
      </c>
      <c r="AA39" s="110" t="n">
        <f aca="false">+AA38/AA36</f>
        <v>3324320</v>
      </c>
      <c r="AB39" s="110" t="n">
        <f aca="false">+AB38/AB36</f>
        <v>4755040</v>
      </c>
      <c r="AC39" s="110" t="n">
        <f aca="false">+AC38/AC36</f>
        <v>3997600</v>
      </c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111"/>
      <c r="AQ39" s="111"/>
      <c r="AR39" s="111"/>
      <c r="AS39" s="111"/>
      <c r="AT39" s="111"/>
      <c r="AU39" s="111"/>
      <c r="AV39" s="111"/>
      <c r="AW39" s="111"/>
      <c r="AX39" s="111"/>
      <c r="AY39" s="111"/>
      <c r="AZ39" s="111"/>
    </row>
    <row r="40" customFormat="false" ht="13.5" hidden="false" customHeight="false" outlineLevel="0" collapsed="false">
      <c r="A40" s="111"/>
      <c r="B40" s="111"/>
      <c r="C40" s="111"/>
      <c r="D40" s="112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</row>
    <row r="41" customFormat="false" ht="12.75" hidden="false" customHeight="false" outlineLevel="0" collapsed="false">
      <c r="A41" s="113" t="str">
        <f aca="false">CONCATENATE("XNPV",ROUND($F$9*100,2)," at 12/31/96")</f>
        <v>XNPV5 at 12/31/96</v>
      </c>
      <c r="B41" s="114" t="n">
        <f aca="false">+XNPV(F9,'Damage Calculations'!C89:C364,'Damage Calculations'!B89:B364)</f>
        <v>586133469.493143</v>
      </c>
      <c r="C41" s="111"/>
      <c r="D41" s="112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111"/>
      <c r="AN41" s="111"/>
      <c r="AO41" s="111"/>
      <c r="AP41" s="111"/>
      <c r="AQ41" s="111"/>
      <c r="AR41" s="111"/>
      <c r="AS41" s="111"/>
      <c r="AT41" s="111"/>
      <c r="AU41" s="111"/>
      <c r="AV41" s="111"/>
      <c r="AW41" s="111"/>
      <c r="AX41" s="111"/>
      <c r="AY41" s="111"/>
      <c r="AZ41" s="111"/>
    </row>
    <row r="42" customFormat="false" ht="13.5" hidden="false" customHeight="false" outlineLevel="0" collapsed="false">
      <c r="A42" s="115" t="str">
        <f aca="false">CONCATENATE("XNPV",ROUND($F$9*100,2)," at 12/31/00")</f>
        <v>XNPV5 at 12/31/00</v>
      </c>
      <c r="B42" s="116" t="n">
        <f aca="false">+XNPV(F9,'Damage Calculations'!C137:C364,'Damage Calculations'!B137:B364)</f>
        <v>548419739.235463</v>
      </c>
      <c r="C42" s="111"/>
      <c r="D42" s="112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  <c r="AK42" s="111"/>
      <c r="AL42" s="111"/>
      <c r="AM42" s="111"/>
      <c r="AN42" s="111"/>
      <c r="AO42" s="111"/>
      <c r="AP42" s="111"/>
      <c r="AQ42" s="111"/>
      <c r="AR42" s="111"/>
      <c r="AS42" s="111"/>
      <c r="AT42" s="111"/>
      <c r="AU42" s="111"/>
      <c r="AV42" s="111"/>
      <c r="AW42" s="111"/>
      <c r="AX42" s="111"/>
      <c r="AY42" s="111"/>
      <c r="AZ42" s="111"/>
    </row>
    <row r="43" customFormat="false" ht="12.75" hidden="false" customHeight="false" outlineLevel="0" collapsed="false">
      <c r="A43" s="111"/>
      <c r="B43" s="111"/>
      <c r="C43" s="111"/>
      <c r="D43" s="112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</row>
    <row r="44" customFormat="false" ht="12.75" hidden="false" customHeight="false" outlineLevel="0" collapsed="false">
      <c r="A44" s="97" t="s">
        <v>72</v>
      </c>
      <c r="B44" s="97"/>
      <c r="C44" s="97"/>
      <c r="D44" s="97"/>
      <c r="E44" s="97"/>
      <c r="F44" s="97"/>
    </row>
    <row r="45" customFormat="false" ht="13.5" hidden="false" customHeight="false" outlineLevel="0" collapsed="false">
      <c r="A45" s="98" t="s">
        <v>62</v>
      </c>
      <c r="D45" s="104"/>
      <c r="F45" s="0" t="s">
        <v>63</v>
      </c>
      <c r="G45" s="102" t="n">
        <f aca="false">+G31</f>
        <v>13.6</v>
      </c>
      <c r="H45" s="102" t="n">
        <f aca="false">+H31</f>
        <v>14.04</v>
      </c>
      <c r="I45" s="102" t="n">
        <f aca="false">+I31</f>
        <v>14.57</v>
      </c>
      <c r="J45" s="102" t="n">
        <f aca="false">+J31</f>
        <v>15.09</v>
      </c>
      <c r="K45" s="102" t="n">
        <f aca="false">+K31</f>
        <v>15.65</v>
      </c>
      <c r="L45" s="102" t="n">
        <f aca="false">+L31</f>
        <v>16.21</v>
      </c>
      <c r="M45" s="102" t="n">
        <f aca="false">+M31</f>
        <v>16.87</v>
      </c>
      <c r="N45" s="102" t="n">
        <f aca="false">+N31</f>
        <v>17.54</v>
      </c>
      <c r="O45" s="102" t="n">
        <f aca="false">+O31</f>
        <v>18.18</v>
      </c>
      <c r="P45" s="102" t="n">
        <f aca="false">+P31</f>
        <v>18.88</v>
      </c>
      <c r="Q45" s="102" t="n">
        <f aca="false">+Q31</f>
        <v>17.58</v>
      </c>
      <c r="R45" s="102" t="n">
        <f aca="false">+R31</f>
        <v>18.13</v>
      </c>
      <c r="S45" s="102" t="n">
        <f aca="false">+S31</f>
        <v>18.87</v>
      </c>
      <c r="T45" s="102" t="n">
        <f aca="false">+T31</f>
        <v>19.52</v>
      </c>
      <c r="U45" s="102" t="n">
        <f aca="false">+U31</f>
        <v>20.22</v>
      </c>
      <c r="V45" s="102" t="n">
        <f aca="false">+V31</f>
        <v>20.99</v>
      </c>
      <c r="W45" s="102" t="n">
        <f aca="false">+W31</f>
        <v>21.56</v>
      </c>
      <c r="X45" s="102" t="n">
        <f aca="false">+X31</f>
        <v>21.71</v>
      </c>
      <c r="Y45" s="102" t="n">
        <f aca="false">+Y31</f>
        <v>22.02</v>
      </c>
      <c r="Z45" s="102" t="n">
        <f aca="false">+Z31</f>
        <v>22.18</v>
      </c>
      <c r="AA45" s="102" t="n">
        <f aca="false">+AA31</f>
        <v>23.13</v>
      </c>
      <c r="AB45" s="102" t="n">
        <f aca="false">+AB31</f>
        <v>23.58</v>
      </c>
      <c r="AC45" s="102" t="n">
        <f aca="false">+AC31</f>
        <v>24.07</v>
      </c>
    </row>
    <row r="46" customFormat="false" ht="13.5" hidden="false" customHeight="false" outlineLevel="0" collapsed="false">
      <c r="A46" s="98" t="s">
        <v>64</v>
      </c>
      <c r="C46" s="100" t="n">
        <f aca="false">+IF($B$16="yes",1,0)</f>
        <v>1</v>
      </c>
      <c r="D46" s="101" t="s">
        <v>65</v>
      </c>
      <c r="F46" s="0" t="s">
        <v>63</v>
      </c>
      <c r="G46" s="102" t="n">
        <f aca="false">+'Tenaska''s i Adjustment'!D$44*$C$46</f>
        <v>1.19607637128996</v>
      </c>
      <c r="H46" s="102" t="n">
        <f aca="false">+'Tenaska''s i Adjustment'!E44*$C$46</f>
        <v>1.18841553968084</v>
      </c>
      <c r="I46" s="102" t="n">
        <f aca="false">+'Tenaska''s i Adjustment'!F44*$C$46</f>
        <v>1.1786378840254</v>
      </c>
      <c r="J46" s="102" t="n">
        <f aca="false">+'Tenaska''s i Adjustment'!G44*$C$46</f>
        <v>1.16546213809218</v>
      </c>
      <c r="K46" s="102" t="n">
        <f aca="false">+'Tenaska''s i Adjustment'!H44*$C$46</f>
        <v>1.14888830188118</v>
      </c>
      <c r="L46" s="102" t="n">
        <f aca="false">+'Tenaska''s i Adjustment'!I44*$C$46</f>
        <v>1.13019880535341</v>
      </c>
      <c r="M46" s="102" t="n">
        <f aca="false">+'Tenaska''s i Adjustment'!J44*$C$46</f>
        <v>1.11022687886463</v>
      </c>
      <c r="N46" s="102" t="n">
        <f aca="false">+'Tenaska''s i Adjustment'!K44*$C$46</f>
        <v>1.08685686209808</v>
      </c>
      <c r="O46" s="102" t="n">
        <f aca="false">+'Tenaska''s i Adjustment'!L44*$C$46</f>
        <v>1.06008875505375</v>
      </c>
      <c r="P46" s="102" t="n">
        <f aca="false">+'Tenaska''s i Adjustment'!M44*$C$46</f>
        <v>1.02992255773164</v>
      </c>
      <c r="Q46" s="102" t="n">
        <f aca="false">+'Tenaska''s i Adjustment'!N44*$C$46</f>
        <v>0.982354134957668</v>
      </c>
      <c r="R46" s="102" t="n">
        <f aca="false">+'Tenaska''s i Adjustment'!O44*$C$46</f>
        <v>0.904898996149639</v>
      </c>
      <c r="S46" s="102" t="n">
        <f aca="false">+'Tenaska''s i Adjustment'!P44*$C$46</f>
        <v>0.821948633321442</v>
      </c>
      <c r="T46" s="102" t="n">
        <f aca="false">+'Tenaska''s i Adjustment'!Q44*$C$46</f>
        <v>0.73822564717228</v>
      </c>
      <c r="U46" s="102" t="n">
        <f aca="false">+'Tenaska''s i Adjustment'!R44*$C$46</f>
        <v>0.641684692101884</v>
      </c>
      <c r="V46" s="117" t="n">
        <f aca="false">+'Tenaska''s i Adjustment'!S44*$C$46</f>
        <v>0.528218147272641</v>
      </c>
      <c r="W46" s="117" t="n">
        <f aca="false">+'Tenaska''s i Adjustment'!T44*$C$46</f>
        <v>0.397021894591895</v>
      </c>
      <c r="X46" s="117" t="n">
        <f aca="false">+'Tenaska''s i Adjustment'!U44*$C$46</f>
        <v>0.300598077097127</v>
      </c>
      <c r="Y46" s="117" t="n">
        <f aca="false">+'Tenaska''s i Adjustment'!V44*$C$46</f>
        <v>0.194473052477882</v>
      </c>
      <c r="Z46" s="117" t="n">
        <f aca="false">+'Tenaska''s i Adjustment'!W44*$C$46</f>
        <v>0.077267594178082</v>
      </c>
      <c r="AA46" s="118" t="n">
        <f aca="false">+'Tenaska''s i Adjustment'!X44*$C$46</f>
        <v>-1.14215797313793E-016</v>
      </c>
      <c r="AB46" s="118" t="n">
        <f aca="false">+'Tenaska''s i Adjustment'!Y44*$C$46</f>
        <v>-1.14215797313793E-016</v>
      </c>
      <c r="AC46" s="118" t="n">
        <f aca="false">+'Tenaska''s i Adjustment'!Z44*$C$46</f>
        <v>-1.14215797313793E-016</v>
      </c>
    </row>
    <row r="47" customFormat="false" ht="13.5" hidden="false" customHeight="false" outlineLevel="0" collapsed="false">
      <c r="A47" s="98" t="s">
        <v>66</v>
      </c>
      <c r="B47" s="98"/>
      <c r="C47" s="100" t="n">
        <f aca="false">+IF($B$17="yes",1,0)</f>
        <v>1</v>
      </c>
      <c r="D47" s="101" t="s">
        <v>65</v>
      </c>
      <c r="E47" s="98"/>
      <c r="F47" s="0" t="s">
        <v>63</v>
      </c>
      <c r="G47" s="103" t="n">
        <f aca="false">+'Damage Calculations'!G$85*'Damage Calculations'!$C$47</f>
        <v>0</v>
      </c>
      <c r="H47" s="103" t="n">
        <f aca="false">+'Damage Calculations'!H$85*'Damage Calculations'!$C$47</f>
        <v>0</v>
      </c>
      <c r="I47" s="103" t="n">
        <f aca="false">+'Damage Calculations'!I$85*'Damage Calculations'!$C$47</f>
        <v>0</v>
      </c>
      <c r="J47" s="103" t="n">
        <f aca="false">+'Damage Calculations'!J$85*'Damage Calculations'!$C$47</f>
        <v>-1.08</v>
      </c>
      <c r="K47" s="103" t="n">
        <f aca="false">+'Damage Calculations'!K$85*'Damage Calculations'!$C$47</f>
        <v>-1.13</v>
      </c>
      <c r="L47" s="103" t="n">
        <f aca="false">+'Damage Calculations'!L$85*'Damage Calculations'!$C$47</f>
        <v>-1.19</v>
      </c>
      <c r="M47" s="103" t="n">
        <f aca="false">+'Damage Calculations'!M$85*'Damage Calculations'!$C$47</f>
        <v>-1.25</v>
      </c>
      <c r="N47" s="103" t="n">
        <f aca="false">+'Damage Calculations'!N$85*'Damage Calculations'!$C$47</f>
        <v>-1.31</v>
      </c>
      <c r="O47" s="103" t="n">
        <f aca="false">+'Damage Calculations'!O$85*'Damage Calculations'!$C$47</f>
        <v>-1.38</v>
      </c>
      <c r="P47" s="103" t="n">
        <f aca="false">+'Damage Calculations'!P$85*'Damage Calculations'!$C$47</f>
        <v>-1.45</v>
      </c>
      <c r="Q47" s="103" t="n">
        <f aca="false">+'Damage Calculations'!Q$85*'Damage Calculations'!$C$47</f>
        <v>0</v>
      </c>
      <c r="R47" s="103" t="n">
        <f aca="false">+'Damage Calculations'!R$85*'Damage Calculations'!$C$47</f>
        <v>0</v>
      </c>
      <c r="S47" s="103" t="n">
        <f aca="false">+'Damage Calculations'!S$85*'Damage Calculations'!$C$47</f>
        <v>0</v>
      </c>
      <c r="T47" s="103" t="n">
        <f aca="false">+'Damage Calculations'!T$85*'Damage Calculations'!$C$47</f>
        <v>0</v>
      </c>
      <c r="U47" s="103" t="n">
        <f aca="false">+'Damage Calculations'!U$85*'Damage Calculations'!$C$47</f>
        <v>0</v>
      </c>
      <c r="V47" s="103" t="n">
        <f aca="false">+'Damage Calculations'!V$85*'Damage Calculations'!$C$47</f>
        <v>0</v>
      </c>
      <c r="W47" s="103" t="n">
        <f aca="false">+'Damage Calculations'!W$85*'Damage Calculations'!$C$47</f>
        <v>0</v>
      </c>
      <c r="X47" s="103" t="n">
        <f aca="false">+'Damage Calculations'!X$85*'Damage Calculations'!$C$47</f>
        <v>0</v>
      </c>
      <c r="Y47" s="103" t="n">
        <f aca="false">+'Damage Calculations'!Y$85*'Damage Calculations'!$C$47</f>
        <v>0</v>
      </c>
      <c r="Z47" s="103" t="n">
        <f aca="false">+'Damage Calculations'!Z$85*'Damage Calculations'!$C$47</f>
        <v>0</v>
      </c>
      <c r="AA47" s="103" t="n">
        <f aca="false">+'Damage Calculations'!AA$85*'Damage Calculations'!$C$47</f>
        <v>0</v>
      </c>
      <c r="AB47" s="103" t="n">
        <f aca="false">+'Damage Calculations'!AB$85*'Damage Calculations'!$C$47</f>
        <v>0</v>
      </c>
      <c r="AC47" s="103" t="n">
        <f aca="false">+'Damage Calculations'!AC$85*'Damage Calculations'!$C$47</f>
        <v>0</v>
      </c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</row>
    <row r="48" customFormat="false" ht="12.75" hidden="false" customHeight="false" outlineLevel="0" collapsed="false">
      <c r="A48" s="98" t="s">
        <v>67</v>
      </c>
      <c r="D48" s="104"/>
      <c r="F48" s="0" t="s">
        <v>63</v>
      </c>
      <c r="G48" s="119" t="n">
        <f aca="false">+G34</f>
        <v>-1.96</v>
      </c>
      <c r="H48" s="119" t="n">
        <f aca="false">+H34</f>
        <v>-2.12</v>
      </c>
      <c r="I48" s="119" t="n">
        <f aca="false">+I34</f>
        <v>-3.94</v>
      </c>
      <c r="J48" s="119" t="n">
        <f aca="false">+J34</f>
        <v>-2.24</v>
      </c>
      <c r="K48" s="119" t="n">
        <f aca="false">+K34</f>
        <v>-3.42</v>
      </c>
      <c r="L48" s="119" t="n">
        <f aca="false">+L34</f>
        <v>-5.95</v>
      </c>
      <c r="M48" s="119" t="n">
        <f aca="false">+M34</f>
        <v>-2.65</v>
      </c>
      <c r="N48" s="119" t="n">
        <f aca="false">+N34</f>
        <v>-2.74</v>
      </c>
      <c r="O48" s="119" t="n">
        <f aca="false">+O34</f>
        <v>-5.33</v>
      </c>
      <c r="P48" s="119" t="n">
        <f aca="false">+P34</f>
        <v>-4.45</v>
      </c>
      <c r="Q48" s="119" t="n">
        <f aca="false">+Q34</f>
        <v>-3.19</v>
      </c>
      <c r="R48" s="119" t="n">
        <f aca="false">+R34</f>
        <v>-10.45</v>
      </c>
      <c r="S48" s="119" t="n">
        <f aca="false">+S34</f>
        <v>-3.53</v>
      </c>
      <c r="T48" s="119" t="n">
        <f aca="false">+T34</f>
        <v>-3.75</v>
      </c>
      <c r="U48" s="119" t="n">
        <f aca="false">+U34</f>
        <v>-6.74</v>
      </c>
      <c r="V48" s="119" t="n">
        <f aca="false">+V34</f>
        <v>-4.08</v>
      </c>
      <c r="W48" s="119" t="n">
        <f aca="false">+W34</f>
        <v>-4.32</v>
      </c>
      <c r="X48" s="119" t="n">
        <f aca="false">+X34</f>
        <v>-9.21</v>
      </c>
      <c r="Y48" s="119" t="n">
        <f aca="false">+Y34</f>
        <v>-4.73</v>
      </c>
      <c r="Z48" s="119" t="n">
        <f aca="false">+Z34</f>
        <v>-4.99</v>
      </c>
      <c r="AA48" s="119" t="n">
        <f aca="false">+AA34</f>
        <v>-10.49</v>
      </c>
      <c r="AB48" s="119" t="n">
        <f aca="false">+AB34</f>
        <v>-5.5</v>
      </c>
      <c r="AC48" s="119" t="n">
        <f aca="false">+AC34</f>
        <v>-8.87</v>
      </c>
    </row>
    <row r="49" customFormat="false" ht="12.75" hidden="false" customHeight="false" outlineLevel="0" collapsed="false">
      <c r="A49" s="98" t="s">
        <v>68</v>
      </c>
      <c r="D49" s="104"/>
      <c r="F49" s="0" t="s">
        <v>63</v>
      </c>
      <c r="G49" s="102" t="n">
        <f aca="false">SUM(G45:G48)</f>
        <v>12.83607637129</v>
      </c>
      <c r="H49" s="102" t="n">
        <f aca="false">SUM(H45:H48)</f>
        <v>13.1084155396808</v>
      </c>
      <c r="I49" s="102" t="n">
        <f aca="false">SUM(I45:I48)</f>
        <v>11.8086378840254</v>
      </c>
      <c r="J49" s="102" t="n">
        <f aca="false">SUM(J45:J48)</f>
        <v>12.9354621380922</v>
      </c>
      <c r="K49" s="102" t="n">
        <f aca="false">SUM(K45:K48)</f>
        <v>12.2488883018812</v>
      </c>
      <c r="L49" s="102" t="n">
        <f aca="false">SUM(L45:L48)</f>
        <v>10.2001988053534</v>
      </c>
      <c r="M49" s="102" t="n">
        <f aca="false">SUM(M45:M48)</f>
        <v>14.0802268788646</v>
      </c>
      <c r="N49" s="102" t="n">
        <f aca="false">SUM(N45:N48)</f>
        <v>14.5768568620981</v>
      </c>
      <c r="O49" s="102" t="n">
        <f aca="false">SUM(O45:O48)</f>
        <v>12.5300887550537</v>
      </c>
      <c r="P49" s="102" t="n">
        <f aca="false">SUM(P45:P48)</f>
        <v>14.0099225577316</v>
      </c>
      <c r="Q49" s="102" t="n">
        <f aca="false">SUM(Q45:Q48)</f>
        <v>15.3723541349577</v>
      </c>
      <c r="R49" s="102" t="n">
        <f aca="false">SUM(R45:R48)</f>
        <v>8.58489899614964</v>
      </c>
      <c r="S49" s="102" t="n">
        <f aca="false">SUM(S45:S48)</f>
        <v>16.1619486333214</v>
      </c>
      <c r="T49" s="102" t="n">
        <f aca="false">SUM(T45:T48)</f>
        <v>16.5082256471723</v>
      </c>
      <c r="U49" s="102" t="n">
        <f aca="false">SUM(U45:U48)</f>
        <v>14.1216846921019</v>
      </c>
      <c r="V49" s="102" t="n">
        <f aca="false">SUM(V45:V48)</f>
        <v>17.4382181472726</v>
      </c>
      <c r="W49" s="102" t="n">
        <f aca="false">SUM(W45:W48)</f>
        <v>17.6370218945919</v>
      </c>
      <c r="X49" s="102" t="n">
        <f aca="false">SUM(X45:X48)</f>
        <v>12.8005980770971</v>
      </c>
      <c r="Y49" s="102" t="n">
        <f aca="false">SUM(Y45:Y48)</f>
        <v>17.4844730524779</v>
      </c>
      <c r="Z49" s="102" t="n">
        <f aca="false">SUM(Z45:Z48)</f>
        <v>17.2672675941781</v>
      </c>
      <c r="AA49" s="102" t="n">
        <f aca="false">SUM(AA45:AA48)</f>
        <v>12.64</v>
      </c>
      <c r="AB49" s="102" t="n">
        <f aca="false">SUM(AB45:AB48)</f>
        <v>18.08</v>
      </c>
      <c r="AC49" s="102" t="n">
        <f aca="false">SUM(AC45:AC48)</f>
        <v>15.2</v>
      </c>
    </row>
    <row r="50" customFormat="false" ht="12.75" hidden="false" customHeight="false" outlineLevel="0" collapsed="false">
      <c r="A50" s="98" t="s">
        <v>69</v>
      </c>
      <c r="D50" s="104"/>
      <c r="F50" s="106"/>
      <c r="G50" s="120" t="n">
        <f aca="false">+G36</f>
        <v>12</v>
      </c>
      <c r="H50" s="120" t="n">
        <f aca="false">+H36</f>
        <v>12</v>
      </c>
      <c r="I50" s="120" t="n">
        <f aca="false">+I36</f>
        <v>12</v>
      </c>
      <c r="J50" s="120" t="n">
        <f aca="false">+J36</f>
        <v>12</v>
      </c>
      <c r="K50" s="120" t="n">
        <f aca="false">+K36</f>
        <v>12</v>
      </c>
      <c r="L50" s="120" t="n">
        <f aca="false">+L36</f>
        <v>12</v>
      </c>
      <c r="M50" s="120" t="n">
        <f aca="false">+M36</f>
        <v>12</v>
      </c>
      <c r="N50" s="120" t="n">
        <f aca="false">+N36</f>
        <v>12</v>
      </c>
      <c r="O50" s="120" t="n">
        <f aca="false">+O36</f>
        <v>12</v>
      </c>
      <c r="P50" s="120" t="n">
        <f aca="false">+P36</f>
        <v>12</v>
      </c>
      <c r="Q50" s="120" t="n">
        <f aca="false">+Q36</f>
        <v>12</v>
      </c>
      <c r="R50" s="120" t="n">
        <f aca="false">+R36</f>
        <v>12</v>
      </c>
      <c r="S50" s="120" t="n">
        <f aca="false">+S36</f>
        <v>12</v>
      </c>
      <c r="T50" s="120" t="n">
        <f aca="false">+T36</f>
        <v>12</v>
      </c>
      <c r="U50" s="120" t="n">
        <f aca="false">+U36</f>
        <v>12</v>
      </c>
      <c r="V50" s="120" t="n">
        <f aca="false">+V36</f>
        <v>12</v>
      </c>
      <c r="W50" s="120" t="n">
        <f aca="false">+W36</f>
        <v>12</v>
      </c>
      <c r="X50" s="120" t="n">
        <f aca="false">+X36</f>
        <v>12</v>
      </c>
      <c r="Y50" s="120" t="n">
        <f aca="false">+Y36</f>
        <v>12</v>
      </c>
      <c r="Z50" s="120" t="n">
        <f aca="false">+Z36</f>
        <v>12</v>
      </c>
      <c r="AA50" s="120" t="n">
        <f aca="false">+AA36</f>
        <v>12</v>
      </c>
      <c r="AB50" s="120" t="n">
        <f aca="false">+AB36</f>
        <v>12</v>
      </c>
      <c r="AC50" s="120" t="n">
        <f aca="false">+AC36</f>
        <v>12</v>
      </c>
    </row>
    <row r="51" customFormat="false" ht="12.75" hidden="false" customHeight="false" outlineLevel="0" collapsed="false">
      <c r="A51" s="98" t="s">
        <v>6</v>
      </c>
      <c r="D51" s="104"/>
      <c r="F51" s="0" t="s">
        <v>39</v>
      </c>
      <c r="G51" s="109" t="n">
        <f aca="false">+$F$8</f>
        <v>263000</v>
      </c>
      <c r="H51" s="121" t="n">
        <f aca="false">+G51</f>
        <v>263000</v>
      </c>
      <c r="I51" s="121" t="n">
        <f aca="false">+H51</f>
        <v>263000</v>
      </c>
      <c r="J51" s="121" t="n">
        <f aca="false">+I51</f>
        <v>263000</v>
      </c>
      <c r="K51" s="121" t="n">
        <f aca="false">+J51</f>
        <v>263000</v>
      </c>
      <c r="L51" s="121" t="n">
        <f aca="false">+K51</f>
        <v>263000</v>
      </c>
      <c r="M51" s="121" t="n">
        <f aca="false">+L51</f>
        <v>263000</v>
      </c>
      <c r="N51" s="121" t="n">
        <f aca="false">+M51</f>
        <v>263000</v>
      </c>
      <c r="O51" s="121" t="n">
        <f aca="false">+N51</f>
        <v>263000</v>
      </c>
      <c r="P51" s="121" t="n">
        <f aca="false">+O51</f>
        <v>263000</v>
      </c>
      <c r="Q51" s="121" t="n">
        <f aca="false">+P51</f>
        <v>263000</v>
      </c>
      <c r="R51" s="121" t="n">
        <f aca="false">+Q51</f>
        <v>263000</v>
      </c>
      <c r="S51" s="121" t="n">
        <f aca="false">+R51</f>
        <v>263000</v>
      </c>
      <c r="T51" s="121" t="n">
        <f aca="false">+S51</f>
        <v>263000</v>
      </c>
      <c r="U51" s="121" t="n">
        <f aca="false">+T51</f>
        <v>263000</v>
      </c>
      <c r="V51" s="121" t="n">
        <f aca="false">+U51</f>
        <v>263000</v>
      </c>
      <c r="W51" s="121" t="n">
        <f aca="false">+V51</f>
        <v>263000</v>
      </c>
      <c r="X51" s="121" t="n">
        <f aca="false">+W51</f>
        <v>263000</v>
      </c>
      <c r="Y51" s="121" t="n">
        <f aca="false">+X51</f>
        <v>263000</v>
      </c>
      <c r="Z51" s="121" t="n">
        <f aca="false">+Y51</f>
        <v>263000</v>
      </c>
      <c r="AA51" s="121" t="n">
        <f aca="false">+Z51</f>
        <v>263000</v>
      </c>
      <c r="AB51" s="121" t="n">
        <f aca="false">+AA51</f>
        <v>263000</v>
      </c>
      <c r="AC51" s="121" t="n">
        <f aca="false">+AB51</f>
        <v>263000</v>
      </c>
    </row>
    <row r="52" customFormat="false" ht="12.75" hidden="false" customHeight="false" outlineLevel="0" collapsed="false">
      <c r="A52" s="110" t="s">
        <v>70</v>
      </c>
      <c r="B52" s="111"/>
      <c r="C52" s="111"/>
      <c r="D52" s="112"/>
      <c r="E52" s="111"/>
      <c r="F52" s="111"/>
      <c r="G52" s="110" t="n">
        <f aca="false">+G51*G50*G49</f>
        <v>40510657.0277911</v>
      </c>
      <c r="H52" s="110" t="n">
        <f aca="false">+H51*H50*H49</f>
        <v>41370159.4432327</v>
      </c>
      <c r="I52" s="110" t="n">
        <f aca="false">+I51*I50*I49</f>
        <v>37268061.1619842</v>
      </c>
      <c r="J52" s="110" t="n">
        <f aca="false">+J51*J50*J49</f>
        <v>40824318.5078189</v>
      </c>
      <c r="K52" s="110" t="n">
        <f aca="false">+K51*K50*K49</f>
        <v>38657491.480737</v>
      </c>
      <c r="L52" s="110" t="n">
        <f aca="false">+L51*L50*L49</f>
        <v>32191827.4296954</v>
      </c>
      <c r="M52" s="110" t="n">
        <f aca="false">+M51*M50*M49</f>
        <v>44437196.0296968</v>
      </c>
      <c r="N52" s="110" t="n">
        <f aca="false">+N51*N50*N49</f>
        <v>46004560.2567815</v>
      </c>
      <c r="O52" s="110" t="n">
        <f aca="false">+O51*O50*O49</f>
        <v>39544960.1109496</v>
      </c>
      <c r="P52" s="110" t="n">
        <f aca="false">+P51*P50*P49</f>
        <v>44215315.5922011</v>
      </c>
      <c r="Q52" s="110" t="n">
        <f aca="false">+Q51*Q50*Q49</f>
        <v>48515149.6499264</v>
      </c>
      <c r="R52" s="110" t="n">
        <f aca="false">+R51*R50*R49</f>
        <v>27093941.2318483</v>
      </c>
      <c r="S52" s="110" t="n">
        <f aca="false">+S51*S50*S49</f>
        <v>51007109.8867625</v>
      </c>
      <c r="T52" s="110" t="n">
        <f aca="false">+T51*T50*T49</f>
        <v>52099960.1424757</v>
      </c>
      <c r="U52" s="110" t="n">
        <f aca="false">+U51*U50*U49</f>
        <v>44568036.8882735</v>
      </c>
      <c r="V52" s="110" t="n">
        <f aca="false">+V51*V50*V49</f>
        <v>55035016.4727924</v>
      </c>
      <c r="W52" s="110" t="n">
        <f aca="false">+W51*W50*W49</f>
        <v>55662441.099332</v>
      </c>
      <c r="X52" s="110" t="n">
        <f aca="false">+X51*X50*X49</f>
        <v>40398687.5313185</v>
      </c>
      <c r="Y52" s="110" t="n">
        <f aca="false">+Y51*Y50*Y49</f>
        <v>55180996.9536202</v>
      </c>
      <c r="Z52" s="110" t="n">
        <f aca="false">+Z51*Z50*Z49</f>
        <v>54495496.527226</v>
      </c>
      <c r="AA52" s="110" t="n">
        <f aca="false">+AA51*AA50*AA49</f>
        <v>39891840</v>
      </c>
      <c r="AB52" s="110" t="n">
        <f aca="false">+AB51*AB50*AB49</f>
        <v>57060480</v>
      </c>
      <c r="AC52" s="110" t="n">
        <f aca="false">+AC51*AC50*AC49</f>
        <v>47971200</v>
      </c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1"/>
      <c r="AX52" s="111"/>
      <c r="AY52" s="111"/>
      <c r="AZ52" s="111"/>
    </row>
    <row r="53" customFormat="false" ht="12.75" hidden="false" customHeight="false" outlineLevel="0" collapsed="false">
      <c r="A53" s="110" t="s">
        <v>71</v>
      </c>
      <c r="B53" s="111"/>
      <c r="C53" s="111"/>
      <c r="D53" s="112"/>
      <c r="E53" s="111"/>
      <c r="F53" s="111"/>
      <c r="G53" s="110" t="n">
        <f aca="false">+G52/G50</f>
        <v>3375888.08564926</v>
      </c>
      <c r="H53" s="110" t="n">
        <f aca="false">+H52/H50</f>
        <v>3447513.28693606</v>
      </c>
      <c r="I53" s="110" t="n">
        <f aca="false">+I52/I50</f>
        <v>3105671.76349868</v>
      </c>
      <c r="J53" s="110" t="n">
        <f aca="false">+J52/J50</f>
        <v>3402026.54231824</v>
      </c>
      <c r="K53" s="110" t="n">
        <f aca="false">+K52/K50</f>
        <v>3221457.62339475</v>
      </c>
      <c r="L53" s="110" t="n">
        <f aca="false">+L52/L50</f>
        <v>2682652.28580795</v>
      </c>
      <c r="M53" s="110" t="n">
        <f aca="false">+M52/M50</f>
        <v>3703099.6691414</v>
      </c>
      <c r="N53" s="110" t="n">
        <f aca="false">+N52/N50</f>
        <v>3833713.35473179</v>
      </c>
      <c r="O53" s="110" t="n">
        <f aca="false">+O52/O50</f>
        <v>3295413.34257914</v>
      </c>
      <c r="P53" s="110" t="n">
        <f aca="false">+P52/P50</f>
        <v>3684609.63268342</v>
      </c>
      <c r="Q53" s="110" t="n">
        <f aca="false">+Q52/Q50</f>
        <v>4042929.13749387</v>
      </c>
      <c r="R53" s="110" t="n">
        <f aca="false">+R52/R50</f>
        <v>2257828.43598736</v>
      </c>
      <c r="S53" s="110" t="n">
        <f aca="false">+S52/S50</f>
        <v>4250592.49056354</v>
      </c>
      <c r="T53" s="110" t="n">
        <f aca="false">+T52/T50</f>
        <v>4341663.34520631</v>
      </c>
      <c r="U53" s="110" t="n">
        <f aca="false">+U52/U50</f>
        <v>3714003.07402279</v>
      </c>
      <c r="V53" s="110" t="n">
        <f aca="false">+V52/V50</f>
        <v>4586251.3727327</v>
      </c>
      <c r="W53" s="110" t="n">
        <f aca="false">+W52/W50</f>
        <v>4638536.75827767</v>
      </c>
      <c r="X53" s="110" t="n">
        <f aca="false">+X52/X50</f>
        <v>3366557.29427655</v>
      </c>
      <c r="Y53" s="110" t="n">
        <f aca="false">+Y52/Y50</f>
        <v>4598416.41280168</v>
      </c>
      <c r="Z53" s="110" t="n">
        <f aca="false">+Z52/Z50</f>
        <v>4541291.37726884</v>
      </c>
      <c r="AA53" s="110" t="n">
        <f aca="false">+AA52/AA50</f>
        <v>3324320</v>
      </c>
      <c r="AB53" s="110" t="n">
        <f aca="false">+AB52/AB50</f>
        <v>4755040</v>
      </c>
      <c r="AC53" s="110" t="n">
        <f aca="false">+AC52/AC50</f>
        <v>3997600</v>
      </c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111"/>
    </row>
    <row r="54" customFormat="false" ht="13.5" hidden="false" customHeight="false" outlineLevel="0" collapsed="false">
      <c r="A54" s="111"/>
      <c r="B54" s="111"/>
      <c r="C54" s="111"/>
      <c r="D54" s="112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1"/>
      <c r="AX54" s="111"/>
      <c r="AY54" s="111"/>
      <c r="AZ54" s="111"/>
    </row>
    <row r="55" customFormat="false" ht="13.5" hidden="false" customHeight="false" outlineLevel="0" collapsed="false">
      <c r="A55" s="122" t="str">
        <f aca="false">CONCATENATE("XNPV",ROUND($F$9*100,2)," at 12/31/00")</f>
        <v>XNPV5 at 12/31/00</v>
      </c>
      <c r="B55" s="123" t="n">
        <f aca="false">+XNPV(F9,'Damage Calculations'!D137:D364,'Damage Calculations'!B137:B364)</f>
        <v>556681335.386587</v>
      </c>
      <c r="C55" s="111"/>
      <c r="D55" s="112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1"/>
      <c r="AX55" s="111"/>
      <c r="AY55" s="111"/>
      <c r="AZ55" s="111"/>
    </row>
    <row r="56" customFormat="false" ht="12.75" hidden="false" customHeight="false" outlineLevel="0" collapsed="false">
      <c r="A56" s="111"/>
      <c r="B56" s="111"/>
      <c r="C56" s="111"/>
      <c r="D56" s="112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1"/>
      <c r="AX56" s="111"/>
      <c r="AY56" s="111"/>
      <c r="AZ56" s="111"/>
    </row>
    <row r="57" customFormat="false" ht="12.75" hidden="false" customHeight="false" outlineLevel="0" collapsed="false">
      <c r="A57" s="97" t="s">
        <v>73</v>
      </c>
      <c r="B57" s="97"/>
      <c r="C57" s="97"/>
      <c r="D57" s="97"/>
      <c r="E57" s="97"/>
      <c r="F57" s="97"/>
    </row>
    <row r="58" customFormat="false" ht="13.5" hidden="false" customHeight="false" outlineLevel="0" collapsed="false">
      <c r="A58" s="98" t="s">
        <v>62</v>
      </c>
      <c r="D58" s="104"/>
      <c r="F58" s="0" t="s">
        <v>63</v>
      </c>
      <c r="G58" s="102" t="n">
        <f aca="false">+G31</f>
        <v>13.6</v>
      </c>
      <c r="H58" s="102" t="n">
        <f aca="false">+H31</f>
        <v>14.04</v>
      </c>
      <c r="I58" s="102" t="n">
        <f aca="false">+I31</f>
        <v>14.57</v>
      </c>
      <c r="J58" s="102" t="n">
        <f aca="false">+J31</f>
        <v>15.09</v>
      </c>
      <c r="K58" s="102" t="n">
        <f aca="false">+K31</f>
        <v>15.65</v>
      </c>
      <c r="L58" s="102" t="n">
        <f aca="false">+L31</f>
        <v>16.21</v>
      </c>
      <c r="M58" s="102" t="n">
        <f aca="false">+M31</f>
        <v>16.87</v>
      </c>
      <c r="N58" s="102" t="n">
        <f aca="false">+N31</f>
        <v>17.54</v>
      </c>
      <c r="O58" s="102" t="n">
        <f aca="false">+O31</f>
        <v>18.18</v>
      </c>
      <c r="P58" s="102" t="n">
        <f aca="false">+P31</f>
        <v>18.88</v>
      </c>
      <c r="Q58" s="102" t="n">
        <f aca="false">+Q31</f>
        <v>17.58</v>
      </c>
      <c r="R58" s="102" t="n">
        <f aca="false">+R31</f>
        <v>18.13</v>
      </c>
      <c r="S58" s="102" t="n">
        <f aca="false">+S31</f>
        <v>18.87</v>
      </c>
      <c r="T58" s="102" t="n">
        <f aca="false">+T31</f>
        <v>19.52</v>
      </c>
      <c r="U58" s="102" t="n">
        <f aca="false">+U31</f>
        <v>20.22</v>
      </c>
      <c r="V58" s="102" t="n">
        <f aca="false">+V31</f>
        <v>20.99</v>
      </c>
      <c r="W58" s="102" t="n">
        <f aca="false">+W31</f>
        <v>21.56</v>
      </c>
      <c r="X58" s="102" t="n">
        <f aca="false">+X31</f>
        <v>21.71</v>
      </c>
      <c r="Y58" s="102" t="n">
        <f aca="false">+Y31</f>
        <v>22.02</v>
      </c>
      <c r="Z58" s="102" t="n">
        <f aca="false">+Z31</f>
        <v>22.18</v>
      </c>
      <c r="AA58" s="102" t="n">
        <f aca="false">+AA31</f>
        <v>23.13</v>
      </c>
      <c r="AB58" s="102" t="n">
        <f aca="false">+AB31</f>
        <v>23.58</v>
      </c>
      <c r="AC58" s="102" t="n">
        <f aca="false">+AC31</f>
        <v>24.07</v>
      </c>
    </row>
    <row r="59" customFormat="false" ht="13.5" hidden="false" customHeight="false" outlineLevel="0" collapsed="false">
      <c r="A59" s="98" t="s">
        <v>64</v>
      </c>
      <c r="C59" s="100" t="n">
        <f aca="false">+IF($B$16="yes",1,0)</f>
        <v>1</v>
      </c>
      <c r="D59" s="101" t="s">
        <v>74</v>
      </c>
      <c r="F59" s="0" t="s">
        <v>63</v>
      </c>
      <c r="G59" s="102" t="n">
        <f aca="false">IF(+$C$59=1,'Brazos'' i Adjustment'!D44,IF(+'Damage Calculations'!$C$59=0,+'Tenaska''s i Adjustment'!D44,"Error"))</f>
        <v>0.810143910646388</v>
      </c>
      <c r="H59" s="102" t="n">
        <f aca="false">IF(+$C$59=1,'Brazos'' i Adjustment'!E44,IF(+'Damage Calculations'!$C$59=0,+'Tenaska''s i Adjustment'!E44,"Error"))</f>
        <v>0.805262457620406</v>
      </c>
      <c r="I59" s="102" t="n">
        <f aca="false">IF(+$C$59=1,'Brazos'' i Adjustment'!F44,IF(+'Damage Calculations'!$C$59=0,+'Tenaska''s i Adjustment'!F44,"Error"))</f>
        <v>0.799032172290875</v>
      </c>
      <c r="J59" s="102" t="n">
        <f aca="false">IF(+$C$59=1,'Brazos'' i Adjustment'!G44,IF(+'Damage Calculations'!$C$59=0,+'Tenaska''s i Adjustment'!G44,"Error"))</f>
        <v>0.790636636644487</v>
      </c>
      <c r="K59" s="102" t="n">
        <f aca="false">IF(+$C$59=1,'Brazos'' i Adjustment'!H44,IF(+'Damage Calculations'!$C$59=0,+'Tenaska''s i Adjustment'!H44,"Error"))</f>
        <v>0.780075850681242</v>
      </c>
      <c r="L59" s="102" t="n">
        <f aca="false">IF(+$C$59=1,'Brazos'' i Adjustment'!I44,IF(+'Damage Calculations'!$C$59=0,+'Tenaska''s i Adjustment'!I44,"Error"))</f>
        <v>0.76816697393853</v>
      </c>
      <c r="M59" s="102" t="n">
        <f aca="false">IF(+$C$59=1,'Brazos'' i Adjustment'!J44,IF(+'Damage Calculations'!$C$59=0,+'Tenaska''s i Adjustment'!J44,"Error"))</f>
        <v>0.755440937658429</v>
      </c>
      <c r="N59" s="102" t="n">
        <f aca="false">IF(+$C$59=1,'Brazos'' i Adjustment'!K44,IF(+'Damage Calculations'!$C$59=0,+'Tenaska''s i Adjustment'!K44,"Error"))</f>
        <v>0.740549651061471</v>
      </c>
      <c r="O59" s="102" t="n">
        <f aca="false">IF(+$C$59=1,'Brazos'' i Adjustment'!L44,IF(+'Damage Calculations'!$C$59=0,+'Tenaska''s i Adjustment'!L44,"Error"))</f>
        <v>0.723493114147656</v>
      </c>
      <c r="P59" s="102" t="n">
        <f aca="false">IF(+$C$59=1,'Brazos'' i Adjustment'!M44,IF(+'Damage Calculations'!$C$59=0,+'Tenaska''s i Adjustment'!M44,"Error"))</f>
        <v>0.704271326916984</v>
      </c>
      <c r="Q59" s="102" t="n">
        <f aca="false">IF(+$C$59=1,'Brazos'' i Adjustment'!N44,IF(+'Damage Calculations'!$C$59=0,+'Tenaska''s i Adjustment'!N44,"Error"))</f>
        <v>0.673960907221166</v>
      </c>
      <c r="R59" s="102" t="n">
        <f aca="false">IF(+$C$59=1,'Brazos'' i Adjustment'!O44,IF(+'Damage Calculations'!$C$59=0,+'Tenaska''s i Adjustment'!O44,"Error"))</f>
        <v>0.624606784717998</v>
      </c>
      <c r="S59" s="102" t="n">
        <f aca="false">IF(+$C$59=1,'Brazos'' i Adjustment'!P44,IF(+'Damage Calculations'!$C$59=0,+'Tenaska''s i Adjustment'!P44,"Error"))</f>
        <v>0.571751126181876</v>
      </c>
      <c r="T59" s="102" t="n">
        <f aca="false">IF(+$C$59=1,'Brazos'' i Adjustment'!Q44,IF(+'Damage Calculations'!$C$59=0,+'Tenaska''s i Adjustment'!Q44,"Error"))</f>
        <v>0.51840315497782</v>
      </c>
      <c r="U59" s="102" t="n">
        <f aca="false">IF(+$C$59=1,'Brazos'' i Adjustment'!R44,IF(+'Damage Calculations'!$C$59=0,+'Tenaska''s i Adjustment'!R44,"Error"))</f>
        <v>0.456887622290875</v>
      </c>
      <c r="V59" s="102" t="n">
        <f aca="false">IF(+$C$59=1,'Brazos'' i Adjustment'!S44,IF(+'Damage Calculations'!$C$59=0,+'Tenaska''s i Adjustment'!S44,"Error"))</f>
        <v>0.383593184801205</v>
      </c>
      <c r="W59" s="102" t="n">
        <f aca="false">IF(+$C$59=1,'Brazos'' i Adjustment'!T44,IF(+'Damage Calculations'!$C$59=0,+'Tenaska''s i Adjustment'!T44,"Error"))</f>
        <v>0.289841078941612</v>
      </c>
      <c r="X59" s="102" t="n">
        <f aca="false">IF(+$C$59=1,'Brazos'' i Adjustment'!U44,IF(+'Damage Calculations'!$C$59=0,+'Tenaska''s i Adjustment'!U44,"Error"))</f>
        <v>0.219448025865583</v>
      </c>
      <c r="Y59" s="102" t="n">
        <f aca="false">IF(+$C$59=1,'Brazos'' i Adjustment'!V44,IF(+'Damage Calculations'!$C$59=0,+'Tenaska''s i Adjustment'!V44,"Error"))</f>
        <v>0.141972722721496</v>
      </c>
      <c r="Z59" s="102" t="n">
        <f aca="false">IF(+$C$59=1,'Brazos'' i Adjustment'!W44,IF(+'Damage Calculations'!$C$59=0,+'Tenaska''s i Adjustment'!W44,"Error"))</f>
        <v>0.0564082816813375</v>
      </c>
      <c r="AA59" s="102" t="n">
        <f aca="false">IF(+$C$59=1,'Brazos'' i Adjustment'!X44,IF(+'Damage Calculations'!$C$59=0,+'Tenaska''s i Adjustment'!X44,"Error"))</f>
        <v>0</v>
      </c>
      <c r="AB59" s="102" t="n">
        <f aca="false">IF(+$C$59=1,'Brazos'' i Adjustment'!Y44,IF(+'Damage Calculations'!$C$59=0,+'Tenaska''s i Adjustment'!Y44,"Error"))</f>
        <v>0</v>
      </c>
      <c r="AC59" s="102" t="n">
        <f aca="false">IF(+$C$59=1,'Brazos'' i Adjustment'!Z44,IF(+'Damage Calculations'!$C$59=0,+'Tenaska''s i Adjustment'!Z44,"Error"))</f>
        <v>0</v>
      </c>
      <c r="AD59" s="102"/>
    </row>
    <row r="60" customFormat="false" ht="13.5" hidden="false" customHeight="false" outlineLevel="0" collapsed="false">
      <c r="A60" s="98" t="s">
        <v>66</v>
      </c>
      <c r="B60" s="98"/>
      <c r="C60" s="100" t="n">
        <f aca="false">+IF($B$17="yes",1,0)</f>
        <v>1</v>
      </c>
      <c r="D60" s="101" t="s">
        <v>65</v>
      </c>
      <c r="E60" s="98"/>
      <c r="F60" s="0" t="s">
        <v>63</v>
      </c>
      <c r="G60" s="103" t="n">
        <f aca="false">+'Damage Calculations'!G$85*'Damage Calculations'!$C$60</f>
        <v>0</v>
      </c>
      <c r="H60" s="103" t="n">
        <f aca="false">+'Damage Calculations'!H$85*'Damage Calculations'!$C$60</f>
        <v>0</v>
      </c>
      <c r="I60" s="103" t="n">
        <f aca="false">+'Damage Calculations'!I$85*'Damage Calculations'!$C$60</f>
        <v>0</v>
      </c>
      <c r="J60" s="103" t="n">
        <f aca="false">+'Damage Calculations'!J$85*'Damage Calculations'!$C$60</f>
        <v>-1.08</v>
      </c>
      <c r="K60" s="103" t="n">
        <f aca="false">+'Damage Calculations'!K$85*'Damage Calculations'!$C$60</f>
        <v>-1.13</v>
      </c>
      <c r="L60" s="103" t="n">
        <f aca="false">+'Damage Calculations'!L$85*'Damage Calculations'!$C$60</f>
        <v>-1.19</v>
      </c>
      <c r="M60" s="103" t="n">
        <f aca="false">+'Damage Calculations'!M$85*'Damage Calculations'!$C$60</f>
        <v>-1.25</v>
      </c>
      <c r="N60" s="103" t="n">
        <f aca="false">+'Damage Calculations'!N$85*'Damage Calculations'!$C$60</f>
        <v>-1.31</v>
      </c>
      <c r="O60" s="103" t="n">
        <f aca="false">+'Damage Calculations'!O$85*'Damage Calculations'!$C$60</f>
        <v>-1.38</v>
      </c>
      <c r="P60" s="103" t="n">
        <f aca="false">+'Damage Calculations'!P$85*'Damage Calculations'!$C$60</f>
        <v>-1.45</v>
      </c>
      <c r="Q60" s="103" t="n">
        <f aca="false">+'Damage Calculations'!Q$85*'Damage Calculations'!$C$60</f>
        <v>0</v>
      </c>
      <c r="R60" s="103" t="n">
        <f aca="false">+'Damage Calculations'!R$85*'Damage Calculations'!$C$60</f>
        <v>0</v>
      </c>
      <c r="S60" s="103" t="n">
        <f aca="false">+'Damage Calculations'!S$85*'Damage Calculations'!$C$60</f>
        <v>0</v>
      </c>
      <c r="T60" s="103" t="n">
        <f aca="false">+'Damage Calculations'!T$85*'Damage Calculations'!$C$60</f>
        <v>0</v>
      </c>
      <c r="U60" s="103" t="n">
        <f aca="false">+'Damage Calculations'!U$85*'Damage Calculations'!$C$60</f>
        <v>0</v>
      </c>
      <c r="V60" s="103" t="n">
        <f aca="false">+'Damage Calculations'!V$85*'Damage Calculations'!$C$60</f>
        <v>0</v>
      </c>
      <c r="W60" s="103" t="n">
        <f aca="false">+'Damage Calculations'!W$85*'Damage Calculations'!$C$60</f>
        <v>0</v>
      </c>
      <c r="X60" s="103" t="n">
        <f aca="false">+'Damage Calculations'!X$85*'Damage Calculations'!$C$60</f>
        <v>0</v>
      </c>
      <c r="Y60" s="103" t="n">
        <f aca="false">+'Damage Calculations'!Y$85*'Damage Calculations'!$C$60</f>
        <v>0</v>
      </c>
      <c r="Z60" s="103" t="n">
        <f aca="false">+'Damage Calculations'!Z$85*'Damage Calculations'!$C$60</f>
        <v>0</v>
      </c>
      <c r="AA60" s="103" t="n">
        <f aca="false">+'Damage Calculations'!AA$85*'Damage Calculations'!$C$60</f>
        <v>0</v>
      </c>
      <c r="AB60" s="103" t="n">
        <f aca="false">+'Damage Calculations'!AB$85*'Damage Calculations'!$C$60</f>
        <v>0</v>
      </c>
      <c r="AC60" s="103" t="n">
        <f aca="false">+'Damage Calculations'!AC$85*'Damage Calculations'!$C$60</f>
        <v>0</v>
      </c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8"/>
      <c r="AY60" s="98"/>
      <c r="AZ60" s="98"/>
    </row>
    <row r="61" customFormat="false" ht="12.75" hidden="false" customHeight="false" outlineLevel="0" collapsed="false">
      <c r="A61" s="98" t="s">
        <v>67</v>
      </c>
      <c r="D61" s="104"/>
      <c r="F61" s="0" t="s">
        <v>63</v>
      </c>
      <c r="G61" s="119" t="n">
        <f aca="false">+G34</f>
        <v>-1.96</v>
      </c>
      <c r="H61" s="119" t="n">
        <f aca="false">+H34</f>
        <v>-2.12</v>
      </c>
      <c r="I61" s="119" t="n">
        <f aca="false">+I34</f>
        <v>-3.94</v>
      </c>
      <c r="J61" s="119" t="n">
        <f aca="false">+J34</f>
        <v>-2.24</v>
      </c>
      <c r="K61" s="119" t="n">
        <f aca="false">+K34</f>
        <v>-3.42</v>
      </c>
      <c r="L61" s="119" t="n">
        <f aca="false">+L34</f>
        <v>-5.95</v>
      </c>
      <c r="M61" s="119" t="n">
        <f aca="false">+M34</f>
        <v>-2.65</v>
      </c>
      <c r="N61" s="119" t="n">
        <f aca="false">+N34</f>
        <v>-2.74</v>
      </c>
      <c r="O61" s="119" t="n">
        <f aca="false">+O34</f>
        <v>-5.33</v>
      </c>
      <c r="P61" s="119" t="n">
        <f aca="false">+P34</f>
        <v>-4.45</v>
      </c>
      <c r="Q61" s="119" t="n">
        <f aca="false">+Q34</f>
        <v>-3.19</v>
      </c>
      <c r="R61" s="119" t="n">
        <f aca="false">+R34</f>
        <v>-10.45</v>
      </c>
      <c r="S61" s="119" t="n">
        <f aca="false">+S34</f>
        <v>-3.53</v>
      </c>
      <c r="T61" s="119" t="n">
        <f aca="false">+T34</f>
        <v>-3.75</v>
      </c>
      <c r="U61" s="119" t="n">
        <f aca="false">+U34</f>
        <v>-6.74</v>
      </c>
      <c r="V61" s="119" t="n">
        <f aca="false">+V34</f>
        <v>-4.08</v>
      </c>
      <c r="W61" s="119" t="n">
        <f aca="false">+W34</f>
        <v>-4.32</v>
      </c>
      <c r="X61" s="119" t="n">
        <f aca="false">+X34</f>
        <v>-9.21</v>
      </c>
      <c r="Y61" s="119" t="n">
        <f aca="false">+Y34</f>
        <v>-4.73</v>
      </c>
      <c r="Z61" s="119" t="n">
        <f aca="false">+Z34</f>
        <v>-4.99</v>
      </c>
      <c r="AA61" s="119" t="n">
        <f aca="false">+AA34</f>
        <v>-10.49</v>
      </c>
      <c r="AB61" s="119" t="n">
        <f aca="false">+AB34</f>
        <v>-5.5</v>
      </c>
      <c r="AC61" s="119" t="n">
        <f aca="false">+AC34</f>
        <v>-8.87</v>
      </c>
    </row>
    <row r="62" customFormat="false" ht="12.75" hidden="false" customHeight="false" outlineLevel="0" collapsed="false">
      <c r="A62" s="98" t="s">
        <v>68</v>
      </c>
      <c r="D62" s="104"/>
      <c r="F62" s="0" t="s">
        <v>63</v>
      </c>
      <c r="G62" s="102" t="n">
        <f aca="false">SUM(G58:G61)</f>
        <v>12.4501439106464</v>
      </c>
      <c r="H62" s="102" t="n">
        <f aca="false">SUM(H58:H61)</f>
        <v>12.7252624576204</v>
      </c>
      <c r="I62" s="102" t="n">
        <f aca="false">SUM(I58:I61)</f>
        <v>11.4290321722909</v>
      </c>
      <c r="J62" s="102" t="n">
        <f aca="false">SUM(J58:J61)</f>
        <v>12.5606366366445</v>
      </c>
      <c r="K62" s="102" t="n">
        <f aca="false">SUM(K58:K61)</f>
        <v>11.8800758506812</v>
      </c>
      <c r="L62" s="102" t="n">
        <f aca="false">SUM(L58:L61)</f>
        <v>9.83816697393853</v>
      </c>
      <c r="M62" s="102" t="n">
        <f aca="false">SUM(M58:M61)</f>
        <v>13.7254409376584</v>
      </c>
      <c r="N62" s="102" t="n">
        <f aca="false">SUM(N58:N61)</f>
        <v>14.2305496510615</v>
      </c>
      <c r="O62" s="102" t="n">
        <f aca="false">SUM(O58:O61)</f>
        <v>12.1934931141477</v>
      </c>
      <c r="P62" s="102" t="n">
        <f aca="false">SUM(P58:P61)</f>
        <v>13.684271326917</v>
      </c>
      <c r="Q62" s="102" t="n">
        <f aca="false">SUM(Q58:Q61)</f>
        <v>15.0639609072212</v>
      </c>
      <c r="R62" s="102" t="n">
        <f aca="false">SUM(R58:R61)</f>
        <v>8.304606784718</v>
      </c>
      <c r="S62" s="102" t="n">
        <f aca="false">SUM(S58:S61)</f>
        <v>15.9117511261819</v>
      </c>
      <c r="T62" s="102" t="n">
        <f aca="false">SUM(T58:T61)</f>
        <v>16.2884031549778</v>
      </c>
      <c r="U62" s="102" t="n">
        <f aca="false">SUM(U58:U61)</f>
        <v>13.9368876222909</v>
      </c>
      <c r="V62" s="102" t="n">
        <f aca="false">SUM(V58:V61)</f>
        <v>17.2935931848012</v>
      </c>
      <c r="W62" s="102" t="n">
        <f aca="false">SUM(W58:W61)</f>
        <v>17.5298410789416</v>
      </c>
      <c r="X62" s="102" t="n">
        <f aca="false">SUM(X58:X61)</f>
        <v>12.7194480258656</v>
      </c>
      <c r="Y62" s="102" t="n">
        <f aca="false">SUM(Y58:Y61)</f>
        <v>17.4319727227215</v>
      </c>
      <c r="Z62" s="102" t="n">
        <f aca="false">SUM(Z58:Z61)</f>
        <v>17.2464082816813</v>
      </c>
      <c r="AA62" s="102" t="n">
        <f aca="false">SUM(AA58:AA61)</f>
        <v>12.64</v>
      </c>
      <c r="AB62" s="102" t="n">
        <f aca="false">SUM(AB58:AB61)</f>
        <v>18.08</v>
      </c>
      <c r="AC62" s="102" t="n">
        <f aca="false">SUM(AC58:AC61)</f>
        <v>15.2</v>
      </c>
    </row>
    <row r="63" customFormat="false" ht="12.75" hidden="false" customHeight="false" outlineLevel="0" collapsed="false">
      <c r="A63" s="98" t="s">
        <v>69</v>
      </c>
      <c r="D63" s="104"/>
      <c r="F63" s="106"/>
      <c r="G63" s="120" t="n">
        <f aca="false">+G36</f>
        <v>12</v>
      </c>
      <c r="H63" s="120" t="n">
        <f aca="false">+H36</f>
        <v>12</v>
      </c>
      <c r="I63" s="120" t="n">
        <f aca="false">+I36</f>
        <v>12</v>
      </c>
      <c r="J63" s="120" t="n">
        <f aca="false">+J36</f>
        <v>12</v>
      </c>
      <c r="K63" s="120" t="n">
        <f aca="false">+K36</f>
        <v>12</v>
      </c>
      <c r="L63" s="120" t="n">
        <f aca="false">+L36</f>
        <v>12</v>
      </c>
      <c r="M63" s="120" t="n">
        <f aca="false">+M36</f>
        <v>12</v>
      </c>
      <c r="N63" s="120" t="n">
        <f aca="false">+N36</f>
        <v>12</v>
      </c>
      <c r="O63" s="120" t="n">
        <f aca="false">+O36</f>
        <v>12</v>
      </c>
      <c r="P63" s="120" t="n">
        <f aca="false">+P36</f>
        <v>12</v>
      </c>
      <c r="Q63" s="120" t="n">
        <f aca="false">+Q36</f>
        <v>12</v>
      </c>
      <c r="R63" s="120" t="n">
        <f aca="false">+R36</f>
        <v>12</v>
      </c>
      <c r="S63" s="120" t="n">
        <f aca="false">+S36</f>
        <v>12</v>
      </c>
      <c r="T63" s="120" t="n">
        <f aca="false">+T36</f>
        <v>12</v>
      </c>
      <c r="U63" s="120" t="n">
        <f aca="false">+U36</f>
        <v>12</v>
      </c>
      <c r="V63" s="120" t="n">
        <f aca="false">+V36</f>
        <v>12</v>
      </c>
      <c r="W63" s="120" t="n">
        <f aca="false">+W36</f>
        <v>12</v>
      </c>
      <c r="X63" s="120" t="n">
        <f aca="false">+X36</f>
        <v>12</v>
      </c>
      <c r="Y63" s="120" t="n">
        <f aca="false">+Y36</f>
        <v>12</v>
      </c>
      <c r="Z63" s="120" t="n">
        <f aca="false">+Z36</f>
        <v>12</v>
      </c>
      <c r="AA63" s="120" t="n">
        <f aca="false">+AA36</f>
        <v>12</v>
      </c>
      <c r="AB63" s="120" t="n">
        <f aca="false">+AB36</f>
        <v>12</v>
      </c>
      <c r="AC63" s="120" t="n">
        <f aca="false">+AC36</f>
        <v>12</v>
      </c>
    </row>
    <row r="64" customFormat="false" ht="12.75" hidden="false" customHeight="false" outlineLevel="0" collapsed="false">
      <c r="A64" s="98" t="s">
        <v>6</v>
      </c>
      <c r="D64" s="104"/>
      <c r="F64" s="0" t="s">
        <v>39</v>
      </c>
      <c r="G64" s="109" t="n">
        <f aca="false">+$F$8</f>
        <v>263000</v>
      </c>
      <c r="H64" s="121" t="n">
        <f aca="false">+G64</f>
        <v>263000</v>
      </c>
      <c r="I64" s="121" t="n">
        <f aca="false">+H64</f>
        <v>263000</v>
      </c>
      <c r="J64" s="121" t="n">
        <f aca="false">+I64</f>
        <v>263000</v>
      </c>
      <c r="K64" s="121" t="n">
        <f aca="false">+J64</f>
        <v>263000</v>
      </c>
      <c r="L64" s="121" t="n">
        <f aca="false">+K64</f>
        <v>263000</v>
      </c>
      <c r="M64" s="121" t="n">
        <f aca="false">+L64</f>
        <v>263000</v>
      </c>
      <c r="N64" s="121" t="n">
        <f aca="false">+M64</f>
        <v>263000</v>
      </c>
      <c r="O64" s="121" t="n">
        <f aca="false">+N64</f>
        <v>263000</v>
      </c>
      <c r="P64" s="121" t="n">
        <f aca="false">+O64</f>
        <v>263000</v>
      </c>
      <c r="Q64" s="121" t="n">
        <f aca="false">+P64</f>
        <v>263000</v>
      </c>
      <c r="R64" s="121" t="n">
        <f aca="false">+Q64</f>
        <v>263000</v>
      </c>
      <c r="S64" s="121" t="n">
        <f aca="false">+R64</f>
        <v>263000</v>
      </c>
      <c r="T64" s="121" t="n">
        <f aca="false">+S64</f>
        <v>263000</v>
      </c>
      <c r="U64" s="121" t="n">
        <f aca="false">+T64</f>
        <v>263000</v>
      </c>
      <c r="V64" s="121" t="n">
        <f aca="false">+U64</f>
        <v>263000</v>
      </c>
      <c r="W64" s="121" t="n">
        <f aca="false">+V64</f>
        <v>263000</v>
      </c>
      <c r="X64" s="121" t="n">
        <f aca="false">+W64</f>
        <v>263000</v>
      </c>
      <c r="Y64" s="121" t="n">
        <f aca="false">+X64</f>
        <v>263000</v>
      </c>
      <c r="Z64" s="121" t="n">
        <f aca="false">+Y64</f>
        <v>263000</v>
      </c>
      <c r="AA64" s="121" t="n">
        <f aca="false">+Z64</f>
        <v>263000</v>
      </c>
      <c r="AB64" s="121" t="n">
        <f aca="false">+AA64</f>
        <v>263000</v>
      </c>
      <c r="AC64" s="121" t="n">
        <f aca="false">+AB64</f>
        <v>263000</v>
      </c>
    </row>
    <row r="65" customFormat="false" ht="12.75" hidden="false" customHeight="false" outlineLevel="0" collapsed="false">
      <c r="A65" s="110" t="s">
        <v>70</v>
      </c>
      <c r="B65" s="111"/>
      <c r="C65" s="111"/>
      <c r="D65" s="112"/>
      <c r="E65" s="111"/>
      <c r="F65" s="111"/>
      <c r="G65" s="124" t="n">
        <f aca="false">+G64*G63*G62</f>
        <v>39292654.182</v>
      </c>
      <c r="H65" s="124" t="n">
        <f aca="false">+H64*H63*H62</f>
        <v>40160928.31625</v>
      </c>
      <c r="I65" s="124" t="n">
        <f aca="false">+I64*I63*I62</f>
        <v>36070025.53575</v>
      </c>
      <c r="J65" s="124" t="n">
        <f aca="false">+J64*J63*J62</f>
        <v>39641369.22525</v>
      </c>
      <c r="K65" s="124" t="n">
        <f aca="false">+K64*K63*K62</f>
        <v>37493519.38475</v>
      </c>
      <c r="L65" s="124" t="n">
        <f aca="false">+L64*L63*L62</f>
        <v>31049254.96975</v>
      </c>
      <c r="M65" s="124" t="n">
        <f aca="false">+M64*M63*M62</f>
        <v>43317491.59925</v>
      </c>
      <c r="N65" s="124" t="n">
        <f aca="false">+N64*N63*N62</f>
        <v>44911614.69875</v>
      </c>
      <c r="O65" s="124" t="n">
        <f aca="false">+O64*O63*O62</f>
        <v>38482664.26825</v>
      </c>
      <c r="P65" s="124" t="n">
        <f aca="false">+P64*P63*P62</f>
        <v>43187560.30775</v>
      </c>
      <c r="Q65" s="124" t="n">
        <f aca="false">+Q64*Q63*Q62</f>
        <v>47541860.62319</v>
      </c>
      <c r="R65" s="124" t="n">
        <f aca="false">+R64*R63*R62</f>
        <v>26209339.01257</v>
      </c>
      <c r="S65" s="124" t="n">
        <f aca="false">+S64*S63*S62</f>
        <v>50217486.55423</v>
      </c>
      <c r="T65" s="124" t="n">
        <f aca="false">+T64*T63*T62</f>
        <v>51406200.35711</v>
      </c>
      <c r="U65" s="124" t="n">
        <f aca="false">+U64*U63*U62</f>
        <v>43984817.33595</v>
      </c>
      <c r="V65" s="124" t="n">
        <f aca="false">+V64*V63*V62</f>
        <v>54578580.0912326</v>
      </c>
      <c r="W65" s="124" t="n">
        <f aca="false">+W64*W63*W62</f>
        <v>55324178.4451397</v>
      </c>
      <c r="X65" s="124" t="n">
        <f aca="false">+X64*X63*X62</f>
        <v>40142577.9696318</v>
      </c>
      <c r="Y65" s="124" t="n">
        <f aca="false">+Y64*Y63*Y62</f>
        <v>55015305.912909</v>
      </c>
      <c r="Z65" s="124" t="n">
        <f aca="false">+Z64*Z63*Z62</f>
        <v>54429664.5369863</v>
      </c>
      <c r="AA65" s="124" t="n">
        <f aca="false">+AA64*AA63*AA62</f>
        <v>39891840</v>
      </c>
      <c r="AB65" s="124" t="n">
        <f aca="false">+AB64*AB63*AB62</f>
        <v>57060480</v>
      </c>
      <c r="AC65" s="124" t="n">
        <f aca="false">+AC64*AC63*AC62</f>
        <v>47971200</v>
      </c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1"/>
      <c r="AR65" s="111"/>
      <c r="AS65" s="111"/>
      <c r="AT65" s="111"/>
      <c r="AU65" s="111"/>
      <c r="AV65" s="111"/>
      <c r="AW65" s="111"/>
      <c r="AX65" s="111"/>
      <c r="AY65" s="111"/>
      <c r="AZ65" s="111"/>
    </row>
    <row r="66" customFormat="false" ht="12.75" hidden="false" customHeight="false" outlineLevel="0" collapsed="false">
      <c r="A66" s="110" t="s">
        <v>71</v>
      </c>
      <c r="B66" s="111"/>
      <c r="C66" s="111"/>
      <c r="D66" s="112"/>
      <c r="E66" s="111"/>
      <c r="F66" s="111"/>
      <c r="G66" s="110" t="n">
        <f aca="false">+G65/G63</f>
        <v>3274387.8485</v>
      </c>
      <c r="H66" s="110" t="n">
        <f aca="false">+H65/H63</f>
        <v>3346744.02635417</v>
      </c>
      <c r="I66" s="110" t="n">
        <f aca="false">+I65/I63</f>
        <v>3005835.4613125</v>
      </c>
      <c r="J66" s="110" t="n">
        <f aca="false">+J65/J63</f>
        <v>3303447.4354375</v>
      </c>
      <c r="K66" s="110" t="n">
        <f aca="false">+K65/K63</f>
        <v>3124459.94872917</v>
      </c>
      <c r="L66" s="110" t="n">
        <f aca="false">+L65/L63</f>
        <v>2587437.91414583</v>
      </c>
      <c r="M66" s="110" t="n">
        <f aca="false">+M65/M63</f>
        <v>3609790.96660417</v>
      </c>
      <c r="N66" s="110" t="n">
        <f aca="false">+N65/N63</f>
        <v>3742634.55822917</v>
      </c>
      <c r="O66" s="110" t="n">
        <f aca="false">+O65/O63</f>
        <v>3206888.68902083</v>
      </c>
      <c r="P66" s="110" t="n">
        <f aca="false">+P65/P63</f>
        <v>3598963.35897917</v>
      </c>
      <c r="Q66" s="110" t="n">
        <f aca="false">+Q65/Q63</f>
        <v>3961821.71859917</v>
      </c>
      <c r="R66" s="110" t="n">
        <f aca="false">+R65/R63</f>
        <v>2184111.58438083</v>
      </c>
      <c r="S66" s="110" t="n">
        <f aca="false">+S65/S63</f>
        <v>4184790.54618583</v>
      </c>
      <c r="T66" s="110" t="n">
        <f aca="false">+T65/T63</f>
        <v>4283850.02975917</v>
      </c>
      <c r="U66" s="110" t="n">
        <f aca="false">+U65/U63</f>
        <v>3665401.4446625</v>
      </c>
      <c r="V66" s="110" t="n">
        <f aca="false">+V65/V63</f>
        <v>4548215.00760272</v>
      </c>
      <c r="W66" s="110" t="n">
        <f aca="false">+W65/W63</f>
        <v>4610348.20376164</v>
      </c>
      <c r="X66" s="110" t="n">
        <f aca="false">+X65/X63</f>
        <v>3345214.83080265</v>
      </c>
      <c r="Y66" s="110" t="n">
        <f aca="false">+Y65/Y63</f>
        <v>4584608.82607575</v>
      </c>
      <c r="Z66" s="110" t="n">
        <f aca="false">+Z65/Z63</f>
        <v>4535805.37808219</v>
      </c>
      <c r="AA66" s="110" t="n">
        <f aca="false">+AA65/AA63</f>
        <v>3324320</v>
      </c>
      <c r="AB66" s="110" t="n">
        <f aca="false">+AB65/AB63</f>
        <v>4755040</v>
      </c>
      <c r="AC66" s="110" t="n">
        <f aca="false">+AC65/AC63</f>
        <v>3997600</v>
      </c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1"/>
      <c r="AR66" s="111"/>
      <c r="AS66" s="111"/>
      <c r="AT66" s="111"/>
      <c r="AU66" s="111"/>
      <c r="AV66" s="111"/>
      <c r="AW66" s="111"/>
      <c r="AX66" s="111"/>
      <c r="AY66" s="111"/>
      <c r="AZ66" s="111"/>
    </row>
    <row r="67" customFormat="false" ht="13.5" hidden="false" customHeight="false" outlineLevel="0" collapsed="false">
      <c r="A67" s="111"/>
      <c r="B67" s="111"/>
      <c r="C67" s="111"/>
      <c r="D67" s="112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1"/>
      <c r="AR67" s="111"/>
      <c r="AS67" s="111"/>
      <c r="AT67" s="111"/>
      <c r="AU67" s="111"/>
      <c r="AV67" s="111"/>
      <c r="AW67" s="111"/>
      <c r="AX67" s="111"/>
      <c r="AY67" s="111"/>
      <c r="AZ67" s="111"/>
    </row>
    <row r="68" customFormat="false" ht="13.5" hidden="false" customHeight="false" outlineLevel="0" collapsed="false">
      <c r="A68" s="122" t="str">
        <f aca="false">CONCATENATE("XNPV",ROUND($F$9*100,2)," at 12/31/00")</f>
        <v>XNPV5 at 12/31/00</v>
      </c>
      <c r="B68" s="123" t="n">
        <f aca="false">XNPV(F9,E137:E364,B137:B364)</f>
        <v>547593319.994804</v>
      </c>
      <c r="C68" s="111"/>
      <c r="D68" s="112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1"/>
      <c r="AR68" s="111"/>
      <c r="AS68" s="111"/>
      <c r="AT68" s="111"/>
      <c r="AU68" s="111"/>
      <c r="AV68" s="111"/>
      <c r="AW68" s="111"/>
      <c r="AX68" s="111"/>
      <c r="AY68" s="111"/>
      <c r="AZ68" s="111"/>
    </row>
    <row r="69" customFormat="false" ht="12.75" hidden="false" customHeight="false" outlineLevel="0" collapsed="false">
      <c r="A69" s="98"/>
      <c r="D69" s="104"/>
    </row>
    <row r="70" customFormat="false" ht="12.75" hidden="false" customHeight="false" outlineLevel="0" collapsed="false">
      <c r="A70" s="97" t="s">
        <v>75</v>
      </c>
      <c r="B70" s="97"/>
      <c r="C70" s="97"/>
      <c r="D70" s="97"/>
      <c r="E70" s="97"/>
      <c r="F70" s="97"/>
    </row>
    <row r="71" customFormat="false" ht="13.5" hidden="false" customHeight="false" outlineLevel="0" collapsed="false">
      <c r="A71" s="98" t="s">
        <v>62</v>
      </c>
      <c r="D71" s="104"/>
      <c r="F71" s="0" t="s">
        <v>63</v>
      </c>
      <c r="G71" s="103" t="n">
        <v>13.6</v>
      </c>
      <c r="H71" s="103" t="n">
        <v>14.04</v>
      </c>
      <c r="I71" s="103" t="n">
        <v>14.57</v>
      </c>
      <c r="J71" s="103" t="n">
        <v>15.09</v>
      </c>
      <c r="K71" s="103" t="n">
        <v>15.65</v>
      </c>
      <c r="L71" s="103" t="n">
        <v>16.21</v>
      </c>
      <c r="M71" s="103" t="n">
        <v>16.87</v>
      </c>
      <c r="N71" s="103" t="n">
        <v>17.54</v>
      </c>
      <c r="O71" s="103" t="n">
        <v>18.18</v>
      </c>
      <c r="P71" s="103" t="n">
        <v>18.88</v>
      </c>
      <c r="Q71" s="103" t="n">
        <v>17.58</v>
      </c>
      <c r="R71" s="103" t="n">
        <v>18.13</v>
      </c>
      <c r="S71" s="103" t="n">
        <v>18.87</v>
      </c>
      <c r="T71" s="103" t="n">
        <v>19.52</v>
      </c>
      <c r="U71" s="103" t="n">
        <v>20.22</v>
      </c>
      <c r="V71" s="103" t="n">
        <v>20.99</v>
      </c>
      <c r="W71" s="103" t="n">
        <v>21.56</v>
      </c>
      <c r="X71" s="103" t="n">
        <v>21.71</v>
      </c>
      <c r="Y71" s="103" t="n">
        <v>22.02</v>
      </c>
      <c r="Z71" s="103" t="n">
        <v>22.18</v>
      </c>
      <c r="AA71" s="103" t="n">
        <v>23.13</v>
      </c>
      <c r="AB71" s="103" t="n">
        <v>23.58</v>
      </c>
      <c r="AC71" s="103" t="n">
        <v>24.07</v>
      </c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</row>
    <row r="72" customFormat="false" ht="13.5" hidden="false" customHeight="false" outlineLevel="0" collapsed="false">
      <c r="A72" s="98" t="s">
        <v>64</v>
      </c>
      <c r="C72" s="100" t="n">
        <f aca="false">+IF($B$24="yes",1,0)</f>
        <v>0</v>
      </c>
      <c r="D72" s="101" t="s">
        <v>65</v>
      </c>
      <c r="F72" s="0" t="s">
        <v>63</v>
      </c>
      <c r="G72" s="102" t="n">
        <f aca="false">+'Tenaska''s i Adjustment'!D$44*$C$72</f>
        <v>0</v>
      </c>
      <c r="H72" s="102" t="n">
        <f aca="false">+'Tenaska''s i Adjustment'!E$44*$C$72</f>
        <v>0</v>
      </c>
      <c r="I72" s="102" t="n">
        <f aca="false">+'Tenaska''s i Adjustment'!F$44*$C$72</f>
        <v>0</v>
      </c>
      <c r="J72" s="102" t="n">
        <f aca="false">+'Tenaska''s i Adjustment'!G$44*$C$72</f>
        <v>0</v>
      </c>
      <c r="K72" s="102" t="n">
        <f aca="false">+'Tenaska''s i Adjustment'!H$44*$C$72</f>
        <v>0</v>
      </c>
      <c r="L72" s="102" t="n">
        <f aca="false">+'Tenaska''s i Adjustment'!I$44*$C$72</f>
        <v>0</v>
      </c>
      <c r="M72" s="102" t="n">
        <f aca="false">+'Tenaska''s i Adjustment'!J$44*$C$72</f>
        <v>0</v>
      </c>
      <c r="N72" s="102" t="n">
        <f aca="false">+'Tenaska''s i Adjustment'!K$44*$C$72</f>
        <v>0</v>
      </c>
      <c r="O72" s="102" t="n">
        <f aca="false">+'Tenaska''s i Adjustment'!L$44*$C$72</f>
        <v>0</v>
      </c>
      <c r="P72" s="102" t="n">
        <f aca="false">+'Tenaska''s i Adjustment'!M$44*$C$72</f>
        <v>0</v>
      </c>
      <c r="Q72" s="102" t="n">
        <f aca="false">+'Tenaska''s i Adjustment'!N$44*$C$72</f>
        <v>0</v>
      </c>
      <c r="R72" s="102" t="n">
        <f aca="false">+'Tenaska''s i Adjustment'!O$44*$C$72</f>
        <v>0</v>
      </c>
      <c r="S72" s="102" t="n">
        <f aca="false">+'Tenaska''s i Adjustment'!P$44*$C$72</f>
        <v>0</v>
      </c>
      <c r="T72" s="102" t="n">
        <f aca="false">+'Tenaska''s i Adjustment'!Q$44*$C$72</f>
        <v>0</v>
      </c>
      <c r="U72" s="102" t="n">
        <f aca="false">+'Tenaska''s i Adjustment'!R$44*$C$72</f>
        <v>0</v>
      </c>
      <c r="V72" s="102" t="n">
        <f aca="false">+'Tenaska''s i Adjustment'!S$44*$C$72</f>
        <v>0</v>
      </c>
      <c r="W72" s="102" t="n">
        <f aca="false">+'Tenaska''s i Adjustment'!T$44*$C$72</f>
        <v>0</v>
      </c>
      <c r="X72" s="102" t="n">
        <f aca="false">+'Tenaska''s i Adjustment'!U$44*$C$72</f>
        <v>0</v>
      </c>
      <c r="Y72" s="102" t="n">
        <f aca="false">+'Tenaska''s i Adjustment'!V$44*$C$72</f>
        <v>0</v>
      </c>
      <c r="Z72" s="102" t="n">
        <f aca="false">+'Tenaska''s i Adjustment'!W$44*$C$72</f>
        <v>0</v>
      </c>
      <c r="AA72" s="102" t="n">
        <f aca="false">+'Tenaska''s i Adjustment'!X$44*$C$72</f>
        <v>-0</v>
      </c>
      <c r="AB72" s="102" t="n">
        <f aca="false">+'Tenaska''s i Adjustment'!Y$44*$C$72</f>
        <v>-0</v>
      </c>
      <c r="AC72" s="102" t="n">
        <f aca="false">+'Tenaska''s i Adjustment'!Z$44*$C$72</f>
        <v>-0</v>
      </c>
    </row>
    <row r="73" customFormat="false" ht="13.5" hidden="false" customHeight="false" outlineLevel="0" collapsed="false">
      <c r="A73" s="98" t="s">
        <v>66</v>
      </c>
      <c r="C73" s="100" t="n">
        <f aca="false">+IF($B$25="yes",1,0)</f>
        <v>1</v>
      </c>
      <c r="D73" s="101" t="s">
        <v>65</v>
      </c>
      <c r="F73" s="0" t="s">
        <v>63</v>
      </c>
      <c r="G73" s="102" t="n">
        <f aca="false">+'Damage Calculations'!G85*$C$73</f>
        <v>0</v>
      </c>
      <c r="H73" s="102" t="n">
        <f aca="false">+'Damage Calculations'!H85*$C$73</f>
        <v>0</v>
      </c>
      <c r="I73" s="102" t="n">
        <f aca="false">+'Damage Calculations'!I85*$C$73</f>
        <v>0</v>
      </c>
      <c r="J73" s="102" t="n">
        <f aca="false">+'Damage Calculations'!J85*$C$73</f>
        <v>-1.08</v>
      </c>
      <c r="K73" s="102" t="n">
        <f aca="false">+'Damage Calculations'!K85*$C$73</f>
        <v>-1.13</v>
      </c>
      <c r="L73" s="102" t="n">
        <f aca="false">+'Damage Calculations'!L85*$C$73</f>
        <v>-1.19</v>
      </c>
      <c r="M73" s="102" t="n">
        <f aca="false">+'Damage Calculations'!M85*$C$73</f>
        <v>-1.25</v>
      </c>
      <c r="N73" s="102" t="n">
        <f aca="false">+'Damage Calculations'!N85*$C$73</f>
        <v>-1.31</v>
      </c>
      <c r="O73" s="102" t="n">
        <f aca="false">+'Damage Calculations'!O85*$C$73</f>
        <v>-1.38</v>
      </c>
      <c r="P73" s="102" t="n">
        <f aca="false">+'Damage Calculations'!P85*$C$73</f>
        <v>-1.45</v>
      </c>
      <c r="Q73" s="102" t="n">
        <f aca="false">+'Damage Calculations'!Q85*$C$73</f>
        <v>0</v>
      </c>
      <c r="R73" s="102" t="n">
        <f aca="false">+'Damage Calculations'!R85*$C$73</f>
        <v>0</v>
      </c>
      <c r="S73" s="102" t="n">
        <f aca="false">+'Damage Calculations'!S85*$C$73</f>
        <v>0</v>
      </c>
      <c r="T73" s="102" t="n">
        <f aca="false">+'Damage Calculations'!T85*$C$73</f>
        <v>0</v>
      </c>
      <c r="U73" s="102" t="n">
        <f aca="false">+'Damage Calculations'!U85*$C$73</f>
        <v>0</v>
      </c>
      <c r="V73" s="102" t="n">
        <f aca="false">+'Damage Calculations'!V85*$C$73</f>
        <v>0</v>
      </c>
      <c r="W73" s="102" t="n">
        <f aca="false">+'Damage Calculations'!W85*$C$73</f>
        <v>0</v>
      </c>
      <c r="X73" s="102" t="n">
        <f aca="false">+'Damage Calculations'!X85*$C$73</f>
        <v>0</v>
      </c>
      <c r="Y73" s="102" t="n">
        <f aca="false">+'Damage Calculations'!Y85*$C$73</f>
        <v>0</v>
      </c>
      <c r="Z73" s="102" t="n">
        <f aca="false">+'Damage Calculations'!Z85*$C$73</f>
        <v>0</v>
      </c>
      <c r="AA73" s="102" t="n">
        <f aca="false">+'Damage Calculations'!AA85*$C$73</f>
        <v>0</v>
      </c>
      <c r="AB73" s="102" t="n">
        <f aca="false">+'Damage Calculations'!AB85*$C$73</f>
        <v>0</v>
      </c>
      <c r="AC73" s="102" t="n">
        <f aca="false">+'Damage Calculations'!AC85*$C$73</f>
        <v>0</v>
      </c>
    </row>
    <row r="74" customFormat="false" ht="12.75" hidden="false" customHeight="false" outlineLevel="0" collapsed="false">
      <c r="A74" s="98" t="s">
        <v>67</v>
      </c>
      <c r="F74" s="0" t="s">
        <v>63</v>
      </c>
      <c r="G74" s="119" t="n">
        <f aca="false">+G48</f>
        <v>-1.96</v>
      </c>
      <c r="H74" s="119" t="n">
        <f aca="false">+H48</f>
        <v>-2.12</v>
      </c>
      <c r="I74" s="119" t="n">
        <f aca="false">+I48</f>
        <v>-3.94</v>
      </c>
      <c r="J74" s="119" t="n">
        <f aca="false">+J48</f>
        <v>-2.24</v>
      </c>
      <c r="K74" s="119" t="n">
        <f aca="false">+K48</f>
        <v>-3.42</v>
      </c>
      <c r="L74" s="119" t="n">
        <f aca="false">+L48</f>
        <v>-5.95</v>
      </c>
      <c r="M74" s="119" t="n">
        <f aca="false">+M48</f>
        <v>-2.65</v>
      </c>
      <c r="N74" s="119" t="n">
        <f aca="false">+N48</f>
        <v>-2.74</v>
      </c>
      <c r="O74" s="119" t="n">
        <f aca="false">+O48</f>
        <v>-5.33</v>
      </c>
      <c r="P74" s="119" t="n">
        <f aca="false">+P48</f>
        <v>-4.45</v>
      </c>
      <c r="Q74" s="119" t="n">
        <f aca="false">+Q48</f>
        <v>-3.19</v>
      </c>
      <c r="R74" s="119" t="n">
        <f aca="false">+R48</f>
        <v>-10.45</v>
      </c>
      <c r="S74" s="119" t="n">
        <f aca="false">+S48</f>
        <v>-3.53</v>
      </c>
      <c r="T74" s="119" t="n">
        <f aca="false">+T48</f>
        <v>-3.75</v>
      </c>
      <c r="U74" s="119" t="n">
        <f aca="false">+U48</f>
        <v>-6.74</v>
      </c>
      <c r="V74" s="119" t="n">
        <f aca="false">+V48</f>
        <v>-4.08</v>
      </c>
      <c r="W74" s="119" t="n">
        <f aca="false">+W48</f>
        <v>-4.32</v>
      </c>
      <c r="X74" s="119" t="n">
        <f aca="false">+X48</f>
        <v>-9.21</v>
      </c>
      <c r="Y74" s="119" t="n">
        <f aca="false">+Y48</f>
        <v>-4.73</v>
      </c>
      <c r="Z74" s="119" t="n">
        <f aca="false">+Z48</f>
        <v>-4.99</v>
      </c>
      <c r="AA74" s="119" t="n">
        <f aca="false">+AA48</f>
        <v>-10.49</v>
      </c>
      <c r="AB74" s="119" t="n">
        <f aca="false">+AB48</f>
        <v>-5.5</v>
      </c>
      <c r="AC74" s="119" t="n">
        <f aca="false">+AC48</f>
        <v>-8.87</v>
      </c>
    </row>
    <row r="75" customFormat="false" ht="12.75" hidden="false" customHeight="false" outlineLevel="0" collapsed="false">
      <c r="A75" s="98" t="s">
        <v>68</v>
      </c>
      <c r="B75" s="125"/>
      <c r="C75" s="125"/>
      <c r="D75" s="125"/>
      <c r="E75" s="125"/>
      <c r="F75" s="0" t="s">
        <v>63</v>
      </c>
      <c r="G75" s="102" t="n">
        <f aca="false">SUM(G71:G74)</f>
        <v>11.64</v>
      </c>
      <c r="H75" s="102" t="n">
        <f aca="false">SUM(H71:H74)</f>
        <v>11.92</v>
      </c>
      <c r="I75" s="102" t="n">
        <f aca="false">SUM(I71:I74)</f>
        <v>10.63</v>
      </c>
      <c r="J75" s="102" t="n">
        <f aca="false">SUM(J71:J74)</f>
        <v>11.77</v>
      </c>
      <c r="K75" s="102" t="n">
        <f aca="false">SUM(K71:K74)</f>
        <v>11.1</v>
      </c>
      <c r="L75" s="102" t="n">
        <f aca="false">SUM(L71:L74)</f>
        <v>9.07</v>
      </c>
      <c r="M75" s="102" t="n">
        <f aca="false">SUM(M71:M74)</f>
        <v>12.97</v>
      </c>
      <c r="N75" s="102" t="n">
        <f aca="false">SUM(N71:N74)</f>
        <v>13.49</v>
      </c>
      <c r="O75" s="102" t="n">
        <f aca="false">SUM(O71:O74)</f>
        <v>11.47</v>
      </c>
      <c r="P75" s="102" t="n">
        <f aca="false">SUM(P71:P74)</f>
        <v>12.98</v>
      </c>
      <c r="Q75" s="102" t="n">
        <f aca="false">SUM(Q71:Q74)</f>
        <v>14.39</v>
      </c>
      <c r="R75" s="102" t="n">
        <f aca="false">SUM(R71:R74)</f>
        <v>7.68</v>
      </c>
      <c r="S75" s="102" t="n">
        <f aca="false">SUM(S71:S74)</f>
        <v>15.34</v>
      </c>
      <c r="T75" s="102" t="n">
        <f aca="false">SUM(T71:T74)</f>
        <v>15.77</v>
      </c>
      <c r="U75" s="102" t="n">
        <f aca="false">SUM(U71:U74)</f>
        <v>13.48</v>
      </c>
      <c r="V75" s="102" t="n">
        <f aca="false">SUM(V71:V74)</f>
        <v>16.91</v>
      </c>
      <c r="W75" s="102" t="n">
        <f aca="false">SUM(W71:W74)</f>
        <v>17.24</v>
      </c>
      <c r="X75" s="102" t="n">
        <f aca="false">SUM(X71:X74)</f>
        <v>12.5</v>
      </c>
      <c r="Y75" s="102" t="n">
        <f aca="false">SUM(Y71:Y74)</f>
        <v>17.29</v>
      </c>
      <c r="Z75" s="102" t="n">
        <f aca="false">SUM(Z71:Z74)</f>
        <v>17.19</v>
      </c>
      <c r="AA75" s="102" t="n">
        <f aca="false">SUM(AA71:AA74)</f>
        <v>12.64</v>
      </c>
      <c r="AB75" s="102" t="n">
        <f aca="false">SUM(AB71:AB74)</f>
        <v>18.08</v>
      </c>
      <c r="AC75" s="102" t="n">
        <f aca="false">SUM(AC71:AC74)</f>
        <v>15.2</v>
      </c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  <c r="AZ75" s="125"/>
    </row>
    <row r="76" customFormat="false" ht="12.75" hidden="false" customHeight="false" outlineLevel="0" collapsed="false">
      <c r="A76" s="98" t="s">
        <v>69</v>
      </c>
      <c r="F76" s="106"/>
      <c r="G76" s="120" t="n">
        <f aca="false">+G50</f>
        <v>12</v>
      </c>
      <c r="H76" s="120" t="n">
        <f aca="false">+H50</f>
        <v>12</v>
      </c>
      <c r="I76" s="120" t="n">
        <f aca="false">+I50</f>
        <v>12</v>
      </c>
      <c r="J76" s="120" t="n">
        <f aca="false">+J50</f>
        <v>12</v>
      </c>
      <c r="K76" s="120" t="n">
        <f aca="false">+K50</f>
        <v>12</v>
      </c>
      <c r="L76" s="120" t="n">
        <f aca="false">+L50</f>
        <v>12</v>
      </c>
      <c r="M76" s="120" t="n">
        <f aca="false">+M50</f>
        <v>12</v>
      </c>
      <c r="N76" s="120" t="n">
        <f aca="false">+N50</f>
        <v>12</v>
      </c>
      <c r="O76" s="120" t="n">
        <f aca="false">+O50</f>
        <v>12</v>
      </c>
      <c r="P76" s="120" t="n">
        <f aca="false">+P50</f>
        <v>12</v>
      </c>
      <c r="Q76" s="120" t="n">
        <f aca="false">+Q50</f>
        <v>12</v>
      </c>
      <c r="R76" s="120" t="n">
        <f aca="false">+R50</f>
        <v>12</v>
      </c>
      <c r="S76" s="120" t="n">
        <f aca="false">+S50</f>
        <v>12</v>
      </c>
      <c r="T76" s="120" t="n">
        <f aca="false">+T50</f>
        <v>12</v>
      </c>
      <c r="U76" s="120" t="n">
        <f aca="false">+U50</f>
        <v>12</v>
      </c>
      <c r="V76" s="120" t="n">
        <f aca="false">+V50</f>
        <v>12</v>
      </c>
      <c r="W76" s="120" t="n">
        <f aca="false">+W50</f>
        <v>12</v>
      </c>
      <c r="X76" s="120" t="n">
        <f aca="false">+X50</f>
        <v>12</v>
      </c>
      <c r="Y76" s="120" t="n">
        <f aca="false">+Y50</f>
        <v>12</v>
      </c>
      <c r="Z76" s="120" t="n">
        <f aca="false">+Z50</f>
        <v>12</v>
      </c>
      <c r="AA76" s="120" t="n">
        <f aca="false">+AA50</f>
        <v>12</v>
      </c>
      <c r="AB76" s="120" t="n">
        <f aca="false">+AB50</f>
        <v>12</v>
      </c>
      <c r="AC76" s="120" t="n">
        <f aca="false">+AC50</f>
        <v>12</v>
      </c>
    </row>
    <row r="77" customFormat="false" ht="12.75" hidden="false" customHeight="false" outlineLevel="0" collapsed="false">
      <c r="A77" s="98" t="s">
        <v>6</v>
      </c>
      <c r="F77" s="0" t="s">
        <v>39</v>
      </c>
      <c r="G77" s="121" t="n">
        <f aca="false">+$F$8</f>
        <v>263000</v>
      </c>
      <c r="H77" s="121" t="n">
        <f aca="false">+G77</f>
        <v>263000</v>
      </c>
      <c r="I77" s="121" t="n">
        <f aca="false">+H77</f>
        <v>263000</v>
      </c>
      <c r="J77" s="121" t="n">
        <f aca="false">+I77</f>
        <v>263000</v>
      </c>
      <c r="K77" s="121" t="n">
        <f aca="false">+J77</f>
        <v>263000</v>
      </c>
      <c r="L77" s="121" t="n">
        <f aca="false">+K77</f>
        <v>263000</v>
      </c>
      <c r="M77" s="121" t="n">
        <f aca="false">+L77</f>
        <v>263000</v>
      </c>
      <c r="N77" s="121" t="n">
        <f aca="false">+M77</f>
        <v>263000</v>
      </c>
      <c r="O77" s="121" t="n">
        <f aca="false">+N77</f>
        <v>263000</v>
      </c>
      <c r="P77" s="121" t="n">
        <f aca="false">+O77</f>
        <v>263000</v>
      </c>
      <c r="Q77" s="121" t="n">
        <f aca="false">+P77</f>
        <v>263000</v>
      </c>
      <c r="R77" s="121" t="n">
        <f aca="false">+Q77</f>
        <v>263000</v>
      </c>
      <c r="S77" s="121" t="n">
        <f aca="false">+R77</f>
        <v>263000</v>
      </c>
      <c r="T77" s="121" t="n">
        <f aca="false">+S77</f>
        <v>263000</v>
      </c>
      <c r="U77" s="121" t="n">
        <f aca="false">+T77</f>
        <v>263000</v>
      </c>
      <c r="V77" s="121" t="n">
        <f aca="false">+U77</f>
        <v>263000</v>
      </c>
      <c r="W77" s="121" t="n">
        <f aca="false">+V77</f>
        <v>263000</v>
      </c>
      <c r="X77" s="121" t="n">
        <f aca="false">+W77</f>
        <v>263000</v>
      </c>
      <c r="Y77" s="121" t="n">
        <f aca="false">+X77</f>
        <v>263000</v>
      </c>
      <c r="Z77" s="121" t="n">
        <f aca="false">+Y77</f>
        <v>263000</v>
      </c>
      <c r="AA77" s="121" t="n">
        <f aca="false">+Z77</f>
        <v>263000</v>
      </c>
      <c r="AB77" s="121" t="n">
        <f aca="false">+AA77</f>
        <v>263000</v>
      </c>
      <c r="AC77" s="121" t="n">
        <f aca="false">+AB77</f>
        <v>263000</v>
      </c>
    </row>
    <row r="78" customFormat="false" ht="12.75" hidden="false" customHeight="false" outlineLevel="0" collapsed="false">
      <c r="A78" s="110" t="s">
        <v>70</v>
      </c>
      <c r="B78" s="111"/>
      <c r="C78" s="111"/>
      <c r="D78" s="111"/>
      <c r="E78" s="111"/>
      <c r="F78" s="111"/>
      <c r="G78" s="110" t="n">
        <f aca="false">+G77*G76*G75</f>
        <v>36735840</v>
      </c>
      <c r="H78" s="110" t="n">
        <f aca="false">+H77*H76*H75</f>
        <v>37619520</v>
      </c>
      <c r="I78" s="110" t="n">
        <f aca="false">+I77*I76*I75</f>
        <v>33548280</v>
      </c>
      <c r="J78" s="110" t="n">
        <f aca="false">+J77*J76*J75</f>
        <v>37146120</v>
      </c>
      <c r="K78" s="110" t="n">
        <f aca="false">+K77*K76*K75</f>
        <v>35031600</v>
      </c>
      <c r="L78" s="110" t="n">
        <f aca="false">+L77*L76*L75</f>
        <v>28624920</v>
      </c>
      <c r="M78" s="110" t="n">
        <f aca="false">+M77*M76*M75</f>
        <v>40933320</v>
      </c>
      <c r="N78" s="110" t="n">
        <f aca="false">+N77*N76*N75</f>
        <v>42574440</v>
      </c>
      <c r="O78" s="110" t="n">
        <f aca="false">+O77*O76*O75</f>
        <v>36199320</v>
      </c>
      <c r="P78" s="110" t="n">
        <f aca="false">+P77*P76*P75</f>
        <v>40964880</v>
      </c>
      <c r="Q78" s="110" t="n">
        <f aca="false">+Q77*Q76*Q75</f>
        <v>45414840</v>
      </c>
      <c r="R78" s="110" t="n">
        <f aca="false">+R77*R76*R75</f>
        <v>24238080</v>
      </c>
      <c r="S78" s="110" t="n">
        <f aca="false">+S77*S76*S75</f>
        <v>48413040</v>
      </c>
      <c r="T78" s="110" t="n">
        <f aca="false">+T77*T76*T75</f>
        <v>49770120</v>
      </c>
      <c r="U78" s="110" t="n">
        <f aca="false">+U77*U76*U75</f>
        <v>42542880</v>
      </c>
      <c r="V78" s="110" t="n">
        <f aca="false">+V77*V76*V75</f>
        <v>53367960</v>
      </c>
      <c r="W78" s="110" t="n">
        <f aca="false">+W77*W76*W75</f>
        <v>54409440</v>
      </c>
      <c r="X78" s="110" t="n">
        <f aca="false">+X77*X76*X75</f>
        <v>39450000</v>
      </c>
      <c r="Y78" s="110" t="n">
        <f aca="false">+Y77*Y76*Y75</f>
        <v>54567240</v>
      </c>
      <c r="Z78" s="110" t="n">
        <f aca="false">+Z77*Z76*Z75</f>
        <v>54251640</v>
      </c>
      <c r="AA78" s="110" t="n">
        <f aca="false">+AA77*AA76*AA75</f>
        <v>39891840</v>
      </c>
      <c r="AB78" s="110" t="n">
        <f aca="false">+AB77*AB76*AB75</f>
        <v>57060480</v>
      </c>
      <c r="AC78" s="110" t="n">
        <f aca="false">+AC77*AC76*AC75</f>
        <v>47971200</v>
      </c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1"/>
      <c r="AY78" s="111"/>
      <c r="AZ78" s="111"/>
    </row>
    <row r="79" customFormat="false" ht="12.75" hidden="false" customHeight="false" outlineLevel="0" collapsed="false">
      <c r="A79" s="110" t="s">
        <v>71</v>
      </c>
      <c r="B79" s="111"/>
      <c r="C79" s="111"/>
      <c r="D79" s="111"/>
      <c r="E79" s="111"/>
      <c r="F79" s="111"/>
      <c r="G79" s="110" t="n">
        <f aca="false">+G78/G76</f>
        <v>3061320</v>
      </c>
      <c r="H79" s="110" t="n">
        <f aca="false">+H78/H76</f>
        <v>3134960</v>
      </c>
      <c r="I79" s="110" t="n">
        <f aca="false">+I78/I76</f>
        <v>2795690</v>
      </c>
      <c r="J79" s="110" t="n">
        <f aca="false">+J78/J76</f>
        <v>3095510</v>
      </c>
      <c r="K79" s="110" t="n">
        <f aca="false">+K78/K76</f>
        <v>2919300</v>
      </c>
      <c r="L79" s="110" t="n">
        <f aca="false">+L78/L76</f>
        <v>2385410</v>
      </c>
      <c r="M79" s="110" t="n">
        <f aca="false">+M78/M76</f>
        <v>3411110</v>
      </c>
      <c r="N79" s="110" t="n">
        <f aca="false">+N78/N76</f>
        <v>3547870</v>
      </c>
      <c r="O79" s="110" t="n">
        <f aca="false">+O78/O76</f>
        <v>3016610</v>
      </c>
      <c r="P79" s="110" t="n">
        <f aca="false">+P78/P76</f>
        <v>3413740</v>
      </c>
      <c r="Q79" s="110" t="n">
        <f aca="false">+Q78/Q76</f>
        <v>3784570</v>
      </c>
      <c r="R79" s="110" t="n">
        <f aca="false">+R78/R76</f>
        <v>2019840</v>
      </c>
      <c r="S79" s="110" t="n">
        <f aca="false">+S78/S76</f>
        <v>4034420</v>
      </c>
      <c r="T79" s="110" t="n">
        <f aca="false">+T78/T76</f>
        <v>4147510</v>
      </c>
      <c r="U79" s="110" t="n">
        <f aca="false">+U78/U76</f>
        <v>3545240</v>
      </c>
      <c r="V79" s="110" t="n">
        <f aca="false">+V78/V76</f>
        <v>4447330</v>
      </c>
      <c r="W79" s="110" t="n">
        <f aca="false">+W78/W76</f>
        <v>4534120</v>
      </c>
      <c r="X79" s="110" t="n">
        <f aca="false">+X78/X76</f>
        <v>3287500</v>
      </c>
      <c r="Y79" s="110" t="n">
        <f aca="false">+Y78/Y76</f>
        <v>4547270</v>
      </c>
      <c r="Z79" s="110" t="n">
        <f aca="false">+Z78/Z76</f>
        <v>4520970</v>
      </c>
      <c r="AA79" s="110" t="n">
        <f aca="false">+AA78/AA76</f>
        <v>3324320</v>
      </c>
      <c r="AB79" s="110" t="n">
        <f aca="false">+AB78/AB76</f>
        <v>4755040</v>
      </c>
      <c r="AC79" s="110" t="n">
        <f aca="false">+AC78/AC76</f>
        <v>3997600</v>
      </c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</row>
    <row r="80" customFormat="false" ht="13.5" hidden="false" customHeight="false" outlineLevel="0" collapsed="false">
      <c r="A80" s="98"/>
    </row>
    <row r="81" customFormat="false" ht="13.5" hidden="false" customHeight="false" outlineLevel="0" collapsed="false">
      <c r="A81" s="122" t="str">
        <f aca="false">CONCATENATE("XNPV",ROUND($F$9*100,2)," at 12/31/00")</f>
        <v>XNPV5 at 12/31/00</v>
      </c>
      <c r="B81" s="123" t="n">
        <f aca="false">+XNPV(F9,'Damage Calculations'!F137:F364,'Damage Calculations'!B137:B364)</f>
        <v>527428366.870424</v>
      </c>
    </row>
    <row r="84" customFormat="false" ht="13.5" hidden="false" customHeight="false" outlineLevel="0" collapsed="false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</row>
    <row r="85" customFormat="false" ht="13.5" hidden="false" customHeight="false" outlineLevel="0" collapsed="false">
      <c r="A85" s="126" t="s">
        <v>76</v>
      </c>
      <c r="B85" s="127"/>
      <c r="C85" s="127"/>
      <c r="D85" s="127"/>
      <c r="E85" s="127"/>
      <c r="F85" s="127" t="s">
        <v>63</v>
      </c>
      <c r="G85" s="128" t="n">
        <v>0</v>
      </c>
      <c r="H85" s="128" t="n">
        <v>0</v>
      </c>
      <c r="I85" s="128" t="n">
        <v>0</v>
      </c>
      <c r="J85" s="128" t="n">
        <v>-1.08</v>
      </c>
      <c r="K85" s="128" t="n">
        <v>-1.13</v>
      </c>
      <c r="L85" s="128" t="n">
        <v>-1.19</v>
      </c>
      <c r="M85" s="128" t="n">
        <v>-1.25</v>
      </c>
      <c r="N85" s="128" t="n">
        <v>-1.31</v>
      </c>
      <c r="O85" s="128" t="n">
        <v>-1.38</v>
      </c>
      <c r="P85" s="128" t="n">
        <v>-1.45</v>
      </c>
      <c r="Q85" s="128" t="n">
        <v>0</v>
      </c>
      <c r="R85" s="128" t="n">
        <v>0</v>
      </c>
      <c r="S85" s="128" t="n">
        <v>0</v>
      </c>
      <c r="T85" s="128" t="n">
        <v>0</v>
      </c>
      <c r="U85" s="128" t="n">
        <v>0</v>
      </c>
      <c r="V85" s="128" t="n">
        <v>0</v>
      </c>
      <c r="W85" s="128" t="n">
        <v>0</v>
      </c>
      <c r="X85" s="128" t="n">
        <v>0</v>
      </c>
      <c r="Y85" s="128" t="n">
        <v>0</v>
      </c>
      <c r="Z85" s="128" t="n">
        <v>0</v>
      </c>
      <c r="AA85" s="128" t="n">
        <v>0</v>
      </c>
      <c r="AB85" s="128" t="n">
        <v>0</v>
      </c>
      <c r="AC85" s="129" t="n">
        <v>0</v>
      </c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</row>
    <row r="87" customFormat="false" ht="13.5" hidden="false" customHeight="false" outlineLevel="0" collapsed="false"/>
    <row r="88" customFormat="false" ht="15" hidden="false" customHeight="false" outlineLevel="0" collapsed="false">
      <c r="A88" s="130" t="s">
        <v>77</v>
      </c>
      <c r="B88" s="131" t="s">
        <v>78</v>
      </c>
      <c r="C88" s="131" t="s">
        <v>41</v>
      </c>
      <c r="D88" s="131" t="s">
        <v>50</v>
      </c>
      <c r="E88" s="131" t="s">
        <v>54</v>
      </c>
      <c r="F88" s="132" t="s">
        <v>58</v>
      </c>
    </row>
    <row r="89" customFormat="false" ht="12.75" hidden="false" customHeight="false" outlineLevel="0" collapsed="false">
      <c r="A89" s="133"/>
      <c r="B89" s="134" t="n">
        <v>35461</v>
      </c>
      <c r="C89" s="135" t="n">
        <f aca="false">+'Damage Calculations'!$G$39</f>
        <v>3061320</v>
      </c>
      <c r="D89" s="135" t="n">
        <f aca="false">+'Damage Calculations'!$G$53</f>
        <v>3375888.08564926</v>
      </c>
      <c r="E89" s="135" t="n">
        <f aca="false">+'Damage Calculations'!$G$66</f>
        <v>3274387.8485</v>
      </c>
      <c r="F89" s="136" t="n">
        <f aca="false">+'Damage Calculations'!$G$79</f>
        <v>3061320</v>
      </c>
    </row>
    <row r="90" customFormat="false" ht="12.75" hidden="false" customHeight="false" outlineLevel="0" collapsed="false">
      <c r="A90" s="133"/>
      <c r="B90" s="134" t="n">
        <v>35489</v>
      </c>
      <c r="C90" s="135" t="n">
        <f aca="false">+'Damage Calculations'!$G$39</f>
        <v>3061320</v>
      </c>
      <c r="D90" s="135" t="n">
        <f aca="false">+'Damage Calculations'!$G$53</f>
        <v>3375888.08564926</v>
      </c>
      <c r="E90" s="135" t="n">
        <f aca="false">+'Damage Calculations'!$G$66</f>
        <v>3274387.8485</v>
      </c>
      <c r="F90" s="136" t="n">
        <f aca="false">+'Damage Calculations'!$G$79</f>
        <v>3061320</v>
      </c>
    </row>
    <row r="91" customFormat="false" ht="12.75" hidden="false" customHeight="false" outlineLevel="0" collapsed="false">
      <c r="A91" s="133"/>
      <c r="B91" s="134" t="n">
        <v>35520</v>
      </c>
      <c r="C91" s="135" t="n">
        <f aca="false">+'Damage Calculations'!$G$39</f>
        <v>3061320</v>
      </c>
      <c r="D91" s="135" t="n">
        <f aca="false">+'Damage Calculations'!$G$53</f>
        <v>3375888.08564926</v>
      </c>
      <c r="E91" s="135" t="n">
        <f aca="false">+'Damage Calculations'!$G$66</f>
        <v>3274387.8485</v>
      </c>
      <c r="F91" s="136" t="n">
        <f aca="false">+'Damage Calculations'!$G$79</f>
        <v>3061320</v>
      </c>
    </row>
    <row r="92" customFormat="false" ht="12.75" hidden="false" customHeight="false" outlineLevel="0" collapsed="false">
      <c r="A92" s="133"/>
      <c r="B92" s="134" t="n">
        <v>35550</v>
      </c>
      <c r="C92" s="135" t="n">
        <f aca="false">+'Damage Calculations'!$G$39</f>
        <v>3061320</v>
      </c>
      <c r="D92" s="135" t="n">
        <f aca="false">+'Damage Calculations'!$G$53</f>
        <v>3375888.08564926</v>
      </c>
      <c r="E92" s="135" t="n">
        <f aca="false">+'Damage Calculations'!$G$66</f>
        <v>3274387.8485</v>
      </c>
      <c r="F92" s="136" t="n">
        <f aca="false">+'Damage Calculations'!$G$79</f>
        <v>3061320</v>
      </c>
    </row>
    <row r="93" customFormat="false" ht="12.75" hidden="false" customHeight="false" outlineLevel="0" collapsed="false">
      <c r="A93" s="133"/>
      <c r="B93" s="134" t="n">
        <v>35581</v>
      </c>
      <c r="C93" s="135" t="n">
        <f aca="false">+'Damage Calculations'!$G$39</f>
        <v>3061320</v>
      </c>
      <c r="D93" s="135" t="n">
        <f aca="false">+'Damage Calculations'!$G$53</f>
        <v>3375888.08564926</v>
      </c>
      <c r="E93" s="135" t="n">
        <f aca="false">+'Damage Calculations'!$G$66</f>
        <v>3274387.8485</v>
      </c>
      <c r="F93" s="136" t="n">
        <f aca="false">+'Damage Calculations'!$G$79</f>
        <v>3061320</v>
      </c>
    </row>
    <row r="94" customFormat="false" ht="12.75" hidden="false" customHeight="false" outlineLevel="0" collapsed="false">
      <c r="A94" s="133"/>
      <c r="B94" s="134" t="n">
        <v>35611</v>
      </c>
      <c r="C94" s="135" t="n">
        <f aca="false">+'Damage Calculations'!$G$39</f>
        <v>3061320</v>
      </c>
      <c r="D94" s="135" t="n">
        <f aca="false">+'Damage Calculations'!$G$53</f>
        <v>3375888.08564926</v>
      </c>
      <c r="E94" s="135" t="n">
        <f aca="false">+'Damage Calculations'!$G$66</f>
        <v>3274387.8485</v>
      </c>
      <c r="F94" s="136" t="n">
        <f aca="false">+'Damage Calculations'!$G$79</f>
        <v>3061320</v>
      </c>
    </row>
    <row r="95" customFormat="false" ht="12.75" hidden="false" customHeight="false" outlineLevel="0" collapsed="false">
      <c r="A95" s="133"/>
      <c r="B95" s="134" t="n">
        <v>35642</v>
      </c>
      <c r="C95" s="135" t="n">
        <f aca="false">+'Damage Calculations'!$G$39</f>
        <v>3061320</v>
      </c>
      <c r="D95" s="135" t="n">
        <f aca="false">+'Damage Calculations'!$G$53</f>
        <v>3375888.08564926</v>
      </c>
      <c r="E95" s="135" t="n">
        <f aca="false">+'Damage Calculations'!$G$66</f>
        <v>3274387.8485</v>
      </c>
      <c r="F95" s="136" t="n">
        <f aca="false">+'Damage Calculations'!$G$79</f>
        <v>3061320</v>
      </c>
    </row>
    <row r="96" customFormat="false" ht="12.75" hidden="false" customHeight="false" outlineLevel="0" collapsed="false">
      <c r="A96" s="133"/>
      <c r="B96" s="134" t="n">
        <v>35673</v>
      </c>
      <c r="C96" s="135" t="n">
        <f aca="false">+'Damage Calculations'!$G$39</f>
        <v>3061320</v>
      </c>
      <c r="D96" s="135" t="n">
        <f aca="false">+'Damage Calculations'!$G$53</f>
        <v>3375888.08564926</v>
      </c>
      <c r="E96" s="135" t="n">
        <f aca="false">+'Damage Calculations'!$G$66</f>
        <v>3274387.8485</v>
      </c>
      <c r="F96" s="136" t="n">
        <f aca="false">+'Damage Calculations'!$G$79</f>
        <v>3061320</v>
      </c>
    </row>
    <row r="97" customFormat="false" ht="12.75" hidden="false" customHeight="false" outlineLevel="0" collapsed="false">
      <c r="A97" s="133"/>
      <c r="B97" s="134" t="n">
        <v>35703</v>
      </c>
      <c r="C97" s="135" t="n">
        <f aca="false">+'Damage Calculations'!$G$39</f>
        <v>3061320</v>
      </c>
      <c r="D97" s="135" t="n">
        <f aca="false">+'Damage Calculations'!$G$53</f>
        <v>3375888.08564926</v>
      </c>
      <c r="E97" s="135" t="n">
        <f aca="false">+'Damage Calculations'!$G$66</f>
        <v>3274387.8485</v>
      </c>
      <c r="F97" s="136" t="n">
        <f aca="false">+'Damage Calculations'!$G$79</f>
        <v>3061320</v>
      </c>
    </row>
    <row r="98" customFormat="false" ht="12.75" hidden="false" customHeight="false" outlineLevel="0" collapsed="false">
      <c r="A98" s="133"/>
      <c r="B98" s="134" t="n">
        <v>35734</v>
      </c>
      <c r="C98" s="135" t="n">
        <f aca="false">+'Damage Calculations'!$G$39</f>
        <v>3061320</v>
      </c>
      <c r="D98" s="135" t="n">
        <f aca="false">+'Damage Calculations'!$G$53</f>
        <v>3375888.08564926</v>
      </c>
      <c r="E98" s="135" t="n">
        <f aca="false">+'Damage Calculations'!$G$66</f>
        <v>3274387.8485</v>
      </c>
      <c r="F98" s="136" t="n">
        <f aca="false">+'Damage Calculations'!$G$79</f>
        <v>3061320</v>
      </c>
    </row>
    <row r="99" customFormat="false" ht="12.75" hidden="false" customHeight="false" outlineLevel="0" collapsed="false">
      <c r="A99" s="133"/>
      <c r="B99" s="134" t="n">
        <v>35764</v>
      </c>
      <c r="C99" s="135" t="n">
        <f aca="false">+'Damage Calculations'!$G$39</f>
        <v>3061320</v>
      </c>
      <c r="D99" s="135" t="n">
        <f aca="false">+'Damage Calculations'!$G$53</f>
        <v>3375888.08564926</v>
      </c>
      <c r="E99" s="135" t="n">
        <f aca="false">+'Damage Calculations'!$G$66</f>
        <v>3274387.8485</v>
      </c>
      <c r="F99" s="136" t="n">
        <f aca="false">+'Damage Calculations'!$G$79</f>
        <v>3061320</v>
      </c>
    </row>
    <row r="100" customFormat="false" ht="12.75" hidden="false" customHeight="false" outlineLevel="0" collapsed="false">
      <c r="A100" s="133"/>
      <c r="B100" s="134" t="n">
        <v>35795</v>
      </c>
      <c r="C100" s="135" t="n">
        <f aca="false">+'Damage Calculations'!$G$39</f>
        <v>3061320</v>
      </c>
      <c r="D100" s="135" t="n">
        <f aca="false">+'Damage Calculations'!$G$53</f>
        <v>3375888.08564926</v>
      </c>
      <c r="E100" s="135" t="n">
        <f aca="false">+'Damage Calculations'!$G$66</f>
        <v>3274387.8485</v>
      </c>
      <c r="F100" s="136" t="n">
        <f aca="false">+'Damage Calculations'!$G$79</f>
        <v>3061320</v>
      </c>
    </row>
    <row r="101" customFormat="false" ht="12.75" hidden="false" customHeight="false" outlineLevel="0" collapsed="false">
      <c r="A101" s="133"/>
      <c r="B101" s="134" t="n">
        <v>35826</v>
      </c>
      <c r="C101" s="135" t="n">
        <f aca="false">+'Damage Calculations'!$H$39</f>
        <v>3134960</v>
      </c>
      <c r="D101" s="135" t="n">
        <f aca="false">+'Damage Calculations'!$H$53</f>
        <v>3447513.28693606</v>
      </c>
      <c r="E101" s="135" t="n">
        <f aca="false">+'Damage Calculations'!$H$66</f>
        <v>3346744.02635417</v>
      </c>
      <c r="F101" s="136" t="n">
        <f aca="false">+'Damage Calculations'!$H$79</f>
        <v>3134960</v>
      </c>
    </row>
    <row r="102" customFormat="false" ht="12.75" hidden="false" customHeight="false" outlineLevel="0" collapsed="false">
      <c r="A102" s="133"/>
      <c r="B102" s="134" t="n">
        <v>35854</v>
      </c>
      <c r="C102" s="135" t="n">
        <f aca="false">+'Damage Calculations'!$H$39</f>
        <v>3134960</v>
      </c>
      <c r="D102" s="135" t="n">
        <f aca="false">+'Damage Calculations'!$H$53</f>
        <v>3447513.28693606</v>
      </c>
      <c r="E102" s="135" t="n">
        <f aca="false">+'Damage Calculations'!$H$66</f>
        <v>3346744.02635417</v>
      </c>
      <c r="F102" s="136" t="n">
        <f aca="false">+'Damage Calculations'!$H$79</f>
        <v>3134960</v>
      </c>
    </row>
    <row r="103" customFormat="false" ht="12.75" hidden="false" customHeight="false" outlineLevel="0" collapsed="false">
      <c r="A103" s="133"/>
      <c r="B103" s="134" t="n">
        <v>35885</v>
      </c>
      <c r="C103" s="135" t="n">
        <f aca="false">+'Damage Calculations'!$H$39</f>
        <v>3134960</v>
      </c>
      <c r="D103" s="135" t="n">
        <f aca="false">+'Damage Calculations'!$H$53</f>
        <v>3447513.28693606</v>
      </c>
      <c r="E103" s="135" t="n">
        <f aca="false">+'Damage Calculations'!$H$66</f>
        <v>3346744.02635417</v>
      </c>
      <c r="F103" s="136" t="n">
        <f aca="false">+'Damage Calculations'!$H$79</f>
        <v>3134960</v>
      </c>
    </row>
    <row r="104" customFormat="false" ht="12.75" hidden="false" customHeight="false" outlineLevel="0" collapsed="false">
      <c r="A104" s="133"/>
      <c r="B104" s="134" t="n">
        <v>35915</v>
      </c>
      <c r="C104" s="135" t="n">
        <f aca="false">+'Damage Calculations'!$H$39</f>
        <v>3134960</v>
      </c>
      <c r="D104" s="135" t="n">
        <f aca="false">+'Damage Calculations'!$H$53</f>
        <v>3447513.28693606</v>
      </c>
      <c r="E104" s="135" t="n">
        <f aca="false">+'Damage Calculations'!$H$66</f>
        <v>3346744.02635417</v>
      </c>
      <c r="F104" s="136" t="n">
        <f aca="false">+'Damage Calculations'!$H$79</f>
        <v>3134960</v>
      </c>
    </row>
    <row r="105" customFormat="false" ht="12.75" hidden="false" customHeight="false" outlineLevel="0" collapsed="false">
      <c r="A105" s="133"/>
      <c r="B105" s="134" t="n">
        <v>35946</v>
      </c>
      <c r="C105" s="135" t="n">
        <f aca="false">+'Damage Calculations'!$H$39</f>
        <v>3134960</v>
      </c>
      <c r="D105" s="135" t="n">
        <f aca="false">+'Damage Calculations'!$H$53</f>
        <v>3447513.28693606</v>
      </c>
      <c r="E105" s="135" t="n">
        <f aca="false">+'Damage Calculations'!$H$66</f>
        <v>3346744.02635417</v>
      </c>
      <c r="F105" s="136" t="n">
        <f aca="false">+'Damage Calculations'!$H$79</f>
        <v>3134960</v>
      </c>
    </row>
    <row r="106" customFormat="false" ht="12.75" hidden="false" customHeight="false" outlineLevel="0" collapsed="false">
      <c r="A106" s="133"/>
      <c r="B106" s="134" t="n">
        <v>35976</v>
      </c>
      <c r="C106" s="135" t="n">
        <f aca="false">+'Damage Calculations'!$H$39</f>
        <v>3134960</v>
      </c>
      <c r="D106" s="135" t="n">
        <f aca="false">+'Damage Calculations'!$H$53</f>
        <v>3447513.28693606</v>
      </c>
      <c r="E106" s="135" t="n">
        <f aca="false">+'Damage Calculations'!$H$66</f>
        <v>3346744.02635417</v>
      </c>
      <c r="F106" s="136" t="n">
        <f aca="false">+'Damage Calculations'!$H$79</f>
        <v>3134960</v>
      </c>
    </row>
    <row r="107" customFormat="false" ht="12.75" hidden="false" customHeight="false" outlineLevel="0" collapsed="false">
      <c r="A107" s="133"/>
      <c r="B107" s="134" t="n">
        <v>36007</v>
      </c>
      <c r="C107" s="135" t="n">
        <f aca="false">+'Damage Calculations'!$H$39</f>
        <v>3134960</v>
      </c>
      <c r="D107" s="135" t="n">
        <f aca="false">+'Damage Calculations'!$H$53</f>
        <v>3447513.28693606</v>
      </c>
      <c r="E107" s="135" t="n">
        <f aca="false">+'Damage Calculations'!$H$66</f>
        <v>3346744.02635417</v>
      </c>
      <c r="F107" s="136" t="n">
        <f aca="false">+'Damage Calculations'!$H$79</f>
        <v>3134960</v>
      </c>
    </row>
    <row r="108" customFormat="false" ht="12.75" hidden="false" customHeight="false" outlineLevel="0" collapsed="false">
      <c r="A108" s="133"/>
      <c r="B108" s="134" t="n">
        <v>36038</v>
      </c>
      <c r="C108" s="135" t="n">
        <f aca="false">+'Damage Calculations'!$H$39</f>
        <v>3134960</v>
      </c>
      <c r="D108" s="135" t="n">
        <f aca="false">+'Damage Calculations'!$H$53</f>
        <v>3447513.28693606</v>
      </c>
      <c r="E108" s="135" t="n">
        <f aca="false">+'Damage Calculations'!$H$66</f>
        <v>3346744.02635417</v>
      </c>
      <c r="F108" s="136" t="n">
        <f aca="false">+'Damage Calculations'!$H$79</f>
        <v>3134960</v>
      </c>
    </row>
    <row r="109" customFormat="false" ht="12.75" hidden="false" customHeight="false" outlineLevel="0" collapsed="false">
      <c r="A109" s="133"/>
      <c r="B109" s="134" t="n">
        <v>36068</v>
      </c>
      <c r="C109" s="135" t="n">
        <f aca="false">+'Damage Calculations'!$H$39</f>
        <v>3134960</v>
      </c>
      <c r="D109" s="135" t="n">
        <f aca="false">+'Damage Calculations'!$H$53</f>
        <v>3447513.28693606</v>
      </c>
      <c r="E109" s="135" t="n">
        <f aca="false">+'Damage Calculations'!$H$66</f>
        <v>3346744.02635417</v>
      </c>
      <c r="F109" s="136" t="n">
        <f aca="false">+'Damage Calculations'!$H$79</f>
        <v>3134960</v>
      </c>
    </row>
    <row r="110" customFormat="false" ht="12.75" hidden="false" customHeight="false" outlineLevel="0" collapsed="false">
      <c r="A110" s="133"/>
      <c r="B110" s="134" t="n">
        <v>36099</v>
      </c>
      <c r="C110" s="135" t="n">
        <f aca="false">+'Damage Calculations'!$H$39</f>
        <v>3134960</v>
      </c>
      <c r="D110" s="135" t="n">
        <f aca="false">+'Damage Calculations'!$H$53</f>
        <v>3447513.28693606</v>
      </c>
      <c r="E110" s="135" t="n">
        <f aca="false">+'Damage Calculations'!$H$66</f>
        <v>3346744.02635417</v>
      </c>
      <c r="F110" s="136" t="n">
        <f aca="false">+'Damage Calculations'!$H$79</f>
        <v>3134960</v>
      </c>
    </row>
    <row r="111" customFormat="false" ht="12.75" hidden="false" customHeight="false" outlineLevel="0" collapsed="false">
      <c r="A111" s="133"/>
      <c r="B111" s="134" t="n">
        <v>36129</v>
      </c>
      <c r="C111" s="135" t="n">
        <f aca="false">+'Damage Calculations'!$H$39</f>
        <v>3134960</v>
      </c>
      <c r="D111" s="135" t="n">
        <f aca="false">+'Damage Calculations'!$H$53</f>
        <v>3447513.28693606</v>
      </c>
      <c r="E111" s="135" t="n">
        <f aca="false">+'Damage Calculations'!$H$66</f>
        <v>3346744.02635417</v>
      </c>
      <c r="F111" s="136" t="n">
        <f aca="false">+'Damage Calculations'!$H$79</f>
        <v>3134960</v>
      </c>
    </row>
    <row r="112" customFormat="false" ht="12.75" hidden="false" customHeight="false" outlineLevel="0" collapsed="false">
      <c r="A112" s="133"/>
      <c r="B112" s="134" t="n">
        <v>36160</v>
      </c>
      <c r="C112" s="135" t="n">
        <f aca="false">+'Damage Calculations'!$H$39</f>
        <v>3134960</v>
      </c>
      <c r="D112" s="135" t="n">
        <f aca="false">+'Damage Calculations'!$H$53</f>
        <v>3447513.28693606</v>
      </c>
      <c r="E112" s="135" t="n">
        <f aca="false">+'Damage Calculations'!$H$66</f>
        <v>3346744.02635417</v>
      </c>
      <c r="F112" s="136" t="n">
        <f aca="false">+'Damage Calculations'!$H$79</f>
        <v>3134960</v>
      </c>
    </row>
    <row r="113" customFormat="false" ht="12.75" hidden="false" customHeight="false" outlineLevel="0" collapsed="false">
      <c r="A113" s="133"/>
      <c r="B113" s="134" t="n">
        <v>36191</v>
      </c>
      <c r="C113" s="135" t="n">
        <f aca="false">+'Damage Calculations'!$I$39</f>
        <v>2795690</v>
      </c>
      <c r="D113" s="135" t="n">
        <f aca="false">+'Damage Calculations'!$I$53</f>
        <v>3105671.76349868</v>
      </c>
      <c r="E113" s="135" t="n">
        <f aca="false">+'Damage Calculations'!$I$66</f>
        <v>3005835.4613125</v>
      </c>
      <c r="F113" s="136" t="n">
        <f aca="false">+'Damage Calculations'!$I$79</f>
        <v>2795690</v>
      </c>
    </row>
    <row r="114" customFormat="false" ht="12.75" hidden="false" customHeight="false" outlineLevel="0" collapsed="false">
      <c r="A114" s="133"/>
      <c r="B114" s="134" t="n">
        <v>36219</v>
      </c>
      <c r="C114" s="135" t="n">
        <f aca="false">+'Damage Calculations'!$I$39</f>
        <v>2795690</v>
      </c>
      <c r="D114" s="135" t="n">
        <f aca="false">+'Damage Calculations'!$I$53</f>
        <v>3105671.76349868</v>
      </c>
      <c r="E114" s="135" t="n">
        <f aca="false">+'Damage Calculations'!$I$66</f>
        <v>3005835.4613125</v>
      </c>
      <c r="F114" s="136" t="n">
        <f aca="false">+'Damage Calculations'!$I$79</f>
        <v>2795690</v>
      </c>
    </row>
    <row r="115" customFormat="false" ht="12.75" hidden="false" customHeight="false" outlineLevel="0" collapsed="false">
      <c r="A115" s="133"/>
      <c r="B115" s="134" t="n">
        <v>36250</v>
      </c>
      <c r="C115" s="135" t="n">
        <f aca="false">+'Damage Calculations'!$I$39</f>
        <v>2795690</v>
      </c>
      <c r="D115" s="135" t="n">
        <f aca="false">+'Damage Calculations'!$I$53</f>
        <v>3105671.76349868</v>
      </c>
      <c r="E115" s="135" t="n">
        <f aca="false">+'Damage Calculations'!$I$66</f>
        <v>3005835.4613125</v>
      </c>
      <c r="F115" s="136" t="n">
        <f aca="false">+'Damage Calculations'!$I$79</f>
        <v>2795690</v>
      </c>
    </row>
    <row r="116" customFormat="false" ht="12.75" hidden="false" customHeight="false" outlineLevel="0" collapsed="false">
      <c r="A116" s="133"/>
      <c r="B116" s="134" t="n">
        <v>36280</v>
      </c>
      <c r="C116" s="135" t="n">
        <f aca="false">+'Damage Calculations'!$I$39</f>
        <v>2795690</v>
      </c>
      <c r="D116" s="135" t="n">
        <f aca="false">+'Damage Calculations'!$I$53</f>
        <v>3105671.76349868</v>
      </c>
      <c r="E116" s="135" t="n">
        <f aca="false">+'Damage Calculations'!$I$66</f>
        <v>3005835.4613125</v>
      </c>
      <c r="F116" s="136" t="n">
        <f aca="false">+'Damage Calculations'!$I$79</f>
        <v>2795690</v>
      </c>
    </row>
    <row r="117" customFormat="false" ht="12.75" hidden="false" customHeight="false" outlineLevel="0" collapsed="false">
      <c r="A117" s="133"/>
      <c r="B117" s="134" t="n">
        <v>36311</v>
      </c>
      <c r="C117" s="135" t="n">
        <f aca="false">+'Damage Calculations'!$I$39</f>
        <v>2795690</v>
      </c>
      <c r="D117" s="135" t="n">
        <f aca="false">+'Damage Calculations'!$I$53</f>
        <v>3105671.76349868</v>
      </c>
      <c r="E117" s="135" t="n">
        <f aca="false">+'Damage Calculations'!$I$66</f>
        <v>3005835.4613125</v>
      </c>
      <c r="F117" s="136" t="n">
        <f aca="false">+'Damage Calculations'!$I$79</f>
        <v>2795690</v>
      </c>
    </row>
    <row r="118" customFormat="false" ht="12.75" hidden="false" customHeight="false" outlineLevel="0" collapsed="false">
      <c r="A118" s="133"/>
      <c r="B118" s="134" t="n">
        <v>36341</v>
      </c>
      <c r="C118" s="135" t="n">
        <f aca="false">+'Damage Calculations'!$I$39</f>
        <v>2795690</v>
      </c>
      <c r="D118" s="135" t="n">
        <f aca="false">+'Damage Calculations'!$I$53</f>
        <v>3105671.76349868</v>
      </c>
      <c r="E118" s="135" t="n">
        <f aca="false">+'Damage Calculations'!$I$66</f>
        <v>3005835.4613125</v>
      </c>
      <c r="F118" s="136" t="n">
        <f aca="false">+'Damage Calculations'!$I$79</f>
        <v>2795690</v>
      </c>
    </row>
    <row r="119" customFormat="false" ht="12.75" hidden="false" customHeight="false" outlineLevel="0" collapsed="false">
      <c r="A119" s="133"/>
      <c r="B119" s="134" t="n">
        <v>36372</v>
      </c>
      <c r="C119" s="135" t="n">
        <f aca="false">+'Damage Calculations'!$I$39</f>
        <v>2795690</v>
      </c>
      <c r="D119" s="135" t="n">
        <f aca="false">+'Damage Calculations'!$I$53</f>
        <v>3105671.76349868</v>
      </c>
      <c r="E119" s="135" t="n">
        <f aca="false">+'Damage Calculations'!$I$66</f>
        <v>3005835.4613125</v>
      </c>
      <c r="F119" s="136" t="n">
        <f aca="false">+'Damage Calculations'!$I$79</f>
        <v>2795690</v>
      </c>
    </row>
    <row r="120" customFormat="false" ht="12.75" hidden="false" customHeight="false" outlineLevel="0" collapsed="false">
      <c r="A120" s="133"/>
      <c r="B120" s="134" t="n">
        <v>36403</v>
      </c>
      <c r="C120" s="135" t="n">
        <f aca="false">+'Damage Calculations'!$I$39</f>
        <v>2795690</v>
      </c>
      <c r="D120" s="135" t="n">
        <f aca="false">+'Damage Calculations'!$I$53</f>
        <v>3105671.76349868</v>
      </c>
      <c r="E120" s="135" t="n">
        <f aca="false">+'Damage Calculations'!$I$66</f>
        <v>3005835.4613125</v>
      </c>
      <c r="F120" s="136" t="n">
        <f aca="false">+'Damage Calculations'!$I$79</f>
        <v>2795690</v>
      </c>
    </row>
    <row r="121" customFormat="false" ht="12.75" hidden="false" customHeight="false" outlineLevel="0" collapsed="false">
      <c r="A121" s="133"/>
      <c r="B121" s="134" t="n">
        <v>36433</v>
      </c>
      <c r="C121" s="135" t="n">
        <f aca="false">+'Damage Calculations'!$I$39</f>
        <v>2795690</v>
      </c>
      <c r="D121" s="135" t="n">
        <f aca="false">+'Damage Calculations'!$I$53</f>
        <v>3105671.76349868</v>
      </c>
      <c r="E121" s="135" t="n">
        <f aca="false">+'Damage Calculations'!$I$66</f>
        <v>3005835.4613125</v>
      </c>
      <c r="F121" s="136" t="n">
        <f aca="false">+'Damage Calculations'!$I$79</f>
        <v>2795690</v>
      </c>
    </row>
    <row r="122" customFormat="false" ht="12.75" hidden="false" customHeight="false" outlineLevel="0" collapsed="false">
      <c r="A122" s="133"/>
      <c r="B122" s="134" t="n">
        <v>36464</v>
      </c>
      <c r="C122" s="135" t="n">
        <f aca="false">+'Damage Calculations'!$I$39</f>
        <v>2795690</v>
      </c>
      <c r="D122" s="135" t="n">
        <f aca="false">+'Damage Calculations'!$I$53</f>
        <v>3105671.76349868</v>
      </c>
      <c r="E122" s="135" t="n">
        <f aca="false">+'Damage Calculations'!$I$66</f>
        <v>3005835.4613125</v>
      </c>
      <c r="F122" s="136" t="n">
        <f aca="false">+'Damage Calculations'!$I$79</f>
        <v>2795690</v>
      </c>
    </row>
    <row r="123" customFormat="false" ht="12.75" hidden="false" customHeight="false" outlineLevel="0" collapsed="false">
      <c r="A123" s="133"/>
      <c r="B123" s="134" t="n">
        <v>36494</v>
      </c>
      <c r="C123" s="135" t="n">
        <f aca="false">+'Damage Calculations'!$I$39</f>
        <v>2795690</v>
      </c>
      <c r="D123" s="135" t="n">
        <f aca="false">+'Damage Calculations'!$I$53</f>
        <v>3105671.76349868</v>
      </c>
      <c r="E123" s="135" t="n">
        <f aca="false">+'Damage Calculations'!$I$66</f>
        <v>3005835.4613125</v>
      </c>
      <c r="F123" s="136" t="n">
        <f aca="false">+'Damage Calculations'!$I$79</f>
        <v>2795690</v>
      </c>
    </row>
    <row r="124" customFormat="false" ht="12.75" hidden="false" customHeight="false" outlineLevel="0" collapsed="false">
      <c r="A124" s="133"/>
      <c r="B124" s="134" t="n">
        <v>36525</v>
      </c>
      <c r="C124" s="135" t="n">
        <f aca="false">+'Damage Calculations'!$I$39</f>
        <v>2795690</v>
      </c>
      <c r="D124" s="135" t="n">
        <f aca="false">+'Damage Calculations'!$I$53</f>
        <v>3105671.76349868</v>
      </c>
      <c r="E124" s="135" t="n">
        <f aca="false">+'Damage Calculations'!$I$66</f>
        <v>3005835.4613125</v>
      </c>
      <c r="F124" s="136" t="n">
        <f aca="false">+'Damage Calculations'!$I$79</f>
        <v>2795690</v>
      </c>
    </row>
    <row r="125" customFormat="false" ht="12.75" hidden="false" customHeight="false" outlineLevel="0" collapsed="false">
      <c r="A125" s="133"/>
      <c r="B125" s="134" t="n">
        <v>36556</v>
      </c>
      <c r="C125" s="135" t="n">
        <f aca="false">+'Damage Calculations'!$J$39</f>
        <v>3379550</v>
      </c>
      <c r="D125" s="135" t="n">
        <f aca="false">+'Damage Calculations'!$J$53</f>
        <v>3402026.54231824</v>
      </c>
      <c r="E125" s="135" t="n">
        <f aca="false">+'Damage Calculations'!$J$66</f>
        <v>3303447.4354375</v>
      </c>
      <c r="F125" s="136" t="n">
        <f aca="false">+'Damage Calculations'!$J$79</f>
        <v>3095510</v>
      </c>
    </row>
    <row r="126" customFormat="false" ht="12.75" hidden="false" customHeight="false" outlineLevel="0" collapsed="false">
      <c r="A126" s="133"/>
      <c r="B126" s="134" t="n">
        <v>36585</v>
      </c>
      <c r="C126" s="135" t="n">
        <f aca="false">+'Damage Calculations'!$J$39</f>
        <v>3379550</v>
      </c>
      <c r="D126" s="135" t="n">
        <f aca="false">+'Damage Calculations'!$J$53</f>
        <v>3402026.54231824</v>
      </c>
      <c r="E126" s="135" t="n">
        <f aca="false">+'Damage Calculations'!$J$66</f>
        <v>3303447.4354375</v>
      </c>
      <c r="F126" s="136" t="n">
        <f aca="false">+'Damage Calculations'!$J$79</f>
        <v>3095510</v>
      </c>
    </row>
    <row r="127" customFormat="false" ht="12.75" hidden="false" customHeight="false" outlineLevel="0" collapsed="false">
      <c r="A127" s="133"/>
      <c r="B127" s="134" t="n">
        <v>36616</v>
      </c>
      <c r="C127" s="135" t="n">
        <f aca="false">+'Damage Calculations'!$J$39</f>
        <v>3379550</v>
      </c>
      <c r="D127" s="135" t="n">
        <f aca="false">+'Damage Calculations'!$J$53</f>
        <v>3402026.54231824</v>
      </c>
      <c r="E127" s="135" t="n">
        <f aca="false">+'Damage Calculations'!$J$66</f>
        <v>3303447.4354375</v>
      </c>
      <c r="F127" s="136" t="n">
        <f aca="false">+'Damage Calculations'!$J$79</f>
        <v>3095510</v>
      </c>
    </row>
    <row r="128" customFormat="false" ht="12.75" hidden="false" customHeight="false" outlineLevel="0" collapsed="false">
      <c r="A128" s="133"/>
      <c r="B128" s="134" t="n">
        <v>36646</v>
      </c>
      <c r="C128" s="135" t="n">
        <f aca="false">+'Damage Calculations'!$J$39</f>
        <v>3379550</v>
      </c>
      <c r="D128" s="135" t="n">
        <f aca="false">+'Damage Calculations'!$J$53</f>
        <v>3402026.54231824</v>
      </c>
      <c r="E128" s="135" t="n">
        <f aca="false">+'Damage Calculations'!$J$66</f>
        <v>3303447.4354375</v>
      </c>
      <c r="F128" s="136" t="n">
        <f aca="false">+'Damage Calculations'!$J$79</f>
        <v>3095510</v>
      </c>
    </row>
    <row r="129" customFormat="false" ht="12.75" hidden="false" customHeight="false" outlineLevel="0" collapsed="false">
      <c r="A129" s="133"/>
      <c r="B129" s="134" t="n">
        <v>36677</v>
      </c>
      <c r="C129" s="135" t="n">
        <f aca="false">+'Damage Calculations'!$J$39</f>
        <v>3379550</v>
      </c>
      <c r="D129" s="135" t="n">
        <f aca="false">+'Damage Calculations'!$J$53</f>
        <v>3402026.54231824</v>
      </c>
      <c r="E129" s="135" t="n">
        <f aca="false">+'Damage Calculations'!$J$66</f>
        <v>3303447.4354375</v>
      </c>
      <c r="F129" s="136" t="n">
        <f aca="false">+'Damage Calculations'!$J$79</f>
        <v>3095510</v>
      </c>
    </row>
    <row r="130" customFormat="false" ht="12.75" hidden="false" customHeight="false" outlineLevel="0" collapsed="false">
      <c r="A130" s="133"/>
      <c r="B130" s="134" t="n">
        <v>36707</v>
      </c>
      <c r="C130" s="135" t="n">
        <f aca="false">+'Damage Calculations'!$J$39</f>
        <v>3379550</v>
      </c>
      <c r="D130" s="135" t="n">
        <f aca="false">+'Damage Calculations'!$J$53</f>
        <v>3402026.54231824</v>
      </c>
      <c r="E130" s="135" t="n">
        <f aca="false">+'Damage Calculations'!$J$66</f>
        <v>3303447.4354375</v>
      </c>
      <c r="F130" s="136" t="n">
        <f aca="false">+'Damage Calculations'!$J$79</f>
        <v>3095510</v>
      </c>
    </row>
    <row r="131" customFormat="false" ht="12.75" hidden="false" customHeight="false" outlineLevel="0" collapsed="false">
      <c r="A131" s="133"/>
      <c r="B131" s="134" t="n">
        <v>36738</v>
      </c>
      <c r="C131" s="135" t="n">
        <f aca="false">+'Damage Calculations'!$J$39</f>
        <v>3379550</v>
      </c>
      <c r="D131" s="135" t="n">
        <f aca="false">+'Damage Calculations'!$J$53</f>
        <v>3402026.54231824</v>
      </c>
      <c r="E131" s="135" t="n">
        <f aca="false">+'Damage Calculations'!$J$66</f>
        <v>3303447.4354375</v>
      </c>
      <c r="F131" s="136" t="n">
        <f aca="false">+'Damage Calculations'!$J$79</f>
        <v>3095510</v>
      </c>
    </row>
    <row r="132" customFormat="false" ht="12.75" hidden="false" customHeight="false" outlineLevel="0" collapsed="false">
      <c r="A132" s="133"/>
      <c r="B132" s="134" t="n">
        <v>36769</v>
      </c>
      <c r="C132" s="135" t="n">
        <f aca="false">+'Damage Calculations'!$J$39</f>
        <v>3379550</v>
      </c>
      <c r="D132" s="135" t="n">
        <f aca="false">+'Damage Calculations'!$J$53</f>
        <v>3402026.54231824</v>
      </c>
      <c r="E132" s="135" t="n">
        <f aca="false">+'Damage Calculations'!$J$66</f>
        <v>3303447.4354375</v>
      </c>
      <c r="F132" s="136" t="n">
        <f aca="false">+'Damage Calculations'!$J$79</f>
        <v>3095510</v>
      </c>
    </row>
    <row r="133" customFormat="false" ht="12.75" hidden="false" customHeight="false" outlineLevel="0" collapsed="false">
      <c r="A133" s="133"/>
      <c r="B133" s="134" t="n">
        <v>36799</v>
      </c>
      <c r="C133" s="135" t="n">
        <f aca="false">+'Damage Calculations'!$J$39</f>
        <v>3379550</v>
      </c>
      <c r="D133" s="135" t="n">
        <f aca="false">+'Damage Calculations'!$J$53</f>
        <v>3402026.54231824</v>
      </c>
      <c r="E133" s="135" t="n">
        <f aca="false">+'Damage Calculations'!$J$66</f>
        <v>3303447.4354375</v>
      </c>
      <c r="F133" s="136" t="n">
        <f aca="false">+'Damage Calculations'!$J$79</f>
        <v>3095510</v>
      </c>
    </row>
    <row r="134" customFormat="false" ht="12.75" hidden="false" customHeight="false" outlineLevel="0" collapsed="false">
      <c r="A134" s="133"/>
      <c r="B134" s="134" t="n">
        <v>36830</v>
      </c>
      <c r="C134" s="135" t="n">
        <f aca="false">+'Damage Calculations'!$J$39</f>
        <v>3379550</v>
      </c>
      <c r="D134" s="135" t="n">
        <f aca="false">+'Damage Calculations'!$J$53</f>
        <v>3402026.54231824</v>
      </c>
      <c r="E134" s="135" t="n">
        <f aca="false">+'Damage Calculations'!$J$66</f>
        <v>3303447.4354375</v>
      </c>
      <c r="F134" s="136" t="n">
        <f aca="false">+'Damage Calculations'!$J$79</f>
        <v>3095510</v>
      </c>
    </row>
    <row r="135" customFormat="false" ht="12.75" hidden="false" customHeight="false" outlineLevel="0" collapsed="false">
      <c r="A135" s="133"/>
      <c r="B135" s="134" t="n">
        <v>36860</v>
      </c>
      <c r="C135" s="135" t="n">
        <f aca="false">+'Damage Calculations'!$J$39</f>
        <v>3379550</v>
      </c>
      <c r="D135" s="135" t="n">
        <f aca="false">+'Damage Calculations'!$J$53</f>
        <v>3402026.54231824</v>
      </c>
      <c r="E135" s="135" t="n">
        <f aca="false">+'Damage Calculations'!$J$66</f>
        <v>3303447.4354375</v>
      </c>
      <c r="F135" s="136" t="n">
        <f aca="false">+'Damage Calculations'!$J$79</f>
        <v>3095510</v>
      </c>
    </row>
    <row r="136" customFormat="false" ht="12.75" hidden="false" customHeight="false" outlineLevel="0" collapsed="false">
      <c r="A136" s="133"/>
      <c r="B136" s="134" t="n">
        <v>36891</v>
      </c>
      <c r="C136" s="135" t="n">
        <f aca="false">+'Damage Calculations'!$J$39</f>
        <v>3379550</v>
      </c>
      <c r="D136" s="135" t="n">
        <f aca="false">+'Damage Calculations'!$J$53</f>
        <v>3402026.54231824</v>
      </c>
      <c r="E136" s="135" t="n">
        <f aca="false">+'Damage Calculations'!$J$66</f>
        <v>3303447.4354375</v>
      </c>
      <c r="F136" s="136" t="n">
        <f aca="false">+'Damage Calculations'!$J$79</f>
        <v>3095510</v>
      </c>
    </row>
    <row r="137" customFormat="false" ht="12.75" hidden="false" customHeight="false" outlineLevel="0" collapsed="false">
      <c r="A137" s="133"/>
      <c r="B137" s="134" t="n">
        <v>36922</v>
      </c>
      <c r="C137" s="135" t="n">
        <f aca="false">+'Damage Calculations'!$K$39</f>
        <v>3216490</v>
      </c>
      <c r="D137" s="135" t="n">
        <f aca="false">+'Damage Calculations'!$K$53</f>
        <v>3221457.62339475</v>
      </c>
      <c r="E137" s="135" t="n">
        <f aca="false">+'Damage Calculations'!$K$66</f>
        <v>3124459.94872917</v>
      </c>
      <c r="F137" s="136" t="n">
        <f aca="false">+'Damage Calculations'!$K$79</f>
        <v>2919300</v>
      </c>
    </row>
    <row r="138" customFormat="false" ht="12.75" hidden="false" customHeight="false" outlineLevel="0" collapsed="false">
      <c r="A138" s="133"/>
      <c r="B138" s="134" t="n">
        <v>36950</v>
      </c>
      <c r="C138" s="135" t="n">
        <f aca="false">+'Damage Calculations'!$K$39</f>
        <v>3216490</v>
      </c>
      <c r="D138" s="135" t="n">
        <f aca="false">+'Damage Calculations'!$K$53</f>
        <v>3221457.62339475</v>
      </c>
      <c r="E138" s="135" t="n">
        <f aca="false">+'Damage Calculations'!$K$66</f>
        <v>3124459.94872917</v>
      </c>
      <c r="F138" s="136" t="n">
        <f aca="false">+'Damage Calculations'!$K$79</f>
        <v>2919300</v>
      </c>
    </row>
    <row r="139" customFormat="false" ht="12.75" hidden="false" customHeight="false" outlineLevel="0" collapsed="false">
      <c r="A139" s="133"/>
      <c r="B139" s="134" t="n">
        <v>36981</v>
      </c>
      <c r="C139" s="135" t="n">
        <f aca="false">+'Damage Calculations'!$K$39</f>
        <v>3216490</v>
      </c>
      <c r="D139" s="135" t="n">
        <f aca="false">+'Damage Calculations'!$K$53</f>
        <v>3221457.62339475</v>
      </c>
      <c r="E139" s="135" t="n">
        <f aca="false">+'Damage Calculations'!$K$66</f>
        <v>3124459.94872917</v>
      </c>
      <c r="F139" s="136" t="n">
        <f aca="false">+'Damage Calculations'!$K$79</f>
        <v>2919300</v>
      </c>
    </row>
    <row r="140" customFormat="false" ht="12.75" hidden="false" customHeight="false" outlineLevel="0" collapsed="false">
      <c r="A140" s="133"/>
      <c r="B140" s="134" t="n">
        <v>37011</v>
      </c>
      <c r="C140" s="135" t="n">
        <f aca="false">+'Damage Calculations'!$K$39</f>
        <v>3216490</v>
      </c>
      <c r="D140" s="135" t="n">
        <f aca="false">+'Damage Calculations'!$K$53</f>
        <v>3221457.62339475</v>
      </c>
      <c r="E140" s="135" t="n">
        <f aca="false">+'Damage Calculations'!$K$66</f>
        <v>3124459.94872917</v>
      </c>
      <c r="F140" s="136" t="n">
        <f aca="false">+'Damage Calculations'!$K$79</f>
        <v>2919300</v>
      </c>
    </row>
    <row r="141" customFormat="false" ht="12.75" hidden="false" customHeight="false" outlineLevel="0" collapsed="false">
      <c r="A141" s="133"/>
      <c r="B141" s="134" t="n">
        <v>37042</v>
      </c>
      <c r="C141" s="135" t="n">
        <f aca="false">+'Damage Calculations'!$K$39</f>
        <v>3216490</v>
      </c>
      <c r="D141" s="135" t="n">
        <f aca="false">+'Damage Calculations'!$K$53</f>
        <v>3221457.62339475</v>
      </c>
      <c r="E141" s="135" t="n">
        <f aca="false">+'Damage Calculations'!$K$66</f>
        <v>3124459.94872917</v>
      </c>
      <c r="F141" s="136" t="n">
        <f aca="false">+'Damage Calculations'!$K$79</f>
        <v>2919300</v>
      </c>
    </row>
    <row r="142" customFormat="false" ht="12.75" hidden="false" customHeight="false" outlineLevel="0" collapsed="false">
      <c r="A142" s="133"/>
      <c r="B142" s="134" t="n">
        <v>37072</v>
      </c>
      <c r="C142" s="135" t="n">
        <f aca="false">+'Damage Calculations'!$K$39</f>
        <v>3216490</v>
      </c>
      <c r="D142" s="135" t="n">
        <f aca="false">+'Damage Calculations'!$K$53</f>
        <v>3221457.62339475</v>
      </c>
      <c r="E142" s="135" t="n">
        <f aca="false">+'Damage Calculations'!$K$66</f>
        <v>3124459.94872917</v>
      </c>
      <c r="F142" s="136" t="n">
        <f aca="false">+'Damage Calculations'!$K$79</f>
        <v>2919300</v>
      </c>
    </row>
    <row r="143" customFormat="false" ht="12.75" hidden="false" customHeight="false" outlineLevel="0" collapsed="false">
      <c r="A143" s="133"/>
      <c r="B143" s="134" t="n">
        <v>37103</v>
      </c>
      <c r="C143" s="135" t="n">
        <f aca="false">+'Damage Calculations'!$K$39</f>
        <v>3216490</v>
      </c>
      <c r="D143" s="135" t="n">
        <f aca="false">+'Damage Calculations'!$K$53</f>
        <v>3221457.62339475</v>
      </c>
      <c r="E143" s="135" t="n">
        <f aca="false">+'Damage Calculations'!$K$66</f>
        <v>3124459.94872917</v>
      </c>
      <c r="F143" s="136" t="n">
        <f aca="false">+'Damage Calculations'!$K$79</f>
        <v>2919300</v>
      </c>
    </row>
    <row r="144" customFormat="false" ht="12.75" hidden="false" customHeight="false" outlineLevel="0" collapsed="false">
      <c r="A144" s="133"/>
      <c r="B144" s="134" t="n">
        <v>37134</v>
      </c>
      <c r="C144" s="135" t="n">
        <f aca="false">+'Damage Calculations'!$K$39</f>
        <v>3216490</v>
      </c>
      <c r="D144" s="135" t="n">
        <f aca="false">+'Damage Calculations'!$K$53</f>
        <v>3221457.62339475</v>
      </c>
      <c r="E144" s="135" t="n">
        <f aca="false">+'Damage Calculations'!$K$66</f>
        <v>3124459.94872917</v>
      </c>
      <c r="F144" s="136" t="n">
        <f aca="false">+'Damage Calculations'!$K$79</f>
        <v>2919300</v>
      </c>
    </row>
    <row r="145" customFormat="false" ht="12.75" hidden="false" customHeight="false" outlineLevel="0" collapsed="false">
      <c r="A145" s="133"/>
      <c r="B145" s="134" t="n">
        <v>37164</v>
      </c>
      <c r="C145" s="135" t="n">
        <f aca="false">+'Damage Calculations'!$K$39</f>
        <v>3216490</v>
      </c>
      <c r="D145" s="135" t="n">
        <f aca="false">+'Damage Calculations'!$K$53</f>
        <v>3221457.62339475</v>
      </c>
      <c r="E145" s="135" t="n">
        <f aca="false">+'Damage Calculations'!$K$66</f>
        <v>3124459.94872917</v>
      </c>
      <c r="F145" s="136" t="n">
        <f aca="false">+'Damage Calculations'!$K$79</f>
        <v>2919300</v>
      </c>
    </row>
    <row r="146" customFormat="false" ht="12.75" hidden="false" customHeight="false" outlineLevel="0" collapsed="false">
      <c r="A146" s="133"/>
      <c r="B146" s="134" t="n">
        <v>37195</v>
      </c>
      <c r="C146" s="135" t="n">
        <f aca="false">+'Damage Calculations'!$K$39</f>
        <v>3216490</v>
      </c>
      <c r="D146" s="135" t="n">
        <f aca="false">+'Damage Calculations'!$K$53</f>
        <v>3221457.62339475</v>
      </c>
      <c r="E146" s="135" t="n">
        <f aca="false">+'Damage Calculations'!$K$66</f>
        <v>3124459.94872917</v>
      </c>
      <c r="F146" s="136" t="n">
        <f aca="false">+'Damage Calculations'!$K$79</f>
        <v>2919300</v>
      </c>
    </row>
    <row r="147" customFormat="false" ht="12.75" hidden="false" customHeight="false" outlineLevel="0" collapsed="false">
      <c r="A147" s="133"/>
      <c r="B147" s="134" t="n">
        <v>37225</v>
      </c>
      <c r="C147" s="135" t="n">
        <f aca="false">+'Damage Calculations'!$K$39</f>
        <v>3216490</v>
      </c>
      <c r="D147" s="135" t="n">
        <f aca="false">+'Damage Calculations'!$K$53</f>
        <v>3221457.62339475</v>
      </c>
      <c r="E147" s="135" t="n">
        <f aca="false">+'Damage Calculations'!$K$66</f>
        <v>3124459.94872917</v>
      </c>
      <c r="F147" s="136" t="n">
        <f aca="false">+'Damage Calculations'!$K$79</f>
        <v>2919300</v>
      </c>
    </row>
    <row r="148" customFormat="false" ht="12.75" hidden="false" customHeight="false" outlineLevel="0" collapsed="false">
      <c r="A148" s="133"/>
      <c r="B148" s="134" t="n">
        <v>37256</v>
      </c>
      <c r="C148" s="135" t="n">
        <f aca="false">+'Damage Calculations'!$K$39</f>
        <v>3216490</v>
      </c>
      <c r="D148" s="135" t="n">
        <f aca="false">+'Damage Calculations'!$K$53</f>
        <v>3221457.62339475</v>
      </c>
      <c r="E148" s="135" t="n">
        <f aca="false">+'Damage Calculations'!$K$66</f>
        <v>3124459.94872917</v>
      </c>
      <c r="F148" s="136" t="n">
        <f aca="false">+'Damage Calculations'!$K$79</f>
        <v>2919300</v>
      </c>
    </row>
    <row r="149" customFormat="false" ht="12.75" hidden="false" customHeight="false" outlineLevel="0" collapsed="false">
      <c r="A149" s="133"/>
      <c r="B149" s="134" t="n">
        <v>37287</v>
      </c>
      <c r="C149" s="135" t="n">
        <f aca="false">+'Damage Calculations'!$L$39</f>
        <v>2698380</v>
      </c>
      <c r="D149" s="135" t="n">
        <f aca="false">+'Damage Calculations'!$L$53</f>
        <v>2682652.28580795</v>
      </c>
      <c r="E149" s="135" t="n">
        <f aca="false">+'Damage Calculations'!$L$66</f>
        <v>2587437.91414583</v>
      </c>
      <c r="F149" s="136" t="n">
        <f aca="false">+'Damage Calculations'!$L$79</f>
        <v>2385410</v>
      </c>
    </row>
    <row r="150" customFormat="false" ht="12.75" hidden="false" customHeight="false" outlineLevel="0" collapsed="false">
      <c r="A150" s="133"/>
      <c r="B150" s="134" t="n">
        <v>37315</v>
      </c>
      <c r="C150" s="135" t="n">
        <f aca="false">+'Damage Calculations'!$L$39</f>
        <v>2698380</v>
      </c>
      <c r="D150" s="135" t="n">
        <f aca="false">+'Damage Calculations'!$L$53</f>
        <v>2682652.28580795</v>
      </c>
      <c r="E150" s="135" t="n">
        <f aca="false">+'Damage Calculations'!$L$66</f>
        <v>2587437.91414583</v>
      </c>
      <c r="F150" s="136" t="n">
        <f aca="false">+'Damage Calculations'!$L$79</f>
        <v>2385410</v>
      </c>
    </row>
    <row r="151" customFormat="false" ht="12.75" hidden="false" customHeight="false" outlineLevel="0" collapsed="false">
      <c r="A151" s="133"/>
      <c r="B151" s="134" t="n">
        <v>37346</v>
      </c>
      <c r="C151" s="135" t="n">
        <f aca="false">+'Damage Calculations'!$L$39</f>
        <v>2698380</v>
      </c>
      <c r="D151" s="135" t="n">
        <f aca="false">+'Damage Calculations'!$L$53</f>
        <v>2682652.28580795</v>
      </c>
      <c r="E151" s="135" t="n">
        <f aca="false">+'Damage Calculations'!$L$66</f>
        <v>2587437.91414583</v>
      </c>
      <c r="F151" s="136" t="n">
        <f aca="false">+'Damage Calculations'!$L$79</f>
        <v>2385410</v>
      </c>
    </row>
    <row r="152" customFormat="false" ht="12.75" hidden="false" customHeight="false" outlineLevel="0" collapsed="false">
      <c r="A152" s="133"/>
      <c r="B152" s="134" t="n">
        <v>37376</v>
      </c>
      <c r="C152" s="135" t="n">
        <f aca="false">+'Damage Calculations'!$L$39</f>
        <v>2698380</v>
      </c>
      <c r="D152" s="135" t="n">
        <f aca="false">+'Damage Calculations'!$L$53</f>
        <v>2682652.28580795</v>
      </c>
      <c r="E152" s="135" t="n">
        <f aca="false">+'Damage Calculations'!$L$66</f>
        <v>2587437.91414583</v>
      </c>
      <c r="F152" s="136" t="n">
        <f aca="false">+'Damage Calculations'!$L$79</f>
        <v>2385410</v>
      </c>
    </row>
    <row r="153" customFormat="false" ht="12.75" hidden="false" customHeight="false" outlineLevel="0" collapsed="false">
      <c r="A153" s="133"/>
      <c r="B153" s="134" t="n">
        <v>37407</v>
      </c>
      <c r="C153" s="135" t="n">
        <f aca="false">+'Damage Calculations'!$L$39</f>
        <v>2698380</v>
      </c>
      <c r="D153" s="135" t="n">
        <f aca="false">+'Damage Calculations'!$L$53</f>
        <v>2682652.28580795</v>
      </c>
      <c r="E153" s="135" t="n">
        <f aca="false">+'Damage Calculations'!$L$66</f>
        <v>2587437.91414583</v>
      </c>
      <c r="F153" s="136" t="n">
        <f aca="false">+'Damage Calculations'!$L$79</f>
        <v>2385410</v>
      </c>
    </row>
    <row r="154" customFormat="false" ht="12.75" hidden="false" customHeight="false" outlineLevel="0" collapsed="false">
      <c r="A154" s="133"/>
      <c r="B154" s="134" t="n">
        <v>37437</v>
      </c>
      <c r="C154" s="135" t="n">
        <f aca="false">+'Damage Calculations'!$L$39</f>
        <v>2698380</v>
      </c>
      <c r="D154" s="135" t="n">
        <f aca="false">+'Damage Calculations'!$L$53</f>
        <v>2682652.28580795</v>
      </c>
      <c r="E154" s="135" t="n">
        <f aca="false">+'Damage Calculations'!$L$66</f>
        <v>2587437.91414583</v>
      </c>
      <c r="F154" s="136" t="n">
        <f aca="false">+'Damage Calculations'!$L$79</f>
        <v>2385410</v>
      </c>
    </row>
    <row r="155" customFormat="false" ht="12.75" hidden="false" customHeight="false" outlineLevel="0" collapsed="false">
      <c r="A155" s="133"/>
      <c r="B155" s="134" t="n">
        <v>37468</v>
      </c>
      <c r="C155" s="135" t="n">
        <f aca="false">+'Damage Calculations'!$L$39</f>
        <v>2698380</v>
      </c>
      <c r="D155" s="135" t="n">
        <f aca="false">+'Damage Calculations'!$L$53</f>
        <v>2682652.28580795</v>
      </c>
      <c r="E155" s="135" t="n">
        <f aca="false">+'Damage Calculations'!$L$66</f>
        <v>2587437.91414583</v>
      </c>
      <c r="F155" s="136" t="n">
        <f aca="false">+'Damage Calculations'!$L$79</f>
        <v>2385410</v>
      </c>
    </row>
    <row r="156" customFormat="false" ht="12.75" hidden="false" customHeight="false" outlineLevel="0" collapsed="false">
      <c r="A156" s="133"/>
      <c r="B156" s="134" t="n">
        <v>37499</v>
      </c>
      <c r="C156" s="135" t="n">
        <f aca="false">+'Damage Calculations'!$L$39</f>
        <v>2698380</v>
      </c>
      <c r="D156" s="135" t="n">
        <f aca="false">+'Damage Calculations'!$L$53</f>
        <v>2682652.28580795</v>
      </c>
      <c r="E156" s="135" t="n">
        <f aca="false">+'Damage Calculations'!$L$66</f>
        <v>2587437.91414583</v>
      </c>
      <c r="F156" s="136" t="n">
        <f aca="false">+'Damage Calculations'!$L$79</f>
        <v>2385410</v>
      </c>
    </row>
    <row r="157" customFormat="false" ht="12.75" hidden="false" customHeight="false" outlineLevel="0" collapsed="false">
      <c r="A157" s="133"/>
      <c r="B157" s="134" t="n">
        <v>37529</v>
      </c>
      <c r="C157" s="135" t="n">
        <f aca="false">+'Damage Calculations'!$L$39</f>
        <v>2698380</v>
      </c>
      <c r="D157" s="135" t="n">
        <f aca="false">+'Damage Calculations'!$L$53</f>
        <v>2682652.28580795</v>
      </c>
      <c r="E157" s="135" t="n">
        <f aca="false">+'Damage Calculations'!$L$66</f>
        <v>2587437.91414583</v>
      </c>
      <c r="F157" s="136" t="n">
        <f aca="false">+'Damage Calculations'!$L$79</f>
        <v>2385410</v>
      </c>
    </row>
    <row r="158" customFormat="false" ht="12.75" hidden="false" customHeight="false" outlineLevel="0" collapsed="false">
      <c r="A158" s="133"/>
      <c r="B158" s="134" t="n">
        <v>37560</v>
      </c>
      <c r="C158" s="135" t="n">
        <f aca="false">+'Damage Calculations'!$L$39</f>
        <v>2698380</v>
      </c>
      <c r="D158" s="135" t="n">
        <f aca="false">+'Damage Calculations'!$L$53</f>
        <v>2682652.28580795</v>
      </c>
      <c r="E158" s="135" t="n">
        <f aca="false">+'Damage Calculations'!$L$66</f>
        <v>2587437.91414583</v>
      </c>
      <c r="F158" s="136" t="n">
        <f aca="false">+'Damage Calculations'!$L$79</f>
        <v>2385410</v>
      </c>
    </row>
    <row r="159" customFormat="false" ht="12.75" hidden="false" customHeight="false" outlineLevel="0" collapsed="false">
      <c r="A159" s="133"/>
      <c r="B159" s="134" t="n">
        <v>37590</v>
      </c>
      <c r="C159" s="135" t="n">
        <f aca="false">+'Damage Calculations'!$L$39</f>
        <v>2698380</v>
      </c>
      <c r="D159" s="135" t="n">
        <f aca="false">+'Damage Calculations'!$L$53</f>
        <v>2682652.28580795</v>
      </c>
      <c r="E159" s="135" t="n">
        <f aca="false">+'Damage Calculations'!$L$66</f>
        <v>2587437.91414583</v>
      </c>
      <c r="F159" s="136" t="n">
        <f aca="false">+'Damage Calculations'!$L$79</f>
        <v>2385410</v>
      </c>
    </row>
    <row r="160" customFormat="false" ht="12.75" hidden="false" customHeight="false" outlineLevel="0" collapsed="false">
      <c r="A160" s="133"/>
      <c r="B160" s="134" t="n">
        <v>37621</v>
      </c>
      <c r="C160" s="135" t="n">
        <f aca="false">+'Damage Calculations'!$L$39</f>
        <v>2698380</v>
      </c>
      <c r="D160" s="135" t="n">
        <f aca="false">+'Damage Calculations'!$L$53</f>
        <v>2682652.28580795</v>
      </c>
      <c r="E160" s="135" t="n">
        <f aca="false">+'Damage Calculations'!$L$66</f>
        <v>2587437.91414583</v>
      </c>
      <c r="F160" s="136" t="n">
        <f aca="false">+'Damage Calculations'!$L$79</f>
        <v>2385410</v>
      </c>
    </row>
    <row r="161" customFormat="false" ht="12.75" hidden="false" customHeight="false" outlineLevel="0" collapsed="false">
      <c r="A161" s="133"/>
      <c r="B161" s="134" t="n">
        <v>37652</v>
      </c>
      <c r="C161" s="135" t="n">
        <f aca="false">+'Damage Calculations'!$M$39</f>
        <v>3739860</v>
      </c>
      <c r="D161" s="135" t="n">
        <f aca="false">+'Damage Calculations'!$M$53</f>
        <v>3703099.6691414</v>
      </c>
      <c r="E161" s="135" t="n">
        <f aca="false">+'Damage Calculations'!$M$66</f>
        <v>3609790.96660417</v>
      </c>
      <c r="F161" s="136" t="n">
        <f aca="false">+'Damage Calculations'!$M$79</f>
        <v>3411110</v>
      </c>
    </row>
    <row r="162" customFormat="false" ht="12.75" hidden="false" customHeight="false" outlineLevel="0" collapsed="false">
      <c r="A162" s="133"/>
      <c r="B162" s="134" t="n">
        <v>37680</v>
      </c>
      <c r="C162" s="135" t="n">
        <f aca="false">+'Damage Calculations'!$M$39</f>
        <v>3739860</v>
      </c>
      <c r="D162" s="135" t="n">
        <f aca="false">+'Damage Calculations'!$M$53</f>
        <v>3703099.6691414</v>
      </c>
      <c r="E162" s="135" t="n">
        <f aca="false">+'Damage Calculations'!$M$66</f>
        <v>3609790.96660417</v>
      </c>
      <c r="F162" s="136" t="n">
        <f aca="false">+'Damage Calculations'!$M$79</f>
        <v>3411110</v>
      </c>
    </row>
    <row r="163" customFormat="false" ht="12.75" hidden="false" customHeight="false" outlineLevel="0" collapsed="false">
      <c r="A163" s="133"/>
      <c r="B163" s="134" t="n">
        <v>37711</v>
      </c>
      <c r="C163" s="135" t="n">
        <f aca="false">+'Damage Calculations'!$M$39</f>
        <v>3739860</v>
      </c>
      <c r="D163" s="135" t="n">
        <f aca="false">+'Damage Calculations'!$M$53</f>
        <v>3703099.6691414</v>
      </c>
      <c r="E163" s="135" t="n">
        <f aca="false">+'Damage Calculations'!$M$66</f>
        <v>3609790.96660417</v>
      </c>
      <c r="F163" s="136" t="n">
        <f aca="false">+'Damage Calculations'!$M$79</f>
        <v>3411110</v>
      </c>
    </row>
    <row r="164" customFormat="false" ht="12.75" hidden="false" customHeight="false" outlineLevel="0" collapsed="false">
      <c r="A164" s="133"/>
      <c r="B164" s="134" t="n">
        <v>37741</v>
      </c>
      <c r="C164" s="135" t="n">
        <f aca="false">+'Damage Calculations'!$M$39</f>
        <v>3739860</v>
      </c>
      <c r="D164" s="135" t="n">
        <f aca="false">+'Damage Calculations'!$M$53</f>
        <v>3703099.6691414</v>
      </c>
      <c r="E164" s="135" t="n">
        <f aca="false">+'Damage Calculations'!$M$66</f>
        <v>3609790.96660417</v>
      </c>
      <c r="F164" s="136" t="n">
        <f aca="false">+'Damage Calculations'!$M$79</f>
        <v>3411110</v>
      </c>
    </row>
    <row r="165" customFormat="false" ht="12.75" hidden="false" customHeight="false" outlineLevel="0" collapsed="false">
      <c r="A165" s="133"/>
      <c r="B165" s="134" t="n">
        <v>37772</v>
      </c>
      <c r="C165" s="135" t="n">
        <f aca="false">+'Damage Calculations'!$M$39</f>
        <v>3739860</v>
      </c>
      <c r="D165" s="135" t="n">
        <f aca="false">+'Damage Calculations'!$M$53</f>
        <v>3703099.6691414</v>
      </c>
      <c r="E165" s="135" t="n">
        <f aca="false">+'Damage Calculations'!$M$66</f>
        <v>3609790.96660417</v>
      </c>
      <c r="F165" s="136" t="n">
        <f aca="false">+'Damage Calculations'!$M$79</f>
        <v>3411110</v>
      </c>
    </row>
    <row r="166" customFormat="false" ht="12.75" hidden="false" customHeight="false" outlineLevel="0" collapsed="false">
      <c r="A166" s="133"/>
      <c r="B166" s="134" t="n">
        <v>37802</v>
      </c>
      <c r="C166" s="135" t="n">
        <f aca="false">+'Damage Calculations'!$M$39</f>
        <v>3739860</v>
      </c>
      <c r="D166" s="135" t="n">
        <f aca="false">+'Damage Calculations'!$M$53</f>
        <v>3703099.6691414</v>
      </c>
      <c r="E166" s="135" t="n">
        <f aca="false">+'Damage Calculations'!$M$66</f>
        <v>3609790.96660417</v>
      </c>
      <c r="F166" s="136" t="n">
        <f aca="false">+'Damage Calculations'!$M$79</f>
        <v>3411110</v>
      </c>
    </row>
    <row r="167" customFormat="false" ht="12.75" hidden="false" customHeight="false" outlineLevel="0" collapsed="false">
      <c r="A167" s="133"/>
      <c r="B167" s="134" t="n">
        <v>37833</v>
      </c>
      <c r="C167" s="135" t="n">
        <f aca="false">+'Damage Calculations'!$M$39</f>
        <v>3739860</v>
      </c>
      <c r="D167" s="135" t="n">
        <f aca="false">+'Damage Calculations'!$M$53</f>
        <v>3703099.6691414</v>
      </c>
      <c r="E167" s="135" t="n">
        <f aca="false">+'Damage Calculations'!$M$66</f>
        <v>3609790.96660417</v>
      </c>
      <c r="F167" s="136" t="n">
        <f aca="false">+'Damage Calculations'!$M$79</f>
        <v>3411110</v>
      </c>
    </row>
    <row r="168" customFormat="false" ht="12.75" hidden="false" customHeight="false" outlineLevel="0" collapsed="false">
      <c r="A168" s="133"/>
      <c r="B168" s="134" t="n">
        <v>37864</v>
      </c>
      <c r="C168" s="135" t="n">
        <f aca="false">+'Damage Calculations'!$M$39</f>
        <v>3739860</v>
      </c>
      <c r="D168" s="135" t="n">
        <f aca="false">+'Damage Calculations'!$M$53</f>
        <v>3703099.6691414</v>
      </c>
      <c r="E168" s="135" t="n">
        <f aca="false">+'Damage Calculations'!$M$66</f>
        <v>3609790.96660417</v>
      </c>
      <c r="F168" s="136" t="n">
        <f aca="false">+'Damage Calculations'!$M$79</f>
        <v>3411110</v>
      </c>
    </row>
    <row r="169" customFormat="false" ht="12.75" hidden="false" customHeight="false" outlineLevel="0" collapsed="false">
      <c r="A169" s="133"/>
      <c r="B169" s="134" t="n">
        <v>37894</v>
      </c>
      <c r="C169" s="135" t="n">
        <f aca="false">+'Damage Calculations'!$M$39</f>
        <v>3739860</v>
      </c>
      <c r="D169" s="135" t="n">
        <f aca="false">+'Damage Calculations'!$M$53</f>
        <v>3703099.6691414</v>
      </c>
      <c r="E169" s="135" t="n">
        <f aca="false">+'Damage Calculations'!$M$66</f>
        <v>3609790.96660417</v>
      </c>
      <c r="F169" s="136" t="n">
        <f aca="false">+'Damage Calculations'!$M$79</f>
        <v>3411110</v>
      </c>
    </row>
    <row r="170" customFormat="false" ht="12.75" hidden="false" customHeight="false" outlineLevel="0" collapsed="false">
      <c r="A170" s="133"/>
      <c r="B170" s="134" t="n">
        <v>37925</v>
      </c>
      <c r="C170" s="135" t="n">
        <f aca="false">+'Damage Calculations'!$M$39</f>
        <v>3739860</v>
      </c>
      <c r="D170" s="135" t="n">
        <f aca="false">+'Damage Calculations'!$M$53</f>
        <v>3703099.6691414</v>
      </c>
      <c r="E170" s="135" t="n">
        <f aca="false">+'Damage Calculations'!$M$66</f>
        <v>3609790.96660417</v>
      </c>
      <c r="F170" s="136" t="n">
        <f aca="false">+'Damage Calculations'!$M$79</f>
        <v>3411110</v>
      </c>
    </row>
    <row r="171" customFormat="false" ht="12.75" hidden="false" customHeight="false" outlineLevel="0" collapsed="false">
      <c r="A171" s="133"/>
      <c r="B171" s="134" t="n">
        <v>37955</v>
      </c>
      <c r="C171" s="135" t="n">
        <f aca="false">+'Damage Calculations'!$M$39</f>
        <v>3739860</v>
      </c>
      <c r="D171" s="135" t="n">
        <f aca="false">+'Damage Calculations'!$M$53</f>
        <v>3703099.6691414</v>
      </c>
      <c r="E171" s="135" t="n">
        <f aca="false">+'Damage Calculations'!$M$66</f>
        <v>3609790.96660417</v>
      </c>
      <c r="F171" s="136" t="n">
        <f aca="false">+'Damage Calculations'!$M$79</f>
        <v>3411110</v>
      </c>
    </row>
    <row r="172" customFormat="false" ht="12.75" hidden="false" customHeight="false" outlineLevel="0" collapsed="false">
      <c r="A172" s="133"/>
      <c r="B172" s="134" t="n">
        <v>37986</v>
      </c>
      <c r="C172" s="135" t="n">
        <f aca="false">+'Damage Calculations'!$M$39</f>
        <v>3739860</v>
      </c>
      <c r="D172" s="135" t="n">
        <f aca="false">+'Damage Calculations'!$M$53</f>
        <v>3703099.6691414</v>
      </c>
      <c r="E172" s="135" t="n">
        <f aca="false">+'Damage Calculations'!$M$66</f>
        <v>3609790.96660417</v>
      </c>
      <c r="F172" s="136" t="n">
        <f aca="false">+'Damage Calculations'!$M$79</f>
        <v>3411110</v>
      </c>
    </row>
    <row r="173" customFormat="false" ht="12.75" hidden="false" customHeight="false" outlineLevel="0" collapsed="false">
      <c r="A173" s="133"/>
      <c r="B173" s="134" t="n">
        <v>38017</v>
      </c>
      <c r="C173" s="135" t="n">
        <f aca="false">+'Damage Calculations'!$N$39</f>
        <v>3892400</v>
      </c>
      <c r="D173" s="135" t="n">
        <f aca="false">+'Damage Calculations'!$N$53</f>
        <v>3833713.35473179</v>
      </c>
      <c r="E173" s="135" t="n">
        <f aca="false">+'Damage Calculations'!$N$66</f>
        <v>3742634.55822917</v>
      </c>
      <c r="F173" s="136" t="n">
        <f aca="false">+'Damage Calculations'!$N$79</f>
        <v>3547870</v>
      </c>
    </row>
    <row r="174" customFormat="false" ht="12.75" hidden="false" customHeight="false" outlineLevel="0" collapsed="false">
      <c r="A174" s="133"/>
      <c r="B174" s="134" t="n">
        <v>38046</v>
      </c>
      <c r="C174" s="135" t="n">
        <f aca="false">+'Damage Calculations'!$N$39</f>
        <v>3892400</v>
      </c>
      <c r="D174" s="135" t="n">
        <f aca="false">+'Damage Calculations'!$N$53</f>
        <v>3833713.35473179</v>
      </c>
      <c r="E174" s="135" t="n">
        <f aca="false">+'Damage Calculations'!$N$66</f>
        <v>3742634.55822917</v>
      </c>
      <c r="F174" s="136" t="n">
        <f aca="false">+'Damage Calculations'!$N$79</f>
        <v>3547870</v>
      </c>
    </row>
    <row r="175" customFormat="false" ht="12.75" hidden="false" customHeight="false" outlineLevel="0" collapsed="false">
      <c r="A175" s="133"/>
      <c r="B175" s="134" t="n">
        <v>38077</v>
      </c>
      <c r="C175" s="135" t="n">
        <f aca="false">+'Damage Calculations'!$N$39</f>
        <v>3892400</v>
      </c>
      <c r="D175" s="135" t="n">
        <f aca="false">+'Damage Calculations'!$N$53</f>
        <v>3833713.35473179</v>
      </c>
      <c r="E175" s="135" t="n">
        <f aca="false">+'Damage Calculations'!$N$66</f>
        <v>3742634.55822917</v>
      </c>
      <c r="F175" s="136" t="n">
        <f aca="false">+'Damage Calculations'!$N$79</f>
        <v>3547870</v>
      </c>
    </row>
    <row r="176" customFormat="false" ht="12.75" hidden="false" customHeight="false" outlineLevel="0" collapsed="false">
      <c r="A176" s="133"/>
      <c r="B176" s="134" t="n">
        <v>38107</v>
      </c>
      <c r="C176" s="135" t="n">
        <f aca="false">+'Damage Calculations'!$N$39</f>
        <v>3892400</v>
      </c>
      <c r="D176" s="135" t="n">
        <f aca="false">+'Damage Calculations'!$N$53</f>
        <v>3833713.35473179</v>
      </c>
      <c r="E176" s="135" t="n">
        <f aca="false">+'Damage Calculations'!$N$66</f>
        <v>3742634.55822917</v>
      </c>
      <c r="F176" s="136" t="n">
        <f aca="false">+'Damage Calculations'!$N$79</f>
        <v>3547870</v>
      </c>
    </row>
    <row r="177" customFormat="false" ht="12.75" hidden="false" customHeight="false" outlineLevel="0" collapsed="false">
      <c r="A177" s="133"/>
      <c r="B177" s="134" t="n">
        <v>38138</v>
      </c>
      <c r="C177" s="135" t="n">
        <f aca="false">+'Damage Calculations'!$N$39</f>
        <v>3892400</v>
      </c>
      <c r="D177" s="135" t="n">
        <f aca="false">+'Damage Calculations'!$N$53</f>
        <v>3833713.35473179</v>
      </c>
      <c r="E177" s="135" t="n">
        <f aca="false">+'Damage Calculations'!$N$66</f>
        <v>3742634.55822917</v>
      </c>
      <c r="F177" s="136" t="n">
        <f aca="false">+'Damage Calculations'!$N$79</f>
        <v>3547870</v>
      </c>
    </row>
    <row r="178" customFormat="false" ht="12.75" hidden="false" customHeight="false" outlineLevel="0" collapsed="false">
      <c r="A178" s="133"/>
      <c r="B178" s="134" t="n">
        <v>38168</v>
      </c>
      <c r="C178" s="135" t="n">
        <f aca="false">+'Damage Calculations'!$N$39</f>
        <v>3892400</v>
      </c>
      <c r="D178" s="135" t="n">
        <f aca="false">+'Damage Calculations'!$N$53</f>
        <v>3833713.35473179</v>
      </c>
      <c r="E178" s="135" t="n">
        <f aca="false">+'Damage Calculations'!$N$66</f>
        <v>3742634.55822917</v>
      </c>
      <c r="F178" s="136" t="n">
        <f aca="false">+'Damage Calculations'!$N$79</f>
        <v>3547870</v>
      </c>
    </row>
    <row r="179" customFormat="false" ht="12.75" hidden="false" customHeight="false" outlineLevel="0" collapsed="false">
      <c r="A179" s="133"/>
      <c r="B179" s="134" t="n">
        <v>38199</v>
      </c>
      <c r="C179" s="135" t="n">
        <f aca="false">+'Damage Calculations'!$N$39</f>
        <v>3892400</v>
      </c>
      <c r="D179" s="135" t="n">
        <f aca="false">+'Damage Calculations'!$N$53</f>
        <v>3833713.35473179</v>
      </c>
      <c r="E179" s="135" t="n">
        <f aca="false">+'Damage Calculations'!$N$66</f>
        <v>3742634.55822917</v>
      </c>
      <c r="F179" s="136" t="n">
        <f aca="false">+'Damage Calculations'!$N$79</f>
        <v>3547870</v>
      </c>
    </row>
    <row r="180" customFormat="false" ht="12.75" hidden="false" customHeight="false" outlineLevel="0" collapsed="false">
      <c r="A180" s="133"/>
      <c r="B180" s="134" t="n">
        <v>38230</v>
      </c>
      <c r="C180" s="135" t="n">
        <f aca="false">+'Damage Calculations'!$N$39</f>
        <v>3892400</v>
      </c>
      <c r="D180" s="135" t="n">
        <f aca="false">+'Damage Calculations'!$N$53</f>
        <v>3833713.35473179</v>
      </c>
      <c r="E180" s="135" t="n">
        <f aca="false">+'Damage Calculations'!$N$66</f>
        <v>3742634.55822917</v>
      </c>
      <c r="F180" s="136" t="n">
        <f aca="false">+'Damage Calculations'!$N$79</f>
        <v>3547870</v>
      </c>
    </row>
    <row r="181" customFormat="false" ht="12.75" hidden="false" customHeight="false" outlineLevel="0" collapsed="false">
      <c r="A181" s="133"/>
      <c r="B181" s="134" t="n">
        <v>38260</v>
      </c>
      <c r="C181" s="135" t="n">
        <f aca="false">+'Damage Calculations'!$N$39</f>
        <v>3892400</v>
      </c>
      <c r="D181" s="135" t="n">
        <f aca="false">+'Damage Calculations'!$N$53</f>
        <v>3833713.35473179</v>
      </c>
      <c r="E181" s="135" t="n">
        <f aca="false">+'Damage Calculations'!$N$66</f>
        <v>3742634.55822917</v>
      </c>
      <c r="F181" s="136" t="n">
        <f aca="false">+'Damage Calculations'!$N$79</f>
        <v>3547870</v>
      </c>
    </row>
    <row r="182" customFormat="false" ht="12.75" hidden="false" customHeight="false" outlineLevel="0" collapsed="false">
      <c r="A182" s="133"/>
      <c r="B182" s="134" t="n">
        <v>38291</v>
      </c>
      <c r="C182" s="135" t="n">
        <f aca="false">+'Damage Calculations'!$N$39</f>
        <v>3892400</v>
      </c>
      <c r="D182" s="135" t="n">
        <f aca="false">+'Damage Calculations'!$N$53</f>
        <v>3833713.35473179</v>
      </c>
      <c r="E182" s="135" t="n">
        <f aca="false">+'Damage Calculations'!$N$66</f>
        <v>3742634.55822917</v>
      </c>
      <c r="F182" s="136" t="n">
        <f aca="false">+'Damage Calculations'!$N$79</f>
        <v>3547870</v>
      </c>
    </row>
    <row r="183" customFormat="false" ht="12.75" hidden="false" customHeight="false" outlineLevel="0" collapsed="false">
      <c r="A183" s="133"/>
      <c r="B183" s="134" t="n">
        <v>38321</v>
      </c>
      <c r="C183" s="135" t="n">
        <f aca="false">+'Damage Calculations'!$N$39</f>
        <v>3892400</v>
      </c>
      <c r="D183" s="135" t="n">
        <f aca="false">+'Damage Calculations'!$N$53</f>
        <v>3833713.35473179</v>
      </c>
      <c r="E183" s="135" t="n">
        <f aca="false">+'Damage Calculations'!$N$66</f>
        <v>3742634.55822917</v>
      </c>
      <c r="F183" s="136" t="n">
        <f aca="false">+'Damage Calculations'!$N$79</f>
        <v>3547870</v>
      </c>
    </row>
    <row r="184" customFormat="false" ht="12.75" hidden="false" customHeight="false" outlineLevel="0" collapsed="false">
      <c r="A184" s="133"/>
      <c r="B184" s="134" t="n">
        <v>38352</v>
      </c>
      <c r="C184" s="135" t="n">
        <f aca="false">+'Damage Calculations'!$N$39</f>
        <v>3892400</v>
      </c>
      <c r="D184" s="135" t="n">
        <f aca="false">+'Damage Calculations'!$N$53</f>
        <v>3833713.35473179</v>
      </c>
      <c r="E184" s="135" t="n">
        <f aca="false">+'Damage Calculations'!$N$66</f>
        <v>3742634.55822917</v>
      </c>
      <c r="F184" s="136" t="n">
        <f aca="false">+'Damage Calculations'!$N$79</f>
        <v>3547870</v>
      </c>
    </row>
    <row r="185" customFormat="false" ht="12.75" hidden="false" customHeight="false" outlineLevel="0" collapsed="false">
      <c r="A185" s="133"/>
      <c r="B185" s="134" t="n">
        <v>38383</v>
      </c>
      <c r="C185" s="135" t="n">
        <f aca="false">+'Damage Calculations'!$O$39</f>
        <v>3379550</v>
      </c>
      <c r="D185" s="135" t="n">
        <f aca="false">+'Damage Calculations'!$O$53</f>
        <v>3295413.34257914</v>
      </c>
      <c r="E185" s="135" t="n">
        <f aca="false">+'Damage Calculations'!$O$66</f>
        <v>3206888.68902083</v>
      </c>
      <c r="F185" s="136" t="n">
        <f aca="false">+'Damage Calculations'!$O$79</f>
        <v>3016610</v>
      </c>
    </row>
    <row r="186" customFormat="false" ht="12.75" hidden="false" customHeight="false" outlineLevel="0" collapsed="false">
      <c r="A186" s="133"/>
      <c r="B186" s="134" t="n">
        <v>38411</v>
      </c>
      <c r="C186" s="135" t="n">
        <f aca="false">+'Damage Calculations'!$O$39</f>
        <v>3379550</v>
      </c>
      <c r="D186" s="135" t="n">
        <f aca="false">+'Damage Calculations'!$O$53</f>
        <v>3295413.34257914</v>
      </c>
      <c r="E186" s="135" t="n">
        <f aca="false">+'Damage Calculations'!$O$66</f>
        <v>3206888.68902083</v>
      </c>
      <c r="F186" s="136" t="n">
        <f aca="false">+'Damage Calculations'!$O$79</f>
        <v>3016610</v>
      </c>
    </row>
    <row r="187" customFormat="false" ht="12.75" hidden="false" customHeight="false" outlineLevel="0" collapsed="false">
      <c r="A187" s="133"/>
      <c r="B187" s="134" t="n">
        <v>38442</v>
      </c>
      <c r="C187" s="135" t="n">
        <f aca="false">+'Damage Calculations'!$O$39</f>
        <v>3379550</v>
      </c>
      <c r="D187" s="135" t="n">
        <f aca="false">+'Damage Calculations'!$O$53</f>
        <v>3295413.34257914</v>
      </c>
      <c r="E187" s="135" t="n">
        <f aca="false">+'Damage Calculations'!$O$66</f>
        <v>3206888.68902083</v>
      </c>
      <c r="F187" s="136" t="n">
        <f aca="false">+'Damage Calculations'!$O$79</f>
        <v>3016610</v>
      </c>
    </row>
    <row r="188" customFormat="false" ht="12.75" hidden="false" customHeight="false" outlineLevel="0" collapsed="false">
      <c r="A188" s="133"/>
      <c r="B188" s="134" t="n">
        <v>38472</v>
      </c>
      <c r="C188" s="135" t="n">
        <f aca="false">+'Damage Calculations'!$O$39</f>
        <v>3379550</v>
      </c>
      <c r="D188" s="135" t="n">
        <f aca="false">+'Damage Calculations'!$O$53</f>
        <v>3295413.34257914</v>
      </c>
      <c r="E188" s="135" t="n">
        <f aca="false">+'Damage Calculations'!$O$66</f>
        <v>3206888.68902083</v>
      </c>
      <c r="F188" s="136" t="n">
        <f aca="false">+'Damage Calculations'!$O$79</f>
        <v>3016610</v>
      </c>
    </row>
    <row r="189" customFormat="false" ht="12.75" hidden="false" customHeight="false" outlineLevel="0" collapsed="false">
      <c r="A189" s="133"/>
      <c r="B189" s="134" t="n">
        <v>38503</v>
      </c>
      <c r="C189" s="135" t="n">
        <f aca="false">+'Damage Calculations'!$O$39</f>
        <v>3379550</v>
      </c>
      <c r="D189" s="135" t="n">
        <f aca="false">+'Damage Calculations'!$O$53</f>
        <v>3295413.34257914</v>
      </c>
      <c r="E189" s="135" t="n">
        <f aca="false">+'Damage Calculations'!$O$66</f>
        <v>3206888.68902083</v>
      </c>
      <c r="F189" s="136" t="n">
        <f aca="false">+'Damage Calculations'!$O$79</f>
        <v>3016610</v>
      </c>
    </row>
    <row r="190" customFormat="false" ht="12.75" hidden="false" customHeight="false" outlineLevel="0" collapsed="false">
      <c r="A190" s="133"/>
      <c r="B190" s="134" t="n">
        <v>38533</v>
      </c>
      <c r="C190" s="135" t="n">
        <f aca="false">+'Damage Calculations'!$O$39</f>
        <v>3379550</v>
      </c>
      <c r="D190" s="135" t="n">
        <f aca="false">+'Damage Calculations'!$O$53</f>
        <v>3295413.34257914</v>
      </c>
      <c r="E190" s="135" t="n">
        <f aca="false">+'Damage Calculations'!$O$66</f>
        <v>3206888.68902083</v>
      </c>
      <c r="F190" s="136" t="n">
        <f aca="false">+'Damage Calculations'!$O$79</f>
        <v>3016610</v>
      </c>
    </row>
    <row r="191" customFormat="false" ht="12.75" hidden="false" customHeight="false" outlineLevel="0" collapsed="false">
      <c r="A191" s="133"/>
      <c r="B191" s="134" t="n">
        <v>38564</v>
      </c>
      <c r="C191" s="135" t="n">
        <f aca="false">+'Damage Calculations'!$O$39</f>
        <v>3379550</v>
      </c>
      <c r="D191" s="135" t="n">
        <f aca="false">+'Damage Calculations'!$O$53</f>
        <v>3295413.34257914</v>
      </c>
      <c r="E191" s="135" t="n">
        <f aca="false">+'Damage Calculations'!$O$66</f>
        <v>3206888.68902083</v>
      </c>
      <c r="F191" s="136" t="n">
        <f aca="false">+'Damage Calculations'!$O$79</f>
        <v>3016610</v>
      </c>
    </row>
    <row r="192" customFormat="false" ht="12.75" hidden="false" customHeight="false" outlineLevel="0" collapsed="false">
      <c r="A192" s="133"/>
      <c r="B192" s="134" t="n">
        <v>38595</v>
      </c>
      <c r="C192" s="135" t="n">
        <f aca="false">+'Damage Calculations'!$O$39</f>
        <v>3379550</v>
      </c>
      <c r="D192" s="135" t="n">
        <f aca="false">+'Damage Calculations'!$O$53</f>
        <v>3295413.34257914</v>
      </c>
      <c r="E192" s="135" t="n">
        <f aca="false">+'Damage Calculations'!$O$66</f>
        <v>3206888.68902083</v>
      </c>
      <c r="F192" s="136" t="n">
        <f aca="false">+'Damage Calculations'!$O$79</f>
        <v>3016610</v>
      </c>
    </row>
    <row r="193" customFormat="false" ht="12.75" hidden="false" customHeight="false" outlineLevel="0" collapsed="false">
      <c r="A193" s="133"/>
      <c r="B193" s="134" t="n">
        <v>38625</v>
      </c>
      <c r="C193" s="135" t="n">
        <f aca="false">+'Damage Calculations'!$O$39</f>
        <v>3379550</v>
      </c>
      <c r="D193" s="135" t="n">
        <f aca="false">+'Damage Calculations'!$O$53</f>
        <v>3295413.34257914</v>
      </c>
      <c r="E193" s="135" t="n">
        <f aca="false">+'Damage Calculations'!$O$66</f>
        <v>3206888.68902083</v>
      </c>
      <c r="F193" s="136" t="n">
        <f aca="false">+'Damage Calculations'!$O$79</f>
        <v>3016610</v>
      </c>
    </row>
    <row r="194" customFormat="false" ht="12.75" hidden="false" customHeight="false" outlineLevel="0" collapsed="false">
      <c r="A194" s="133"/>
      <c r="B194" s="134" t="n">
        <v>38656</v>
      </c>
      <c r="C194" s="135" t="n">
        <f aca="false">+'Damage Calculations'!$O$39</f>
        <v>3379550</v>
      </c>
      <c r="D194" s="135" t="n">
        <f aca="false">+'Damage Calculations'!$O$53</f>
        <v>3295413.34257914</v>
      </c>
      <c r="E194" s="135" t="n">
        <f aca="false">+'Damage Calculations'!$O$66</f>
        <v>3206888.68902083</v>
      </c>
      <c r="F194" s="136" t="n">
        <f aca="false">+'Damage Calculations'!$O$79</f>
        <v>3016610</v>
      </c>
    </row>
    <row r="195" customFormat="false" ht="12.75" hidden="false" customHeight="false" outlineLevel="0" collapsed="false">
      <c r="A195" s="133"/>
      <c r="B195" s="134" t="n">
        <v>38686</v>
      </c>
      <c r="C195" s="135" t="n">
        <f aca="false">+'Damage Calculations'!$O$39</f>
        <v>3379550</v>
      </c>
      <c r="D195" s="135" t="n">
        <f aca="false">+'Damage Calculations'!$O$53</f>
        <v>3295413.34257914</v>
      </c>
      <c r="E195" s="135" t="n">
        <f aca="false">+'Damage Calculations'!$O$66</f>
        <v>3206888.68902083</v>
      </c>
      <c r="F195" s="136" t="n">
        <f aca="false">+'Damage Calculations'!$O$79</f>
        <v>3016610</v>
      </c>
    </row>
    <row r="196" customFormat="false" ht="12.75" hidden="false" customHeight="false" outlineLevel="0" collapsed="false">
      <c r="A196" s="133"/>
      <c r="B196" s="134" t="n">
        <v>38717</v>
      </c>
      <c r="C196" s="135" t="n">
        <f aca="false">+'Damage Calculations'!$O$39</f>
        <v>3379550</v>
      </c>
      <c r="D196" s="135" t="n">
        <f aca="false">+'Damage Calculations'!$O$53</f>
        <v>3295413.34257914</v>
      </c>
      <c r="E196" s="135" t="n">
        <f aca="false">+'Damage Calculations'!$O$66</f>
        <v>3206888.68902083</v>
      </c>
      <c r="F196" s="136" t="n">
        <f aca="false">+'Damage Calculations'!$O$79</f>
        <v>3016610</v>
      </c>
    </row>
    <row r="197" customFormat="false" ht="12.75" hidden="false" customHeight="false" outlineLevel="0" collapsed="false">
      <c r="A197" s="133"/>
      <c r="B197" s="134" t="n">
        <v>38748</v>
      </c>
      <c r="C197" s="135" t="n">
        <f aca="false">+'Damage Calculations'!$P$39</f>
        <v>3795090</v>
      </c>
      <c r="D197" s="135" t="n">
        <f aca="false">+'Damage Calculations'!$P$53</f>
        <v>3684609.63268342</v>
      </c>
      <c r="E197" s="135" t="n">
        <f aca="false">+'Damage Calculations'!$P$66</f>
        <v>3598963.35897917</v>
      </c>
      <c r="F197" s="136" t="n">
        <f aca="false">+'Damage Calculations'!$P$79</f>
        <v>3413740</v>
      </c>
    </row>
    <row r="198" customFormat="false" ht="12.75" hidden="false" customHeight="false" outlineLevel="0" collapsed="false">
      <c r="A198" s="133"/>
      <c r="B198" s="134" t="n">
        <v>38776</v>
      </c>
      <c r="C198" s="135" t="n">
        <f aca="false">+'Damage Calculations'!$P$39</f>
        <v>3795090</v>
      </c>
      <c r="D198" s="135" t="n">
        <f aca="false">+'Damage Calculations'!$P$53</f>
        <v>3684609.63268342</v>
      </c>
      <c r="E198" s="135" t="n">
        <f aca="false">+'Damage Calculations'!$P$66</f>
        <v>3598963.35897917</v>
      </c>
      <c r="F198" s="136" t="n">
        <f aca="false">+'Damage Calculations'!$P$79</f>
        <v>3413740</v>
      </c>
    </row>
    <row r="199" customFormat="false" ht="12.75" hidden="false" customHeight="false" outlineLevel="0" collapsed="false">
      <c r="A199" s="133"/>
      <c r="B199" s="134" t="n">
        <v>38807</v>
      </c>
      <c r="C199" s="135" t="n">
        <f aca="false">+'Damage Calculations'!$P$39</f>
        <v>3795090</v>
      </c>
      <c r="D199" s="135" t="n">
        <f aca="false">+'Damage Calculations'!$P$53</f>
        <v>3684609.63268342</v>
      </c>
      <c r="E199" s="135" t="n">
        <f aca="false">+'Damage Calculations'!$P$66</f>
        <v>3598963.35897917</v>
      </c>
      <c r="F199" s="136" t="n">
        <f aca="false">+'Damage Calculations'!$P$79</f>
        <v>3413740</v>
      </c>
    </row>
    <row r="200" customFormat="false" ht="12.75" hidden="false" customHeight="false" outlineLevel="0" collapsed="false">
      <c r="A200" s="133"/>
      <c r="B200" s="134" t="n">
        <v>38837</v>
      </c>
      <c r="C200" s="135" t="n">
        <f aca="false">+'Damage Calculations'!$P$39</f>
        <v>3795090</v>
      </c>
      <c r="D200" s="135" t="n">
        <f aca="false">+'Damage Calculations'!$P$53</f>
        <v>3684609.63268342</v>
      </c>
      <c r="E200" s="135" t="n">
        <f aca="false">+'Damage Calculations'!$P$66</f>
        <v>3598963.35897917</v>
      </c>
      <c r="F200" s="136" t="n">
        <f aca="false">+'Damage Calculations'!$P$79</f>
        <v>3413740</v>
      </c>
    </row>
    <row r="201" customFormat="false" ht="12.75" hidden="false" customHeight="false" outlineLevel="0" collapsed="false">
      <c r="A201" s="133"/>
      <c r="B201" s="134" t="n">
        <v>38868</v>
      </c>
      <c r="C201" s="135" t="n">
        <f aca="false">+'Damage Calculations'!$P$39</f>
        <v>3795090</v>
      </c>
      <c r="D201" s="135" t="n">
        <f aca="false">+'Damage Calculations'!$P$53</f>
        <v>3684609.63268342</v>
      </c>
      <c r="E201" s="135" t="n">
        <f aca="false">+'Damage Calculations'!$P$66</f>
        <v>3598963.35897917</v>
      </c>
      <c r="F201" s="136" t="n">
        <f aca="false">+'Damage Calculations'!$P$79</f>
        <v>3413740</v>
      </c>
    </row>
    <row r="202" customFormat="false" ht="12.75" hidden="false" customHeight="false" outlineLevel="0" collapsed="false">
      <c r="A202" s="133"/>
      <c r="B202" s="134" t="n">
        <v>38898</v>
      </c>
      <c r="C202" s="135" t="n">
        <f aca="false">+'Damage Calculations'!$P$39</f>
        <v>3795090</v>
      </c>
      <c r="D202" s="135" t="n">
        <f aca="false">+'Damage Calculations'!$P$53</f>
        <v>3684609.63268342</v>
      </c>
      <c r="E202" s="135" t="n">
        <f aca="false">+'Damage Calculations'!$P$66</f>
        <v>3598963.35897917</v>
      </c>
      <c r="F202" s="136" t="n">
        <f aca="false">+'Damage Calculations'!$P$79</f>
        <v>3413740</v>
      </c>
    </row>
    <row r="203" customFormat="false" ht="12.75" hidden="false" customHeight="false" outlineLevel="0" collapsed="false">
      <c r="A203" s="133"/>
      <c r="B203" s="134" t="n">
        <v>38929</v>
      </c>
      <c r="C203" s="135" t="n">
        <f aca="false">+'Damage Calculations'!$P$39</f>
        <v>3795090</v>
      </c>
      <c r="D203" s="135" t="n">
        <f aca="false">+'Damage Calculations'!$P$53</f>
        <v>3684609.63268342</v>
      </c>
      <c r="E203" s="135" t="n">
        <f aca="false">+'Damage Calculations'!$P$66</f>
        <v>3598963.35897917</v>
      </c>
      <c r="F203" s="136" t="n">
        <f aca="false">+'Damage Calculations'!$P$79</f>
        <v>3413740</v>
      </c>
    </row>
    <row r="204" customFormat="false" ht="12.75" hidden="false" customHeight="false" outlineLevel="0" collapsed="false">
      <c r="A204" s="133"/>
      <c r="B204" s="134" t="n">
        <v>38960</v>
      </c>
      <c r="C204" s="135" t="n">
        <f aca="false">+'Damage Calculations'!$P$39</f>
        <v>3795090</v>
      </c>
      <c r="D204" s="135" t="n">
        <f aca="false">+'Damage Calculations'!$P$53</f>
        <v>3684609.63268342</v>
      </c>
      <c r="E204" s="135" t="n">
        <f aca="false">+'Damage Calculations'!$P$66</f>
        <v>3598963.35897917</v>
      </c>
      <c r="F204" s="136" t="n">
        <f aca="false">+'Damage Calculations'!$P$79</f>
        <v>3413740</v>
      </c>
    </row>
    <row r="205" customFormat="false" ht="12.75" hidden="false" customHeight="false" outlineLevel="0" collapsed="false">
      <c r="A205" s="133"/>
      <c r="B205" s="134" t="n">
        <v>38990</v>
      </c>
      <c r="C205" s="135" t="n">
        <f aca="false">+'Damage Calculations'!$P$39</f>
        <v>3795090</v>
      </c>
      <c r="D205" s="135" t="n">
        <f aca="false">+'Damage Calculations'!$P$53</f>
        <v>3684609.63268342</v>
      </c>
      <c r="E205" s="135" t="n">
        <f aca="false">+'Damage Calculations'!$P$66</f>
        <v>3598963.35897917</v>
      </c>
      <c r="F205" s="136" t="n">
        <f aca="false">+'Damage Calculations'!$P$79</f>
        <v>3413740</v>
      </c>
    </row>
    <row r="206" customFormat="false" ht="12.75" hidden="false" customHeight="false" outlineLevel="0" collapsed="false">
      <c r="A206" s="133"/>
      <c r="B206" s="134" t="n">
        <v>39021</v>
      </c>
      <c r="C206" s="135" t="n">
        <f aca="false">+'Damage Calculations'!$P$39</f>
        <v>3795090</v>
      </c>
      <c r="D206" s="135" t="n">
        <f aca="false">+'Damage Calculations'!$P$53</f>
        <v>3684609.63268342</v>
      </c>
      <c r="E206" s="135" t="n">
        <f aca="false">+'Damage Calculations'!$P$66</f>
        <v>3598963.35897917</v>
      </c>
      <c r="F206" s="136" t="n">
        <f aca="false">+'Damage Calculations'!$P$79</f>
        <v>3413740</v>
      </c>
    </row>
    <row r="207" customFormat="false" ht="12.75" hidden="false" customHeight="false" outlineLevel="0" collapsed="false">
      <c r="A207" s="133"/>
      <c r="B207" s="134" t="n">
        <v>39051</v>
      </c>
      <c r="C207" s="135" t="n">
        <f aca="false">+'Damage Calculations'!$P$39</f>
        <v>3795090</v>
      </c>
      <c r="D207" s="135" t="n">
        <f aca="false">+'Damage Calculations'!$P$53</f>
        <v>3684609.63268342</v>
      </c>
      <c r="E207" s="135" t="n">
        <f aca="false">+'Damage Calculations'!$P$66</f>
        <v>3598963.35897917</v>
      </c>
      <c r="F207" s="136" t="n">
        <f aca="false">+'Damage Calculations'!$P$79</f>
        <v>3413740</v>
      </c>
    </row>
    <row r="208" customFormat="false" ht="12.75" hidden="false" customHeight="false" outlineLevel="0" collapsed="false">
      <c r="A208" s="133"/>
      <c r="B208" s="134" t="n">
        <v>39082</v>
      </c>
      <c r="C208" s="135" t="n">
        <f aca="false">+'Damage Calculations'!$P$39</f>
        <v>3795090</v>
      </c>
      <c r="D208" s="135" t="n">
        <f aca="false">+'Damage Calculations'!$P$53</f>
        <v>3684609.63268342</v>
      </c>
      <c r="E208" s="135" t="n">
        <f aca="false">+'Damage Calculations'!$P$66</f>
        <v>3598963.35897917</v>
      </c>
      <c r="F208" s="136" t="n">
        <f aca="false">+'Damage Calculations'!$P$79</f>
        <v>3413740</v>
      </c>
    </row>
    <row r="209" customFormat="false" ht="12.75" hidden="false" customHeight="false" outlineLevel="0" collapsed="false">
      <c r="A209" s="133"/>
      <c r="B209" s="134" t="n">
        <v>39113</v>
      </c>
      <c r="C209" s="135" t="n">
        <f aca="false">+'Damage Calculations'!$Q$39</f>
        <v>3784570</v>
      </c>
      <c r="D209" s="135" t="n">
        <f aca="false">+'Damage Calculations'!$Q$53</f>
        <v>4042929.13749387</v>
      </c>
      <c r="E209" s="135" t="n">
        <f aca="false">+'Damage Calculations'!$Q$66</f>
        <v>3961821.71859917</v>
      </c>
      <c r="F209" s="136" t="n">
        <f aca="false">+'Damage Calculations'!$Q$79</f>
        <v>3784570</v>
      </c>
    </row>
    <row r="210" customFormat="false" ht="12.75" hidden="false" customHeight="false" outlineLevel="0" collapsed="false">
      <c r="A210" s="133"/>
      <c r="B210" s="134" t="n">
        <v>39141</v>
      </c>
      <c r="C210" s="135" t="n">
        <f aca="false">+'Damage Calculations'!$Q$39</f>
        <v>3784570</v>
      </c>
      <c r="D210" s="135" t="n">
        <f aca="false">+'Damage Calculations'!$Q$53</f>
        <v>4042929.13749387</v>
      </c>
      <c r="E210" s="135" t="n">
        <f aca="false">+'Damage Calculations'!$Q$66</f>
        <v>3961821.71859917</v>
      </c>
      <c r="F210" s="136" t="n">
        <f aca="false">+'Damage Calculations'!$Q$79</f>
        <v>3784570</v>
      </c>
    </row>
    <row r="211" customFormat="false" ht="12.75" hidden="false" customHeight="false" outlineLevel="0" collapsed="false">
      <c r="A211" s="133"/>
      <c r="B211" s="134" t="n">
        <v>39172</v>
      </c>
      <c r="C211" s="135" t="n">
        <f aca="false">+'Damage Calculations'!$Q$39</f>
        <v>3784570</v>
      </c>
      <c r="D211" s="135" t="n">
        <f aca="false">+'Damage Calculations'!$Q$53</f>
        <v>4042929.13749387</v>
      </c>
      <c r="E211" s="135" t="n">
        <f aca="false">+'Damage Calculations'!$Q$66</f>
        <v>3961821.71859917</v>
      </c>
      <c r="F211" s="136" t="n">
        <f aca="false">+'Damage Calculations'!$Q$79</f>
        <v>3784570</v>
      </c>
    </row>
    <row r="212" customFormat="false" ht="12.75" hidden="false" customHeight="false" outlineLevel="0" collapsed="false">
      <c r="A212" s="133"/>
      <c r="B212" s="134" t="n">
        <v>39202</v>
      </c>
      <c r="C212" s="135" t="n">
        <f aca="false">+'Damage Calculations'!$Q$39</f>
        <v>3784570</v>
      </c>
      <c r="D212" s="135" t="n">
        <f aca="false">+'Damage Calculations'!$Q$53</f>
        <v>4042929.13749387</v>
      </c>
      <c r="E212" s="135" t="n">
        <f aca="false">+'Damage Calculations'!$Q$66</f>
        <v>3961821.71859917</v>
      </c>
      <c r="F212" s="136" t="n">
        <f aca="false">+'Damage Calculations'!$Q$79</f>
        <v>3784570</v>
      </c>
    </row>
    <row r="213" customFormat="false" ht="12.75" hidden="false" customHeight="false" outlineLevel="0" collapsed="false">
      <c r="A213" s="133"/>
      <c r="B213" s="134" t="n">
        <v>39233</v>
      </c>
      <c r="C213" s="135" t="n">
        <f aca="false">+'Damage Calculations'!$Q$39</f>
        <v>3784570</v>
      </c>
      <c r="D213" s="135" t="n">
        <f aca="false">+'Damage Calculations'!$Q$53</f>
        <v>4042929.13749387</v>
      </c>
      <c r="E213" s="135" t="n">
        <f aca="false">+'Damage Calculations'!$Q$66</f>
        <v>3961821.71859917</v>
      </c>
      <c r="F213" s="136" t="n">
        <f aca="false">+'Damage Calculations'!$Q$79</f>
        <v>3784570</v>
      </c>
    </row>
    <row r="214" customFormat="false" ht="12.75" hidden="false" customHeight="false" outlineLevel="0" collapsed="false">
      <c r="A214" s="133"/>
      <c r="B214" s="134" t="n">
        <v>39263</v>
      </c>
      <c r="C214" s="135" t="n">
        <f aca="false">+'Damage Calculations'!$Q$39</f>
        <v>3784570</v>
      </c>
      <c r="D214" s="135" t="n">
        <f aca="false">+'Damage Calculations'!$Q$53</f>
        <v>4042929.13749387</v>
      </c>
      <c r="E214" s="135" t="n">
        <f aca="false">+'Damage Calculations'!$Q$66</f>
        <v>3961821.71859917</v>
      </c>
      <c r="F214" s="136" t="n">
        <f aca="false">+'Damage Calculations'!$Q$79</f>
        <v>3784570</v>
      </c>
    </row>
    <row r="215" customFormat="false" ht="12.75" hidden="false" customHeight="false" outlineLevel="0" collapsed="false">
      <c r="A215" s="133"/>
      <c r="B215" s="134" t="n">
        <v>39294</v>
      </c>
      <c r="C215" s="135" t="n">
        <f aca="false">+'Damage Calculations'!$Q$39</f>
        <v>3784570</v>
      </c>
      <c r="D215" s="135" t="n">
        <f aca="false">+'Damage Calculations'!$Q$53</f>
        <v>4042929.13749387</v>
      </c>
      <c r="E215" s="135" t="n">
        <f aca="false">+'Damage Calculations'!$Q$66</f>
        <v>3961821.71859917</v>
      </c>
      <c r="F215" s="136" t="n">
        <f aca="false">+'Damage Calculations'!$Q$79</f>
        <v>3784570</v>
      </c>
    </row>
    <row r="216" customFormat="false" ht="12.75" hidden="false" customHeight="false" outlineLevel="0" collapsed="false">
      <c r="A216" s="133"/>
      <c r="B216" s="134" t="n">
        <v>39325</v>
      </c>
      <c r="C216" s="135" t="n">
        <f aca="false">+'Damage Calculations'!$Q$39</f>
        <v>3784570</v>
      </c>
      <c r="D216" s="135" t="n">
        <f aca="false">+'Damage Calculations'!$Q$53</f>
        <v>4042929.13749387</v>
      </c>
      <c r="E216" s="135" t="n">
        <f aca="false">+'Damage Calculations'!$Q$66</f>
        <v>3961821.71859917</v>
      </c>
      <c r="F216" s="136" t="n">
        <f aca="false">+'Damage Calculations'!$Q$79</f>
        <v>3784570</v>
      </c>
    </row>
    <row r="217" customFormat="false" ht="12.75" hidden="false" customHeight="false" outlineLevel="0" collapsed="false">
      <c r="A217" s="133"/>
      <c r="B217" s="134" t="n">
        <v>39355</v>
      </c>
      <c r="C217" s="135" t="n">
        <f aca="false">+'Damage Calculations'!$Q$39</f>
        <v>3784570</v>
      </c>
      <c r="D217" s="135" t="n">
        <f aca="false">+'Damage Calculations'!$Q$53</f>
        <v>4042929.13749387</v>
      </c>
      <c r="E217" s="135" t="n">
        <f aca="false">+'Damage Calculations'!$Q$66</f>
        <v>3961821.71859917</v>
      </c>
      <c r="F217" s="136" t="n">
        <f aca="false">+'Damage Calculations'!$Q$79</f>
        <v>3784570</v>
      </c>
    </row>
    <row r="218" customFormat="false" ht="12.75" hidden="false" customHeight="false" outlineLevel="0" collapsed="false">
      <c r="A218" s="133"/>
      <c r="B218" s="134" t="n">
        <v>39386</v>
      </c>
      <c r="C218" s="135" t="n">
        <f aca="false">+'Damage Calculations'!$Q$39</f>
        <v>3784570</v>
      </c>
      <c r="D218" s="135" t="n">
        <f aca="false">+'Damage Calculations'!$Q$53</f>
        <v>4042929.13749387</v>
      </c>
      <c r="E218" s="135" t="n">
        <f aca="false">+'Damage Calculations'!$Q$66</f>
        <v>3961821.71859917</v>
      </c>
      <c r="F218" s="136" t="n">
        <f aca="false">+'Damage Calculations'!$Q$79</f>
        <v>3784570</v>
      </c>
    </row>
    <row r="219" customFormat="false" ht="12.75" hidden="false" customHeight="false" outlineLevel="0" collapsed="false">
      <c r="A219" s="133"/>
      <c r="B219" s="134" t="n">
        <v>39416</v>
      </c>
      <c r="C219" s="135" t="n">
        <f aca="false">+'Damage Calculations'!$Q$39</f>
        <v>3784570</v>
      </c>
      <c r="D219" s="135" t="n">
        <f aca="false">+'Damage Calculations'!$Q$53</f>
        <v>4042929.13749387</v>
      </c>
      <c r="E219" s="135" t="n">
        <f aca="false">+'Damage Calculations'!$Q$66</f>
        <v>3961821.71859917</v>
      </c>
      <c r="F219" s="136" t="n">
        <f aca="false">+'Damage Calculations'!$Q$79</f>
        <v>3784570</v>
      </c>
    </row>
    <row r="220" customFormat="false" ht="12.75" hidden="false" customHeight="false" outlineLevel="0" collapsed="false">
      <c r="A220" s="133"/>
      <c r="B220" s="134" t="n">
        <v>39447</v>
      </c>
      <c r="C220" s="135" t="n">
        <f aca="false">+'Damage Calculations'!$Q$39</f>
        <v>3784570</v>
      </c>
      <c r="D220" s="135" t="n">
        <f aca="false">+'Damage Calculations'!$Q$53</f>
        <v>4042929.13749387</v>
      </c>
      <c r="E220" s="135" t="n">
        <f aca="false">+'Damage Calculations'!$Q$66</f>
        <v>3961821.71859917</v>
      </c>
      <c r="F220" s="136" t="n">
        <f aca="false">+'Damage Calculations'!$Q$79</f>
        <v>3784570</v>
      </c>
    </row>
    <row r="221" customFormat="false" ht="12.75" hidden="false" customHeight="false" outlineLevel="0" collapsed="false">
      <c r="A221" s="133"/>
      <c r="B221" s="134" t="n">
        <v>39478</v>
      </c>
      <c r="C221" s="135" t="n">
        <f aca="false">+'Damage Calculations'!$R$39</f>
        <v>2019840</v>
      </c>
      <c r="D221" s="135" t="n">
        <f aca="false">+'Damage Calculations'!$R$53</f>
        <v>2257828.43598736</v>
      </c>
      <c r="E221" s="135" t="n">
        <f aca="false">+'Damage Calculations'!$R$66</f>
        <v>2184111.58438083</v>
      </c>
      <c r="F221" s="136" t="n">
        <f aca="false">+'Damage Calculations'!$R$79</f>
        <v>2019840</v>
      </c>
    </row>
    <row r="222" customFormat="false" ht="12.75" hidden="false" customHeight="false" outlineLevel="0" collapsed="false">
      <c r="A222" s="133"/>
      <c r="B222" s="134" t="n">
        <v>39507</v>
      </c>
      <c r="C222" s="135" t="n">
        <f aca="false">+'Damage Calculations'!$R$39</f>
        <v>2019840</v>
      </c>
      <c r="D222" s="135" t="n">
        <f aca="false">+'Damage Calculations'!$R$53</f>
        <v>2257828.43598736</v>
      </c>
      <c r="E222" s="135" t="n">
        <f aca="false">+'Damage Calculations'!$R$66</f>
        <v>2184111.58438083</v>
      </c>
      <c r="F222" s="136" t="n">
        <f aca="false">+'Damage Calculations'!$R$79</f>
        <v>2019840</v>
      </c>
    </row>
    <row r="223" customFormat="false" ht="12.75" hidden="false" customHeight="false" outlineLevel="0" collapsed="false">
      <c r="A223" s="133"/>
      <c r="B223" s="134" t="n">
        <v>39538</v>
      </c>
      <c r="C223" s="135" t="n">
        <f aca="false">+'Damage Calculations'!$R$39</f>
        <v>2019840</v>
      </c>
      <c r="D223" s="135" t="n">
        <f aca="false">+'Damage Calculations'!$R$53</f>
        <v>2257828.43598736</v>
      </c>
      <c r="E223" s="135" t="n">
        <f aca="false">+'Damage Calculations'!$R$66</f>
        <v>2184111.58438083</v>
      </c>
      <c r="F223" s="136" t="n">
        <f aca="false">+'Damage Calculations'!$R$79</f>
        <v>2019840</v>
      </c>
    </row>
    <row r="224" customFormat="false" ht="12.75" hidden="false" customHeight="false" outlineLevel="0" collapsed="false">
      <c r="A224" s="133"/>
      <c r="B224" s="134" t="n">
        <v>39568</v>
      </c>
      <c r="C224" s="135" t="n">
        <f aca="false">+'Damage Calculations'!$R$39</f>
        <v>2019840</v>
      </c>
      <c r="D224" s="135" t="n">
        <f aca="false">+'Damage Calculations'!$R$53</f>
        <v>2257828.43598736</v>
      </c>
      <c r="E224" s="135" t="n">
        <f aca="false">+'Damage Calculations'!$R$66</f>
        <v>2184111.58438083</v>
      </c>
      <c r="F224" s="136" t="n">
        <f aca="false">+'Damage Calculations'!$R$79</f>
        <v>2019840</v>
      </c>
    </row>
    <row r="225" customFormat="false" ht="12.75" hidden="false" customHeight="false" outlineLevel="0" collapsed="false">
      <c r="A225" s="133"/>
      <c r="B225" s="134" t="n">
        <v>39599</v>
      </c>
      <c r="C225" s="135" t="n">
        <f aca="false">+'Damage Calculations'!$R$39</f>
        <v>2019840</v>
      </c>
      <c r="D225" s="135" t="n">
        <f aca="false">+'Damage Calculations'!$R$53</f>
        <v>2257828.43598736</v>
      </c>
      <c r="E225" s="135" t="n">
        <f aca="false">+'Damage Calculations'!$R$66</f>
        <v>2184111.58438083</v>
      </c>
      <c r="F225" s="136" t="n">
        <f aca="false">+'Damage Calculations'!$R$79</f>
        <v>2019840</v>
      </c>
    </row>
    <row r="226" customFormat="false" ht="12.75" hidden="false" customHeight="false" outlineLevel="0" collapsed="false">
      <c r="A226" s="133"/>
      <c r="B226" s="134" t="n">
        <v>39629</v>
      </c>
      <c r="C226" s="135" t="n">
        <f aca="false">+'Damage Calculations'!$R$39</f>
        <v>2019840</v>
      </c>
      <c r="D226" s="135" t="n">
        <f aca="false">+'Damage Calculations'!$R$53</f>
        <v>2257828.43598736</v>
      </c>
      <c r="E226" s="135" t="n">
        <f aca="false">+'Damage Calculations'!$R$66</f>
        <v>2184111.58438083</v>
      </c>
      <c r="F226" s="136" t="n">
        <f aca="false">+'Damage Calculations'!$R$79</f>
        <v>2019840</v>
      </c>
    </row>
    <row r="227" customFormat="false" ht="12.75" hidden="false" customHeight="false" outlineLevel="0" collapsed="false">
      <c r="A227" s="133"/>
      <c r="B227" s="134" t="n">
        <v>39660</v>
      </c>
      <c r="C227" s="135" t="n">
        <f aca="false">+'Damage Calculations'!$R$39</f>
        <v>2019840</v>
      </c>
      <c r="D227" s="135" t="n">
        <f aca="false">+'Damage Calculations'!$R$53</f>
        <v>2257828.43598736</v>
      </c>
      <c r="E227" s="135" t="n">
        <f aca="false">+'Damage Calculations'!$R$66</f>
        <v>2184111.58438083</v>
      </c>
      <c r="F227" s="136" t="n">
        <f aca="false">+'Damage Calculations'!$R$79</f>
        <v>2019840</v>
      </c>
    </row>
    <row r="228" customFormat="false" ht="12.75" hidden="false" customHeight="false" outlineLevel="0" collapsed="false">
      <c r="A228" s="133"/>
      <c r="B228" s="134" t="n">
        <v>39691</v>
      </c>
      <c r="C228" s="135" t="n">
        <f aca="false">+'Damage Calculations'!$R$39</f>
        <v>2019840</v>
      </c>
      <c r="D228" s="135" t="n">
        <f aca="false">+'Damage Calculations'!$R$53</f>
        <v>2257828.43598736</v>
      </c>
      <c r="E228" s="135" t="n">
        <f aca="false">+'Damage Calculations'!$R$66</f>
        <v>2184111.58438083</v>
      </c>
      <c r="F228" s="136" t="n">
        <f aca="false">+'Damage Calculations'!$R$79</f>
        <v>2019840</v>
      </c>
    </row>
    <row r="229" customFormat="false" ht="12.75" hidden="false" customHeight="false" outlineLevel="0" collapsed="false">
      <c r="A229" s="133"/>
      <c r="B229" s="134" t="n">
        <v>39721</v>
      </c>
      <c r="C229" s="135" t="n">
        <f aca="false">+'Damage Calculations'!$R$39</f>
        <v>2019840</v>
      </c>
      <c r="D229" s="135" t="n">
        <f aca="false">+'Damage Calculations'!$R$53</f>
        <v>2257828.43598736</v>
      </c>
      <c r="E229" s="135" t="n">
        <f aca="false">+'Damage Calculations'!$R$66</f>
        <v>2184111.58438083</v>
      </c>
      <c r="F229" s="136" t="n">
        <f aca="false">+'Damage Calculations'!$R$79</f>
        <v>2019840</v>
      </c>
    </row>
    <row r="230" customFormat="false" ht="12.75" hidden="false" customHeight="false" outlineLevel="0" collapsed="false">
      <c r="A230" s="133"/>
      <c r="B230" s="134" t="n">
        <v>39752</v>
      </c>
      <c r="C230" s="135" t="n">
        <f aca="false">+'Damage Calculations'!$R$39</f>
        <v>2019840</v>
      </c>
      <c r="D230" s="135" t="n">
        <f aca="false">+'Damage Calculations'!$R$53</f>
        <v>2257828.43598736</v>
      </c>
      <c r="E230" s="135" t="n">
        <f aca="false">+'Damage Calculations'!$R$66</f>
        <v>2184111.58438083</v>
      </c>
      <c r="F230" s="136" t="n">
        <f aca="false">+'Damage Calculations'!$R$79</f>
        <v>2019840</v>
      </c>
    </row>
    <row r="231" customFormat="false" ht="12.75" hidden="false" customHeight="false" outlineLevel="0" collapsed="false">
      <c r="A231" s="133"/>
      <c r="B231" s="134" t="n">
        <v>39782</v>
      </c>
      <c r="C231" s="135" t="n">
        <f aca="false">+'Damage Calculations'!$R$39</f>
        <v>2019840</v>
      </c>
      <c r="D231" s="135" t="n">
        <f aca="false">+'Damage Calculations'!$R$53</f>
        <v>2257828.43598736</v>
      </c>
      <c r="E231" s="135" t="n">
        <f aca="false">+'Damage Calculations'!$R$66</f>
        <v>2184111.58438083</v>
      </c>
      <c r="F231" s="136" t="n">
        <f aca="false">+'Damage Calculations'!$R$79</f>
        <v>2019840</v>
      </c>
    </row>
    <row r="232" customFormat="false" ht="12.75" hidden="false" customHeight="false" outlineLevel="0" collapsed="false">
      <c r="A232" s="133"/>
      <c r="B232" s="134" t="n">
        <v>39813</v>
      </c>
      <c r="C232" s="135" t="n">
        <f aca="false">+'Damage Calculations'!$R$39</f>
        <v>2019840</v>
      </c>
      <c r="D232" s="135" t="n">
        <f aca="false">+'Damage Calculations'!$R$53</f>
        <v>2257828.43598736</v>
      </c>
      <c r="E232" s="135" t="n">
        <f aca="false">+'Damage Calculations'!$R$66</f>
        <v>2184111.58438083</v>
      </c>
      <c r="F232" s="136" t="n">
        <f aca="false">+'Damage Calculations'!$R$79</f>
        <v>2019840</v>
      </c>
    </row>
    <row r="233" customFormat="false" ht="12.75" hidden="false" customHeight="false" outlineLevel="0" collapsed="false">
      <c r="A233" s="133"/>
      <c r="B233" s="134" t="n">
        <v>39844</v>
      </c>
      <c r="C233" s="135" t="n">
        <f aca="false">+'Damage Calculations'!$S$39</f>
        <v>4034420</v>
      </c>
      <c r="D233" s="135" t="n">
        <f aca="false">+'Damage Calculations'!$S$53</f>
        <v>4250592.49056354</v>
      </c>
      <c r="E233" s="135" t="n">
        <f aca="false">+'Damage Calculations'!$S$66</f>
        <v>4184790.54618583</v>
      </c>
      <c r="F233" s="136" t="n">
        <f aca="false">+'Damage Calculations'!$S$79</f>
        <v>4034420</v>
      </c>
    </row>
    <row r="234" customFormat="false" ht="12.75" hidden="false" customHeight="false" outlineLevel="0" collapsed="false">
      <c r="A234" s="133"/>
      <c r="B234" s="134" t="n">
        <v>39872</v>
      </c>
      <c r="C234" s="135" t="n">
        <f aca="false">+'Damage Calculations'!$S$39</f>
        <v>4034420</v>
      </c>
      <c r="D234" s="135" t="n">
        <f aca="false">+'Damage Calculations'!$S$53</f>
        <v>4250592.49056354</v>
      </c>
      <c r="E234" s="135" t="n">
        <f aca="false">+'Damage Calculations'!$S$66</f>
        <v>4184790.54618583</v>
      </c>
      <c r="F234" s="136" t="n">
        <f aca="false">+'Damage Calculations'!$S$79</f>
        <v>4034420</v>
      </c>
    </row>
    <row r="235" customFormat="false" ht="12.75" hidden="false" customHeight="false" outlineLevel="0" collapsed="false">
      <c r="A235" s="133"/>
      <c r="B235" s="134" t="n">
        <v>39903</v>
      </c>
      <c r="C235" s="135" t="n">
        <f aca="false">+'Damage Calculations'!$S$39</f>
        <v>4034420</v>
      </c>
      <c r="D235" s="135" t="n">
        <f aca="false">+'Damage Calculations'!$S$53</f>
        <v>4250592.49056354</v>
      </c>
      <c r="E235" s="135" t="n">
        <f aca="false">+'Damage Calculations'!$S$66</f>
        <v>4184790.54618583</v>
      </c>
      <c r="F235" s="136" t="n">
        <f aca="false">+'Damage Calculations'!$S$79</f>
        <v>4034420</v>
      </c>
    </row>
    <row r="236" customFormat="false" ht="12.75" hidden="false" customHeight="false" outlineLevel="0" collapsed="false">
      <c r="A236" s="133"/>
      <c r="B236" s="134" t="n">
        <v>39933</v>
      </c>
      <c r="C236" s="135" t="n">
        <f aca="false">+'Damage Calculations'!$S$39</f>
        <v>4034420</v>
      </c>
      <c r="D236" s="135" t="n">
        <f aca="false">+'Damage Calculations'!$S$53</f>
        <v>4250592.49056354</v>
      </c>
      <c r="E236" s="135" t="n">
        <f aca="false">+'Damage Calculations'!$S$66</f>
        <v>4184790.54618583</v>
      </c>
      <c r="F236" s="136" t="n">
        <f aca="false">+'Damage Calculations'!$S$79</f>
        <v>4034420</v>
      </c>
    </row>
    <row r="237" customFormat="false" ht="12.75" hidden="false" customHeight="false" outlineLevel="0" collapsed="false">
      <c r="A237" s="133"/>
      <c r="B237" s="134" t="n">
        <v>39964</v>
      </c>
      <c r="C237" s="135" t="n">
        <f aca="false">+'Damage Calculations'!$S$39</f>
        <v>4034420</v>
      </c>
      <c r="D237" s="135" t="n">
        <f aca="false">+'Damage Calculations'!$S$53</f>
        <v>4250592.49056354</v>
      </c>
      <c r="E237" s="135" t="n">
        <f aca="false">+'Damage Calculations'!$S$66</f>
        <v>4184790.54618583</v>
      </c>
      <c r="F237" s="136" t="n">
        <f aca="false">+'Damage Calculations'!$S$79</f>
        <v>4034420</v>
      </c>
    </row>
    <row r="238" customFormat="false" ht="12.75" hidden="false" customHeight="false" outlineLevel="0" collapsed="false">
      <c r="A238" s="133"/>
      <c r="B238" s="134" t="n">
        <v>39994</v>
      </c>
      <c r="C238" s="135" t="n">
        <f aca="false">+'Damage Calculations'!$S$39</f>
        <v>4034420</v>
      </c>
      <c r="D238" s="135" t="n">
        <f aca="false">+'Damage Calculations'!$S$53</f>
        <v>4250592.49056354</v>
      </c>
      <c r="E238" s="135" t="n">
        <f aca="false">+'Damage Calculations'!$S$66</f>
        <v>4184790.54618583</v>
      </c>
      <c r="F238" s="136" t="n">
        <f aca="false">+'Damage Calculations'!$S$79</f>
        <v>4034420</v>
      </c>
    </row>
    <row r="239" customFormat="false" ht="12.75" hidden="false" customHeight="false" outlineLevel="0" collapsed="false">
      <c r="A239" s="133"/>
      <c r="B239" s="134" t="n">
        <v>40025</v>
      </c>
      <c r="C239" s="135" t="n">
        <f aca="false">+'Damage Calculations'!$S$39</f>
        <v>4034420</v>
      </c>
      <c r="D239" s="135" t="n">
        <f aca="false">+'Damage Calculations'!$S$53</f>
        <v>4250592.49056354</v>
      </c>
      <c r="E239" s="135" t="n">
        <f aca="false">+'Damage Calculations'!$S$66</f>
        <v>4184790.54618583</v>
      </c>
      <c r="F239" s="136" t="n">
        <f aca="false">+'Damage Calculations'!$S$79</f>
        <v>4034420</v>
      </c>
    </row>
    <row r="240" customFormat="false" ht="12.75" hidden="false" customHeight="false" outlineLevel="0" collapsed="false">
      <c r="A240" s="133"/>
      <c r="B240" s="134" t="n">
        <v>40056</v>
      </c>
      <c r="C240" s="135" t="n">
        <f aca="false">+'Damage Calculations'!$S$39</f>
        <v>4034420</v>
      </c>
      <c r="D240" s="135" t="n">
        <f aca="false">+'Damage Calculations'!$S$53</f>
        <v>4250592.49056354</v>
      </c>
      <c r="E240" s="135" t="n">
        <f aca="false">+'Damage Calculations'!$S$66</f>
        <v>4184790.54618583</v>
      </c>
      <c r="F240" s="136" t="n">
        <f aca="false">+'Damage Calculations'!$S$79</f>
        <v>4034420</v>
      </c>
    </row>
    <row r="241" customFormat="false" ht="12.75" hidden="false" customHeight="false" outlineLevel="0" collapsed="false">
      <c r="A241" s="133"/>
      <c r="B241" s="134" t="n">
        <v>40086</v>
      </c>
      <c r="C241" s="135" t="n">
        <f aca="false">+'Damage Calculations'!$S$39</f>
        <v>4034420</v>
      </c>
      <c r="D241" s="135" t="n">
        <f aca="false">+'Damage Calculations'!$S$53</f>
        <v>4250592.49056354</v>
      </c>
      <c r="E241" s="135" t="n">
        <f aca="false">+'Damage Calculations'!$S$66</f>
        <v>4184790.54618583</v>
      </c>
      <c r="F241" s="136" t="n">
        <f aca="false">+'Damage Calculations'!$S$79</f>
        <v>4034420</v>
      </c>
    </row>
    <row r="242" customFormat="false" ht="12.75" hidden="false" customHeight="false" outlineLevel="0" collapsed="false">
      <c r="A242" s="133"/>
      <c r="B242" s="134" t="n">
        <v>40117</v>
      </c>
      <c r="C242" s="135" t="n">
        <f aca="false">+'Damage Calculations'!$S$39</f>
        <v>4034420</v>
      </c>
      <c r="D242" s="135" t="n">
        <f aca="false">+'Damage Calculations'!$S$53</f>
        <v>4250592.49056354</v>
      </c>
      <c r="E242" s="135" t="n">
        <f aca="false">+'Damage Calculations'!$S$66</f>
        <v>4184790.54618583</v>
      </c>
      <c r="F242" s="136" t="n">
        <f aca="false">+'Damage Calculations'!$S$79</f>
        <v>4034420</v>
      </c>
    </row>
    <row r="243" customFormat="false" ht="12.75" hidden="false" customHeight="false" outlineLevel="0" collapsed="false">
      <c r="A243" s="133"/>
      <c r="B243" s="134" t="n">
        <v>40147</v>
      </c>
      <c r="C243" s="135" t="n">
        <f aca="false">+'Damage Calculations'!$S$39</f>
        <v>4034420</v>
      </c>
      <c r="D243" s="135" t="n">
        <f aca="false">+'Damage Calculations'!$S$53</f>
        <v>4250592.49056354</v>
      </c>
      <c r="E243" s="135" t="n">
        <f aca="false">+'Damage Calculations'!$S$66</f>
        <v>4184790.54618583</v>
      </c>
      <c r="F243" s="136" t="n">
        <f aca="false">+'Damage Calculations'!$S$79</f>
        <v>4034420</v>
      </c>
    </row>
    <row r="244" customFormat="false" ht="12.75" hidden="false" customHeight="false" outlineLevel="0" collapsed="false">
      <c r="A244" s="133"/>
      <c r="B244" s="134" t="n">
        <v>40178</v>
      </c>
      <c r="C244" s="135" t="n">
        <f aca="false">+'Damage Calculations'!$S$39</f>
        <v>4034420</v>
      </c>
      <c r="D244" s="135" t="n">
        <f aca="false">+'Damage Calculations'!$S$53</f>
        <v>4250592.49056354</v>
      </c>
      <c r="E244" s="135" t="n">
        <f aca="false">+'Damage Calculations'!$S$66</f>
        <v>4184790.54618583</v>
      </c>
      <c r="F244" s="136" t="n">
        <f aca="false">+'Damage Calculations'!$S$79</f>
        <v>4034420</v>
      </c>
    </row>
    <row r="245" customFormat="false" ht="12.75" hidden="false" customHeight="false" outlineLevel="0" collapsed="false">
      <c r="A245" s="133"/>
      <c r="B245" s="134" t="n">
        <v>40209</v>
      </c>
      <c r="C245" s="135" t="n">
        <f aca="false">+'Damage Calculations'!$T$39</f>
        <v>4147510</v>
      </c>
      <c r="D245" s="135" t="n">
        <f aca="false">+'Damage Calculations'!$T$53</f>
        <v>4341663.34520631</v>
      </c>
      <c r="E245" s="135" t="n">
        <f aca="false">+'Damage Calculations'!$T$66</f>
        <v>4283850.02975917</v>
      </c>
      <c r="F245" s="136" t="n">
        <f aca="false">+'Damage Calculations'!$T$79</f>
        <v>4147510</v>
      </c>
    </row>
    <row r="246" customFormat="false" ht="12.75" hidden="false" customHeight="false" outlineLevel="0" collapsed="false">
      <c r="A246" s="133"/>
      <c r="B246" s="134" t="n">
        <v>40237</v>
      </c>
      <c r="C246" s="135" t="n">
        <f aca="false">+'Damage Calculations'!$T$39</f>
        <v>4147510</v>
      </c>
      <c r="D246" s="135" t="n">
        <f aca="false">+'Damage Calculations'!$T$53</f>
        <v>4341663.34520631</v>
      </c>
      <c r="E246" s="135" t="n">
        <f aca="false">+'Damage Calculations'!$T$66</f>
        <v>4283850.02975917</v>
      </c>
      <c r="F246" s="136" t="n">
        <f aca="false">+'Damage Calculations'!$T$79</f>
        <v>4147510</v>
      </c>
    </row>
    <row r="247" customFormat="false" ht="12.75" hidden="false" customHeight="false" outlineLevel="0" collapsed="false">
      <c r="A247" s="133"/>
      <c r="B247" s="134" t="n">
        <v>40268</v>
      </c>
      <c r="C247" s="135" t="n">
        <f aca="false">+'Damage Calculations'!$T$39</f>
        <v>4147510</v>
      </c>
      <c r="D247" s="135" t="n">
        <f aca="false">+'Damage Calculations'!$T$53</f>
        <v>4341663.34520631</v>
      </c>
      <c r="E247" s="135" t="n">
        <f aca="false">+'Damage Calculations'!$T$66</f>
        <v>4283850.02975917</v>
      </c>
      <c r="F247" s="136" t="n">
        <f aca="false">+'Damage Calculations'!$T$79</f>
        <v>4147510</v>
      </c>
    </row>
    <row r="248" customFormat="false" ht="12.75" hidden="false" customHeight="false" outlineLevel="0" collapsed="false">
      <c r="A248" s="133"/>
      <c r="B248" s="134" t="n">
        <v>40298</v>
      </c>
      <c r="C248" s="135" t="n">
        <f aca="false">+'Damage Calculations'!$T$39</f>
        <v>4147510</v>
      </c>
      <c r="D248" s="135" t="n">
        <f aca="false">+'Damage Calculations'!$T$53</f>
        <v>4341663.34520631</v>
      </c>
      <c r="E248" s="135" t="n">
        <f aca="false">+'Damage Calculations'!$T$66</f>
        <v>4283850.02975917</v>
      </c>
      <c r="F248" s="136" t="n">
        <f aca="false">+'Damage Calculations'!$T$79</f>
        <v>4147510</v>
      </c>
    </row>
    <row r="249" customFormat="false" ht="12.75" hidden="false" customHeight="false" outlineLevel="0" collapsed="false">
      <c r="A249" s="133"/>
      <c r="B249" s="134" t="n">
        <v>40329</v>
      </c>
      <c r="C249" s="135" t="n">
        <f aca="false">+'Damage Calculations'!$T$39</f>
        <v>4147510</v>
      </c>
      <c r="D249" s="135" t="n">
        <f aca="false">+'Damage Calculations'!$T$53</f>
        <v>4341663.34520631</v>
      </c>
      <c r="E249" s="135" t="n">
        <f aca="false">+'Damage Calculations'!$T$66</f>
        <v>4283850.02975917</v>
      </c>
      <c r="F249" s="136" t="n">
        <f aca="false">+'Damage Calculations'!$T$79</f>
        <v>4147510</v>
      </c>
    </row>
    <row r="250" customFormat="false" ht="12.75" hidden="false" customHeight="false" outlineLevel="0" collapsed="false">
      <c r="A250" s="133"/>
      <c r="B250" s="134" t="n">
        <v>40359</v>
      </c>
      <c r="C250" s="135" t="n">
        <f aca="false">+'Damage Calculations'!$T$39</f>
        <v>4147510</v>
      </c>
      <c r="D250" s="135" t="n">
        <f aca="false">+'Damage Calculations'!$T$53</f>
        <v>4341663.34520631</v>
      </c>
      <c r="E250" s="135" t="n">
        <f aca="false">+'Damage Calculations'!$T$66</f>
        <v>4283850.02975917</v>
      </c>
      <c r="F250" s="136" t="n">
        <f aca="false">+'Damage Calculations'!$T$79</f>
        <v>4147510</v>
      </c>
    </row>
    <row r="251" customFormat="false" ht="12.75" hidden="false" customHeight="false" outlineLevel="0" collapsed="false">
      <c r="A251" s="133"/>
      <c r="B251" s="134" t="n">
        <v>40390</v>
      </c>
      <c r="C251" s="135" t="n">
        <f aca="false">+'Damage Calculations'!$T$39</f>
        <v>4147510</v>
      </c>
      <c r="D251" s="135" t="n">
        <f aca="false">+'Damage Calculations'!$T$53</f>
        <v>4341663.34520631</v>
      </c>
      <c r="E251" s="135" t="n">
        <f aca="false">+'Damage Calculations'!$T$66</f>
        <v>4283850.02975917</v>
      </c>
      <c r="F251" s="136" t="n">
        <f aca="false">+'Damage Calculations'!$T$79</f>
        <v>4147510</v>
      </c>
    </row>
    <row r="252" customFormat="false" ht="12.75" hidden="false" customHeight="false" outlineLevel="0" collapsed="false">
      <c r="A252" s="133"/>
      <c r="B252" s="134" t="n">
        <v>40421</v>
      </c>
      <c r="C252" s="135" t="n">
        <f aca="false">+'Damage Calculations'!$T$39</f>
        <v>4147510</v>
      </c>
      <c r="D252" s="135" t="n">
        <f aca="false">+'Damage Calculations'!$T$53</f>
        <v>4341663.34520631</v>
      </c>
      <c r="E252" s="135" t="n">
        <f aca="false">+'Damage Calculations'!$T$66</f>
        <v>4283850.02975917</v>
      </c>
      <c r="F252" s="136" t="n">
        <f aca="false">+'Damage Calculations'!$T$79</f>
        <v>4147510</v>
      </c>
    </row>
    <row r="253" customFormat="false" ht="12.75" hidden="false" customHeight="false" outlineLevel="0" collapsed="false">
      <c r="A253" s="133"/>
      <c r="B253" s="134" t="n">
        <v>40451</v>
      </c>
      <c r="C253" s="135" t="n">
        <f aca="false">+'Damage Calculations'!$T$39</f>
        <v>4147510</v>
      </c>
      <c r="D253" s="135" t="n">
        <f aca="false">+'Damage Calculations'!$T$53</f>
        <v>4341663.34520631</v>
      </c>
      <c r="E253" s="135" t="n">
        <f aca="false">+'Damage Calculations'!$T$66</f>
        <v>4283850.02975917</v>
      </c>
      <c r="F253" s="136" t="n">
        <f aca="false">+'Damage Calculations'!$T$79</f>
        <v>4147510</v>
      </c>
    </row>
    <row r="254" customFormat="false" ht="12.75" hidden="false" customHeight="false" outlineLevel="0" collapsed="false">
      <c r="A254" s="133"/>
      <c r="B254" s="134" t="n">
        <v>40482</v>
      </c>
      <c r="C254" s="135" t="n">
        <f aca="false">+'Damage Calculations'!$T$39</f>
        <v>4147510</v>
      </c>
      <c r="D254" s="135" t="n">
        <f aca="false">+'Damage Calculations'!$T$53</f>
        <v>4341663.34520631</v>
      </c>
      <c r="E254" s="135" t="n">
        <f aca="false">+'Damage Calculations'!$T$66</f>
        <v>4283850.02975917</v>
      </c>
      <c r="F254" s="136" t="n">
        <f aca="false">+'Damage Calculations'!$T$79</f>
        <v>4147510</v>
      </c>
    </row>
    <row r="255" customFormat="false" ht="12.75" hidden="false" customHeight="false" outlineLevel="0" collapsed="false">
      <c r="A255" s="133"/>
      <c r="B255" s="134" t="n">
        <v>40512</v>
      </c>
      <c r="C255" s="135" t="n">
        <f aca="false">+'Damage Calculations'!$T$39</f>
        <v>4147510</v>
      </c>
      <c r="D255" s="135" t="n">
        <f aca="false">+'Damage Calculations'!$T$53</f>
        <v>4341663.34520631</v>
      </c>
      <c r="E255" s="135" t="n">
        <f aca="false">+'Damage Calculations'!$T$66</f>
        <v>4283850.02975917</v>
      </c>
      <c r="F255" s="136" t="n">
        <f aca="false">+'Damage Calculations'!$T$79</f>
        <v>4147510</v>
      </c>
    </row>
    <row r="256" customFormat="false" ht="12.75" hidden="false" customHeight="false" outlineLevel="0" collapsed="false">
      <c r="A256" s="133"/>
      <c r="B256" s="134" t="n">
        <v>40543</v>
      </c>
      <c r="C256" s="135" t="n">
        <f aca="false">+'Damage Calculations'!$T$39</f>
        <v>4147510</v>
      </c>
      <c r="D256" s="135" t="n">
        <f aca="false">+'Damage Calculations'!$T$53</f>
        <v>4341663.34520631</v>
      </c>
      <c r="E256" s="135" t="n">
        <f aca="false">+'Damage Calculations'!$T$66</f>
        <v>4283850.02975917</v>
      </c>
      <c r="F256" s="136" t="n">
        <f aca="false">+'Damage Calculations'!$T$79</f>
        <v>4147510</v>
      </c>
    </row>
    <row r="257" customFormat="false" ht="12.75" hidden="false" customHeight="false" outlineLevel="0" collapsed="false">
      <c r="A257" s="133"/>
      <c r="B257" s="134" t="n">
        <v>40574</v>
      </c>
      <c r="C257" s="135" t="n">
        <f aca="false">+'Damage Calculations'!$U$39</f>
        <v>3545240</v>
      </c>
      <c r="D257" s="135" t="n">
        <f aca="false">+'Damage Calculations'!$U$53</f>
        <v>3714003.07402279</v>
      </c>
      <c r="E257" s="135" t="n">
        <f aca="false">+'Damage Calculations'!$U$66</f>
        <v>3665401.4446625</v>
      </c>
      <c r="F257" s="136" t="n">
        <f aca="false">+'Damage Calculations'!$U$79</f>
        <v>3545240</v>
      </c>
    </row>
    <row r="258" customFormat="false" ht="12.75" hidden="false" customHeight="false" outlineLevel="0" collapsed="false">
      <c r="A258" s="133"/>
      <c r="B258" s="134" t="n">
        <v>40602</v>
      </c>
      <c r="C258" s="135" t="n">
        <f aca="false">+'Damage Calculations'!$U$39</f>
        <v>3545240</v>
      </c>
      <c r="D258" s="135" t="n">
        <f aca="false">+'Damage Calculations'!$U$53</f>
        <v>3714003.07402279</v>
      </c>
      <c r="E258" s="135" t="n">
        <f aca="false">+'Damage Calculations'!$U$66</f>
        <v>3665401.4446625</v>
      </c>
      <c r="F258" s="136" t="n">
        <f aca="false">+'Damage Calculations'!$U$79</f>
        <v>3545240</v>
      </c>
    </row>
    <row r="259" customFormat="false" ht="12.75" hidden="false" customHeight="false" outlineLevel="0" collapsed="false">
      <c r="A259" s="133"/>
      <c r="B259" s="134" t="n">
        <v>40633</v>
      </c>
      <c r="C259" s="135" t="n">
        <f aca="false">+'Damage Calculations'!$U$39</f>
        <v>3545240</v>
      </c>
      <c r="D259" s="135" t="n">
        <f aca="false">+'Damage Calculations'!$U$53</f>
        <v>3714003.07402279</v>
      </c>
      <c r="E259" s="135" t="n">
        <f aca="false">+'Damage Calculations'!$U$66</f>
        <v>3665401.4446625</v>
      </c>
      <c r="F259" s="136" t="n">
        <f aca="false">+'Damage Calculations'!$U$79</f>
        <v>3545240</v>
      </c>
    </row>
    <row r="260" customFormat="false" ht="12.75" hidden="false" customHeight="false" outlineLevel="0" collapsed="false">
      <c r="A260" s="133"/>
      <c r="B260" s="134" t="n">
        <v>40663</v>
      </c>
      <c r="C260" s="135" t="n">
        <f aca="false">+'Damage Calculations'!$U$39</f>
        <v>3545240</v>
      </c>
      <c r="D260" s="135" t="n">
        <f aca="false">+'Damage Calculations'!$U$53</f>
        <v>3714003.07402279</v>
      </c>
      <c r="E260" s="135" t="n">
        <f aca="false">+'Damage Calculations'!$U$66</f>
        <v>3665401.4446625</v>
      </c>
      <c r="F260" s="136" t="n">
        <f aca="false">+'Damage Calculations'!$U$79</f>
        <v>3545240</v>
      </c>
    </row>
    <row r="261" customFormat="false" ht="12.75" hidden="false" customHeight="false" outlineLevel="0" collapsed="false">
      <c r="A261" s="133"/>
      <c r="B261" s="134" t="n">
        <v>40694</v>
      </c>
      <c r="C261" s="135" t="n">
        <f aca="false">+'Damage Calculations'!$U$39</f>
        <v>3545240</v>
      </c>
      <c r="D261" s="135" t="n">
        <f aca="false">+'Damage Calculations'!$U$53</f>
        <v>3714003.07402279</v>
      </c>
      <c r="E261" s="135" t="n">
        <f aca="false">+'Damage Calculations'!$U$66</f>
        <v>3665401.4446625</v>
      </c>
      <c r="F261" s="136" t="n">
        <f aca="false">+'Damage Calculations'!$U$79</f>
        <v>3545240</v>
      </c>
    </row>
    <row r="262" customFormat="false" ht="12.75" hidden="false" customHeight="false" outlineLevel="0" collapsed="false">
      <c r="A262" s="133"/>
      <c r="B262" s="134" t="n">
        <v>40724</v>
      </c>
      <c r="C262" s="135" t="n">
        <f aca="false">+'Damage Calculations'!$U$39</f>
        <v>3545240</v>
      </c>
      <c r="D262" s="135" t="n">
        <f aca="false">+'Damage Calculations'!$U$53</f>
        <v>3714003.07402279</v>
      </c>
      <c r="E262" s="135" t="n">
        <f aca="false">+'Damage Calculations'!$U$66</f>
        <v>3665401.4446625</v>
      </c>
      <c r="F262" s="136" t="n">
        <f aca="false">+'Damage Calculations'!$U$79</f>
        <v>3545240</v>
      </c>
    </row>
    <row r="263" customFormat="false" ht="12.75" hidden="false" customHeight="false" outlineLevel="0" collapsed="false">
      <c r="A263" s="133"/>
      <c r="B263" s="134" t="n">
        <v>40755</v>
      </c>
      <c r="C263" s="135" t="n">
        <f aca="false">+'Damage Calculations'!$U$39</f>
        <v>3545240</v>
      </c>
      <c r="D263" s="135" t="n">
        <f aca="false">+'Damage Calculations'!$U$53</f>
        <v>3714003.07402279</v>
      </c>
      <c r="E263" s="135" t="n">
        <f aca="false">+'Damage Calculations'!$U$66</f>
        <v>3665401.4446625</v>
      </c>
      <c r="F263" s="136" t="n">
        <f aca="false">+'Damage Calculations'!$U$79</f>
        <v>3545240</v>
      </c>
    </row>
    <row r="264" customFormat="false" ht="12.75" hidden="false" customHeight="false" outlineLevel="0" collapsed="false">
      <c r="A264" s="133"/>
      <c r="B264" s="134" t="n">
        <v>40786</v>
      </c>
      <c r="C264" s="135" t="n">
        <f aca="false">+'Damage Calculations'!$U$39</f>
        <v>3545240</v>
      </c>
      <c r="D264" s="135" t="n">
        <f aca="false">+'Damage Calculations'!$U$53</f>
        <v>3714003.07402279</v>
      </c>
      <c r="E264" s="135" t="n">
        <f aca="false">+'Damage Calculations'!$U$66</f>
        <v>3665401.4446625</v>
      </c>
      <c r="F264" s="136" t="n">
        <f aca="false">+'Damage Calculations'!$U$79</f>
        <v>3545240</v>
      </c>
    </row>
    <row r="265" customFormat="false" ht="12.75" hidden="false" customHeight="false" outlineLevel="0" collapsed="false">
      <c r="A265" s="133"/>
      <c r="B265" s="134" t="n">
        <v>40816</v>
      </c>
      <c r="C265" s="135" t="n">
        <f aca="false">+'Damage Calculations'!$U$39</f>
        <v>3545240</v>
      </c>
      <c r="D265" s="135" t="n">
        <f aca="false">+'Damage Calculations'!$U$53</f>
        <v>3714003.07402279</v>
      </c>
      <c r="E265" s="135" t="n">
        <f aca="false">+'Damage Calculations'!$U$66</f>
        <v>3665401.4446625</v>
      </c>
      <c r="F265" s="136" t="n">
        <f aca="false">+'Damage Calculations'!$U$79</f>
        <v>3545240</v>
      </c>
    </row>
    <row r="266" customFormat="false" ht="12.75" hidden="false" customHeight="false" outlineLevel="0" collapsed="false">
      <c r="A266" s="133"/>
      <c r="B266" s="134" t="n">
        <v>40847</v>
      </c>
      <c r="C266" s="135" t="n">
        <f aca="false">+'Damage Calculations'!$U$39</f>
        <v>3545240</v>
      </c>
      <c r="D266" s="135" t="n">
        <f aca="false">+'Damage Calculations'!$U$53</f>
        <v>3714003.07402279</v>
      </c>
      <c r="E266" s="135" t="n">
        <f aca="false">+'Damage Calculations'!$U$66</f>
        <v>3665401.4446625</v>
      </c>
      <c r="F266" s="136" t="n">
        <f aca="false">+'Damage Calculations'!$U$79</f>
        <v>3545240</v>
      </c>
    </row>
    <row r="267" customFormat="false" ht="12.75" hidden="false" customHeight="false" outlineLevel="0" collapsed="false">
      <c r="A267" s="133"/>
      <c r="B267" s="134" t="n">
        <v>40877</v>
      </c>
      <c r="C267" s="135" t="n">
        <f aca="false">+'Damage Calculations'!$U$39</f>
        <v>3545240</v>
      </c>
      <c r="D267" s="135" t="n">
        <f aca="false">+'Damage Calculations'!$U$53</f>
        <v>3714003.07402279</v>
      </c>
      <c r="E267" s="135" t="n">
        <f aca="false">+'Damage Calculations'!$U$66</f>
        <v>3665401.4446625</v>
      </c>
      <c r="F267" s="136" t="n">
        <f aca="false">+'Damage Calculations'!$U$79</f>
        <v>3545240</v>
      </c>
    </row>
    <row r="268" customFormat="false" ht="12.75" hidden="false" customHeight="false" outlineLevel="0" collapsed="false">
      <c r="A268" s="133"/>
      <c r="B268" s="134" t="n">
        <v>40908</v>
      </c>
      <c r="C268" s="135" t="n">
        <f aca="false">+'Damage Calculations'!$U$39</f>
        <v>3545240</v>
      </c>
      <c r="D268" s="135" t="n">
        <f aca="false">+'Damage Calculations'!$U$53</f>
        <v>3714003.07402279</v>
      </c>
      <c r="E268" s="135" t="n">
        <f aca="false">+'Damage Calculations'!$U$66</f>
        <v>3665401.4446625</v>
      </c>
      <c r="F268" s="136" t="n">
        <f aca="false">+'Damage Calculations'!$U$79</f>
        <v>3545240</v>
      </c>
    </row>
    <row r="269" customFormat="false" ht="12.75" hidden="false" customHeight="false" outlineLevel="0" collapsed="false">
      <c r="A269" s="133"/>
      <c r="B269" s="134" t="n">
        <v>40939</v>
      </c>
      <c r="C269" s="135" t="n">
        <f aca="false">+'Damage Calculations'!$V$39</f>
        <v>4447330</v>
      </c>
      <c r="D269" s="135" t="n">
        <f aca="false">+'Damage Calculations'!$V$53</f>
        <v>4586251.3727327</v>
      </c>
      <c r="E269" s="135" t="n">
        <f aca="false">+'Damage Calculations'!$V$66</f>
        <v>4548215.00760272</v>
      </c>
      <c r="F269" s="136" t="n">
        <f aca="false">+'Damage Calculations'!$V$79</f>
        <v>4447330</v>
      </c>
    </row>
    <row r="270" customFormat="false" ht="12.75" hidden="false" customHeight="false" outlineLevel="0" collapsed="false">
      <c r="A270" s="133"/>
      <c r="B270" s="134" t="n">
        <v>40968</v>
      </c>
      <c r="C270" s="135" t="n">
        <f aca="false">+'Damage Calculations'!$V$39</f>
        <v>4447330</v>
      </c>
      <c r="D270" s="135" t="n">
        <f aca="false">+'Damage Calculations'!$V$53</f>
        <v>4586251.3727327</v>
      </c>
      <c r="E270" s="135" t="n">
        <f aca="false">+'Damage Calculations'!$V$66</f>
        <v>4548215.00760272</v>
      </c>
      <c r="F270" s="136" t="n">
        <f aca="false">+'Damage Calculations'!$V$79</f>
        <v>4447330</v>
      </c>
    </row>
    <row r="271" customFormat="false" ht="12.75" hidden="false" customHeight="false" outlineLevel="0" collapsed="false">
      <c r="A271" s="133"/>
      <c r="B271" s="134" t="n">
        <v>40999</v>
      </c>
      <c r="C271" s="135" t="n">
        <f aca="false">+'Damage Calculations'!$V$39</f>
        <v>4447330</v>
      </c>
      <c r="D271" s="135" t="n">
        <f aca="false">+'Damage Calculations'!$V$53</f>
        <v>4586251.3727327</v>
      </c>
      <c r="E271" s="135" t="n">
        <f aca="false">+'Damage Calculations'!$V$66</f>
        <v>4548215.00760272</v>
      </c>
      <c r="F271" s="136" t="n">
        <f aca="false">+'Damage Calculations'!$V$79</f>
        <v>4447330</v>
      </c>
    </row>
    <row r="272" customFormat="false" ht="12.75" hidden="false" customHeight="false" outlineLevel="0" collapsed="false">
      <c r="A272" s="133"/>
      <c r="B272" s="134" t="n">
        <v>41029</v>
      </c>
      <c r="C272" s="135" t="n">
        <f aca="false">+'Damage Calculations'!$V$39</f>
        <v>4447330</v>
      </c>
      <c r="D272" s="135" t="n">
        <f aca="false">+'Damage Calculations'!$V$53</f>
        <v>4586251.3727327</v>
      </c>
      <c r="E272" s="135" t="n">
        <f aca="false">+'Damage Calculations'!$V$66</f>
        <v>4548215.00760272</v>
      </c>
      <c r="F272" s="136" t="n">
        <f aca="false">+'Damage Calculations'!$V$79</f>
        <v>4447330</v>
      </c>
    </row>
    <row r="273" customFormat="false" ht="12.75" hidden="false" customHeight="false" outlineLevel="0" collapsed="false">
      <c r="A273" s="133"/>
      <c r="B273" s="134" t="n">
        <v>41060</v>
      </c>
      <c r="C273" s="135" t="n">
        <f aca="false">+'Damage Calculations'!$V$39</f>
        <v>4447330</v>
      </c>
      <c r="D273" s="135" t="n">
        <f aca="false">+'Damage Calculations'!$V$53</f>
        <v>4586251.3727327</v>
      </c>
      <c r="E273" s="135" t="n">
        <f aca="false">+'Damage Calculations'!$V$66</f>
        <v>4548215.00760272</v>
      </c>
      <c r="F273" s="136" t="n">
        <f aca="false">+'Damage Calculations'!$V$79</f>
        <v>4447330</v>
      </c>
    </row>
    <row r="274" customFormat="false" ht="12.75" hidden="false" customHeight="false" outlineLevel="0" collapsed="false">
      <c r="A274" s="133"/>
      <c r="B274" s="134" t="n">
        <v>41090</v>
      </c>
      <c r="C274" s="135" t="n">
        <f aca="false">+'Damage Calculations'!$V$39</f>
        <v>4447330</v>
      </c>
      <c r="D274" s="135" t="n">
        <f aca="false">+'Damage Calculations'!$V$53</f>
        <v>4586251.3727327</v>
      </c>
      <c r="E274" s="135" t="n">
        <f aca="false">+'Damage Calculations'!$V$66</f>
        <v>4548215.00760272</v>
      </c>
      <c r="F274" s="136" t="n">
        <f aca="false">+'Damage Calculations'!$V$79</f>
        <v>4447330</v>
      </c>
    </row>
    <row r="275" customFormat="false" ht="12.75" hidden="false" customHeight="false" outlineLevel="0" collapsed="false">
      <c r="A275" s="133"/>
      <c r="B275" s="134" t="n">
        <v>41121</v>
      </c>
      <c r="C275" s="135" t="n">
        <f aca="false">+'Damage Calculations'!$V$39</f>
        <v>4447330</v>
      </c>
      <c r="D275" s="135" t="n">
        <f aca="false">+'Damage Calculations'!$V$53</f>
        <v>4586251.3727327</v>
      </c>
      <c r="E275" s="135" t="n">
        <f aca="false">+'Damage Calculations'!$V$66</f>
        <v>4548215.00760272</v>
      </c>
      <c r="F275" s="136" t="n">
        <f aca="false">+'Damage Calculations'!$V$79</f>
        <v>4447330</v>
      </c>
    </row>
    <row r="276" customFormat="false" ht="12.75" hidden="false" customHeight="false" outlineLevel="0" collapsed="false">
      <c r="A276" s="133"/>
      <c r="B276" s="134" t="n">
        <v>41152</v>
      </c>
      <c r="C276" s="135" t="n">
        <f aca="false">+'Damage Calculations'!$V$39</f>
        <v>4447330</v>
      </c>
      <c r="D276" s="135" t="n">
        <f aca="false">+'Damage Calculations'!$V$53</f>
        <v>4586251.3727327</v>
      </c>
      <c r="E276" s="135" t="n">
        <f aca="false">+'Damage Calculations'!$V$66</f>
        <v>4548215.00760272</v>
      </c>
      <c r="F276" s="136" t="n">
        <f aca="false">+'Damage Calculations'!$V$79</f>
        <v>4447330</v>
      </c>
    </row>
    <row r="277" customFormat="false" ht="12.75" hidden="false" customHeight="false" outlineLevel="0" collapsed="false">
      <c r="A277" s="133"/>
      <c r="B277" s="134" t="n">
        <v>41182</v>
      </c>
      <c r="C277" s="135" t="n">
        <f aca="false">+'Damage Calculations'!$V$39</f>
        <v>4447330</v>
      </c>
      <c r="D277" s="135" t="n">
        <f aca="false">+'Damage Calculations'!$V$53</f>
        <v>4586251.3727327</v>
      </c>
      <c r="E277" s="135" t="n">
        <f aca="false">+'Damage Calculations'!$V$66</f>
        <v>4548215.00760272</v>
      </c>
      <c r="F277" s="136" t="n">
        <f aca="false">+'Damage Calculations'!$V$79</f>
        <v>4447330</v>
      </c>
    </row>
    <row r="278" customFormat="false" ht="12.75" hidden="false" customHeight="false" outlineLevel="0" collapsed="false">
      <c r="A278" s="133"/>
      <c r="B278" s="134" t="n">
        <v>41213</v>
      </c>
      <c r="C278" s="135" t="n">
        <f aca="false">+'Damage Calculations'!$V$39</f>
        <v>4447330</v>
      </c>
      <c r="D278" s="135" t="n">
        <f aca="false">+'Damage Calculations'!$V$53</f>
        <v>4586251.3727327</v>
      </c>
      <c r="E278" s="135" t="n">
        <f aca="false">+'Damage Calculations'!$V$66</f>
        <v>4548215.00760272</v>
      </c>
      <c r="F278" s="136" t="n">
        <f aca="false">+'Damage Calculations'!$V$79</f>
        <v>4447330</v>
      </c>
    </row>
    <row r="279" customFormat="false" ht="12.75" hidden="false" customHeight="false" outlineLevel="0" collapsed="false">
      <c r="A279" s="133"/>
      <c r="B279" s="134" t="n">
        <v>41243</v>
      </c>
      <c r="C279" s="135" t="n">
        <f aca="false">+'Damage Calculations'!$V$39</f>
        <v>4447330</v>
      </c>
      <c r="D279" s="135" t="n">
        <f aca="false">+'Damage Calculations'!$V$53</f>
        <v>4586251.3727327</v>
      </c>
      <c r="E279" s="135" t="n">
        <f aca="false">+'Damage Calculations'!$V$66</f>
        <v>4548215.00760272</v>
      </c>
      <c r="F279" s="136" t="n">
        <f aca="false">+'Damage Calculations'!$V$79</f>
        <v>4447330</v>
      </c>
    </row>
    <row r="280" customFormat="false" ht="12.75" hidden="false" customHeight="false" outlineLevel="0" collapsed="false">
      <c r="A280" s="133"/>
      <c r="B280" s="134" t="n">
        <v>41274</v>
      </c>
      <c r="C280" s="135" t="n">
        <f aca="false">+'Damage Calculations'!$V$39</f>
        <v>4447330</v>
      </c>
      <c r="D280" s="135" t="n">
        <f aca="false">+'Damage Calculations'!$V$53</f>
        <v>4586251.3727327</v>
      </c>
      <c r="E280" s="135" t="n">
        <f aca="false">+'Damage Calculations'!$V$66</f>
        <v>4548215.00760272</v>
      </c>
      <c r="F280" s="136" t="n">
        <f aca="false">+'Damage Calculations'!$V$79</f>
        <v>4447330</v>
      </c>
    </row>
    <row r="281" customFormat="false" ht="12.75" hidden="false" customHeight="false" outlineLevel="0" collapsed="false">
      <c r="A281" s="133"/>
      <c r="B281" s="134" t="n">
        <v>41305</v>
      </c>
      <c r="C281" s="135" t="n">
        <f aca="false">+'Damage Calculations'!$W$39</f>
        <v>4534120</v>
      </c>
      <c r="D281" s="135" t="n">
        <f aca="false">+'Damage Calculations'!$W$53</f>
        <v>4638536.75827767</v>
      </c>
      <c r="E281" s="135" t="n">
        <f aca="false">+'Damage Calculations'!$W$66</f>
        <v>4610348.20376164</v>
      </c>
      <c r="F281" s="136" t="n">
        <f aca="false">+'Damage Calculations'!$W$79</f>
        <v>4534120</v>
      </c>
    </row>
    <row r="282" customFormat="false" ht="12.75" hidden="false" customHeight="false" outlineLevel="0" collapsed="false">
      <c r="A282" s="133"/>
      <c r="B282" s="134" t="n">
        <v>41333</v>
      </c>
      <c r="C282" s="135" t="n">
        <f aca="false">+'Damage Calculations'!$W$39</f>
        <v>4534120</v>
      </c>
      <c r="D282" s="135" t="n">
        <f aca="false">+'Damage Calculations'!$W$53</f>
        <v>4638536.75827767</v>
      </c>
      <c r="E282" s="135" t="n">
        <f aca="false">+'Damage Calculations'!$W$66</f>
        <v>4610348.20376164</v>
      </c>
      <c r="F282" s="136" t="n">
        <f aca="false">+'Damage Calculations'!$W$79</f>
        <v>4534120</v>
      </c>
    </row>
    <row r="283" customFormat="false" ht="12.75" hidden="false" customHeight="false" outlineLevel="0" collapsed="false">
      <c r="A283" s="133"/>
      <c r="B283" s="134" t="n">
        <v>41364</v>
      </c>
      <c r="C283" s="135" t="n">
        <f aca="false">+'Damage Calculations'!$W$39</f>
        <v>4534120</v>
      </c>
      <c r="D283" s="135" t="n">
        <f aca="false">+'Damage Calculations'!$W$53</f>
        <v>4638536.75827767</v>
      </c>
      <c r="E283" s="135" t="n">
        <f aca="false">+'Damage Calculations'!$W$66</f>
        <v>4610348.20376164</v>
      </c>
      <c r="F283" s="136" t="n">
        <f aca="false">+'Damage Calculations'!$W$79</f>
        <v>4534120</v>
      </c>
    </row>
    <row r="284" customFormat="false" ht="12.75" hidden="false" customHeight="false" outlineLevel="0" collapsed="false">
      <c r="A284" s="133"/>
      <c r="B284" s="134" t="n">
        <v>41394</v>
      </c>
      <c r="C284" s="135" t="n">
        <f aca="false">+'Damage Calculations'!$W$39</f>
        <v>4534120</v>
      </c>
      <c r="D284" s="135" t="n">
        <f aca="false">+'Damage Calculations'!$W$53</f>
        <v>4638536.75827767</v>
      </c>
      <c r="E284" s="135" t="n">
        <f aca="false">+'Damage Calculations'!$W$66</f>
        <v>4610348.20376164</v>
      </c>
      <c r="F284" s="136" t="n">
        <f aca="false">+'Damage Calculations'!$W$79</f>
        <v>4534120</v>
      </c>
    </row>
    <row r="285" customFormat="false" ht="12.75" hidden="false" customHeight="false" outlineLevel="0" collapsed="false">
      <c r="A285" s="133"/>
      <c r="B285" s="134" t="n">
        <v>41425</v>
      </c>
      <c r="C285" s="135" t="n">
        <f aca="false">+'Damage Calculations'!$W$39</f>
        <v>4534120</v>
      </c>
      <c r="D285" s="135" t="n">
        <f aca="false">+'Damage Calculations'!$W$53</f>
        <v>4638536.75827767</v>
      </c>
      <c r="E285" s="135" t="n">
        <f aca="false">+'Damage Calculations'!$W$66</f>
        <v>4610348.20376164</v>
      </c>
      <c r="F285" s="136" t="n">
        <f aca="false">+'Damage Calculations'!$W$79</f>
        <v>4534120</v>
      </c>
    </row>
    <row r="286" customFormat="false" ht="12.75" hidden="false" customHeight="false" outlineLevel="0" collapsed="false">
      <c r="A286" s="133"/>
      <c r="B286" s="134" t="n">
        <v>41455</v>
      </c>
      <c r="C286" s="135" t="n">
        <f aca="false">+'Damage Calculations'!$W$39</f>
        <v>4534120</v>
      </c>
      <c r="D286" s="135" t="n">
        <f aca="false">+'Damage Calculations'!$W$53</f>
        <v>4638536.75827767</v>
      </c>
      <c r="E286" s="135" t="n">
        <f aca="false">+'Damage Calculations'!$W$66</f>
        <v>4610348.20376164</v>
      </c>
      <c r="F286" s="136" t="n">
        <f aca="false">+'Damage Calculations'!$W$79</f>
        <v>4534120</v>
      </c>
    </row>
    <row r="287" customFormat="false" ht="12.75" hidden="false" customHeight="false" outlineLevel="0" collapsed="false">
      <c r="A287" s="133"/>
      <c r="B287" s="134" t="n">
        <v>41486</v>
      </c>
      <c r="C287" s="135" t="n">
        <f aca="false">+'Damage Calculations'!$W$39</f>
        <v>4534120</v>
      </c>
      <c r="D287" s="135" t="n">
        <f aca="false">+'Damage Calculations'!$W$53</f>
        <v>4638536.75827767</v>
      </c>
      <c r="E287" s="135" t="n">
        <f aca="false">+'Damage Calculations'!$W$66</f>
        <v>4610348.20376164</v>
      </c>
      <c r="F287" s="136" t="n">
        <f aca="false">+'Damage Calculations'!$W$79</f>
        <v>4534120</v>
      </c>
    </row>
    <row r="288" customFormat="false" ht="12.75" hidden="false" customHeight="false" outlineLevel="0" collapsed="false">
      <c r="A288" s="133"/>
      <c r="B288" s="134" t="n">
        <v>41517</v>
      </c>
      <c r="C288" s="135" t="n">
        <f aca="false">+'Damage Calculations'!$W$39</f>
        <v>4534120</v>
      </c>
      <c r="D288" s="135" t="n">
        <f aca="false">+'Damage Calculations'!$W$53</f>
        <v>4638536.75827767</v>
      </c>
      <c r="E288" s="135" t="n">
        <f aca="false">+'Damage Calculations'!$W$66</f>
        <v>4610348.20376164</v>
      </c>
      <c r="F288" s="136" t="n">
        <f aca="false">+'Damage Calculations'!$W$79</f>
        <v>4534120</v>
      </c>
    </row>
    <row r="289" customFormat="false" ht="12.75" hidden="false" customHeight="false" outlineLevel="0" collapsed="false">
      <c r="A289" s="133"/>
      <c r="B289" s="134" t="n">
        <v>41547</v>
      </c>
      <c r="C289" s="135" t="n">
        <f aca="false">+'Damage Calculations'!$W$39</f>
        <v>4534120</v>
      </c>
      <c r="D289" s="135" t="n">
        <f aca="false">+'Damage Calculations'!$W$53</f>
        <v>4638536.75827767</v>
      </c>
      <c r="E289" s="135" t="n">
        <f aca="false">+'Damage Calculations'!$W$66</f>
        <v>4610348.20376164</v>
      </c>
      <c r="F289" s="136" t="n">
        <f aca="false">+'Damage Calculations'!$W$79</f>
        <v>4534120</v>
      </c>
    </row>
    <row r="290" customFormat="false" ht="12.75" hidden="false" customHeight="false" outlineLevel="0" collapsed="false">
      <c r="A290" s="133"/>
      <c r="B290" s="134" t="n">
        <v>41578</v>
      </c>
      <c r="C290" s="135" t="n">
        <f aca="false">+'Damage Calculations'!$W$39</f>
        <v>4534120</v>
      </c>
      <c r="D290" s="135" t="n">
        <f aca="false">+'Damage Calculations'!$W$53</f>
        <v>4638536.75827767</v>
      </c>
      <c r="E290" s="135" t="n">
        <f aca="false">+'Damage Calculations'!$W$66</f>
        <v>4610348.20376164</v>
      </c>
      <c r="F290" s="136" t="n">
        <f aca="false">+'Damage Calculations'!$W$79</f>
        <v>4534120</v>
      </c>
    </row>
    <row r="291" customFormat="false" ht="12.75" hidden="false" customHeight="false" outlineLevel="0" collapsed="false">
      <c r="A291" s="133"/>
      <c r="B291" s="134" t="n">
        <v>41608</v>
      </c>
      <c r="C291" s="135" t="n">
        <f aca="false">+'Damage Calculations'!$W$39</f>
        <v>4534120</v>
      </c>
      <c r="D291" s="135" t="n">
        <f aca="false">+'Damage Calculations'!$W$53</f>
        <v>4638536.75827767</v>
      </c>
      <c r="E291" s="135" t="n">
        <f aca="false">+'Damage Calculations'!$W$66</f>
        <v>4610348.20376164</v>
      </c>
      <c r="F291" s="136" t="n">
        <f aca="false">+'Damage Calculations'!$W$79</f>
        <v>4534120</v>
      </c>
    </row>
    <row r="292" customFormat="false" ht="12.75" hidden="false" customHeight="false" outlineLevel="0" collapsed="false">
      <c r="A292" s="133"/>
      <c r="B292" s="134" t="n">
        <v>41639</v>
      </c>
      <c r="C292" s="135" t="n">
        <f aca="false">+'Damage Calculations'!$W$39</f>
        <v>4534120</v>
      </c>
      <c r="D292" s="135" t="n">
        <f aca="false">+'Damage Calculations'!$W$53</f>
        <v>4638536.75827767</v>
      </c>
      <c r="E292" s="135" t="n">
        <f aca="false">+'Damage Calculations'!$W$66</f>
        <v>4610348.20376164</v>
      </c>
      <c r="F292" s="136" t="n">
        <f aca="false">+'Damage Calculations'!$W$79</f>
        <v>4534120</v>
      </c>
    </row>
    <row r="293" customFormat="false" ht="12.75" hidden="false" customHeight="false" outlineLevel="0" collapsed="false">
      <c r="A293" s="133"/>
      <c r="B293" s="134" t="n">
        <v>41670</v>
      </c>
      <c r="C293" s="135" t="n">
        <f aca="false">+'Damage Calculations'!$X$39</f>
        <v>3287500</v>
      </c>
      <c r="D293" s="135" t="n">
        <f aca="false">+'Damage Calculations'!$X$53</f>
        <v>3366557.29427655</v>
      </c>
      <c r="E293" s="135" t="n">
        <f aca="false">+'Damage Calculations'!$X$66</f>
        <v>3345214.83080265</v>
      </c>
      <c r="F293" s="136" t="n">
        <f aca="false">+'Damage Calculations'!$X$79</f>
        <v>3287500</v>
      </c>
    </row>
    <row r="294" customFormat="false" ht="12.75" hidden="false" customHeight="false" outlineLevel="0" collapsed="false">
      <c r="A294" s="133"/>
      <c r="B294" s="134" t="n">
        <v>41698</v>
      </c>
      <c r="C294" s="135" t="n">
        <f aca="false">+'Damage Calculations'!$X$39</f>
        <v>3287500</v>
      </c>
      <c r="D294" s="135" t="n">
        <f aca="false">+'Damage Calculations'!$X$53</f>
        <v>3366557.29427655</v>
      </c>
      <c r="E294" s="135" t="n">
        <f aca="false">+'Damage Calculations'!$X$66</f>
        <v>3345214.83080265</v>
      </c>
      <c r="F294" s="136" t="n">
        <f aca="false">+'Damage Calculations'!$X$79</f>
        <v>3287500</v>
      </c>
    </row>
    <row r="295" customFormat="false" ht="12.75" hidden="false" customHeight="false" outlineLevel="0" collapsed="false">
      <c r="A295" s="133"/>
      <c r="B295" s="134" t="n">
        <v>41729</v>
      </c>
      <c r="C295" s="135" t="n">
        <f aca="false">+'Damage Calculations'!$X$39</f>
        <v>3287500</v>
      </c>
      <c r="D295" s="135" t="n">
        <f aca="false">+'Damage Calculations'!$X$53</f>
        <v>3366557.29427655</v>
      </c>
      <c r="E295" s="135" t="n">
        <f aca="false">+'Damage Calculations'!$X$66</f>
        <v>3345214.83080265</v>
      </c>
      <c r="F295" s="136" t="n">
        <f aca="false">+'Damage Calculations'!$X$79</f>
        <v>3287500</v>
      </c>
    </row>
    <row r="296" customFormat="false" ht="12.75" hidden="false" customHeight="false" outlineLevel="0" collapsed="false">
      <c r="A296" s="133"/>
      <c r="B296" s="134" t="n">
        <v>41759</v>
      </c>
      <c r="C296" s="135" t="n">
        <f aca="false">+'Damage Calculations'!$X$39</f>
        <v>3287500</v>
      </c>
      <c r="D296" s="135" t="n">
        <f aca="false">+'Damage Calculations'!$X$53</f>
        <v>3366557.29427655</v>
      </c>
      <c r="E296" s="135" t="n">
        <f aca="false">+'Damage Calculations'!$X$66</f>
        <v>3345214.83080265</v>
      </c>
      <c r="F296" s="136" t="n">
        <f aca="false">+'Damage Calculations'!$X$79</f>
        <v>3287500</v>
      </c>
    </row>
    <row r="297" customFormat="false" ht="12.75" hidden="false" customHeight="false" outlineLevel="0" collapsed="false">
      <c r="A297" s="133"/>
      <c r="B297" s="134" t="n">
        <v>41790</v>
      </c>
      <c r="C297" s="135" t="n">
        <f aca="false">+'Damage Calculations'!$X$39</f>
        <v>3287500</v>
      </c>
      <c r="D297" s="135" t="n">
        <f aca="false">+'Damage Calculations'!$X$53</f>
        <v>3366557.29427655</v>
      </c>
      <c r="E297" s="135" t="n">
        <f aca="false">+'Damage Calculations'!$X$66</f>
        <v>3345214.83080265</v>
      </c>
      <c r="F297" s="136" t="n">
        <f aca="false">+'Damage Calculations'!$X$79</f>
        <v>3287500</v>
      </c>
    </row>
    <row r="298" customFormat="false" ht="12.75" hidden="false" customHeight="false" outlineLevel="0" collapsed="false">
      <c r="A298" s="133"/>
      <c r="B298" s="134" t="n">
        <v>41820</v>
      </c>
      <c r="C298" s="135" t="n">
        <f aca="false">+'Damage Calculations'!$X$39</f>
        <v>3287500</v>
      </c>
      <c r="D298" s="135" t="n">
        <f aca="false">+'Damage Calculations'!$X$53</f>
        <v>3366557.29427655</v>
      </c>
      <c r="E298" s="135" t="n">
        <f aca="false">+'Damage Calculations'!$X$66</f>
        <v>3345214.83080265</v>
      </c>
      <c r="F298" s="136" t="n">
        <f aca="false">+'Damage Calculations'!$X$79</f>
        <v>3287500</v>
      </c>
    </row>
    <row r="299" customFormat="false" ht="12.75" hidden="false" customHeight="false" outlineLevel="0" collapsed="false">
      <c r="A299" s="133"/>
      <c r="B299" s="134" t="n">
        <v>41851</v>
      </c>
      <c r="C299" s="135" t="n">
        <f aca="false">+'Damage Calculations'!$X$39</f>
        <v>3287500</v>
      </c>
      <c r="D299" s="135" t="n">
        <f aca="false">+'Damage Calculations'!$X$53</f>
        <v>3366557.29427655</v>
      </c>
      <c r="E299" s="135" t="n">
        <f aca="false">+'Damage Calculations'!$X$66</f>
        <v>3345214.83080265</v>
      </c>
      <c r="F299" s="136" t="n">
        <f aca="false">+'Damage Calculations'!$X$79</f>
        <v>3287500</v>
      </c>
    </row>
    <row r="300" customFormat="false" ht="12.75" hidden="false" customHeight="false" outlineLevel="0" collapsed="false">
      <c r="A300" s="133"/>
      <c r="B300" s="134" t="n">
        <v>41882</v>
      </c>
      <c r="C300" s="135" t="n">
        <f aca="false">+'Damage Calculations'!$X$39</f>
        <v>3287500</v>
      </c>
      <c r="D300" s="135" t="n">
        <f aca="false">+'Damage Calculations'!$X$53</f>
        <v>3366557.29427655</v>
      </c>
      <c r="E300" s="135" t="n">
        <f aca="false">+'Damage Calculations'!$X$66</f>
        <v>3345214.83080265</v>
      </c>
      <c r="F300" s="136" t="n">
        <f aca="false">+'Damage Calculations'!$X$79</f>
        <v>3287500</v>
      </c>
    </row>
    <row r="301" customFormat="false" ht="12.75" hidden="false" customHeight="false" outlineLevel="0" collapsed="false">
      <c r="A301" s="133"/>
      <c r="B301" s="134" t="n">
        <v>41912</v>
      </c>
      <c r="C301" s="135" t="n">
        <f aca="false">+'Damage Calculations'!$X$39</f>
        <v>3287500</v>
      </c>
      <c r="D301" s="135" t="n">
        <f aca="false">+'Damage Calculations'!$X$53</f>
        <v>3366557.29427655</v>
      </c>
      <c r="E301" s="135" t="n">
        <f aca="false">+'Damage Calculations'!$X$66</f>
        <v>3345214.83080265</v>
      </c>
      <c r="F301" s="136" t="n">
        <f aca="false">+'Damage Calculations'!$X$79</f>
        <v>3287500</v>
      </c>
    </row>
    <row r="302" customFormat="false" ht="12.75" hidden="false" customHeight="false" outlineLevel="0" collapsed="false">
      <c r="A302" s="133"/>
      <c r="B302" s="134" t="n">
        <v>41943</v>
      </c>
      <c r="C302" s="135" t="n">
        <f aca="false">+'Damage Calculations'!$X$39</f>
        <v>3287500</v>
      </c>
      <c r="D302" s="135" t="n">
        <f aca="false">+'Damage Calculations'!$X$53</f>
        <v>3366557.29427655</v>
      </c>
      <c r="E302" s="135" t="n">
        <f aca="false">+'Damage Calculations'!$X$66</f>
        <v>3345214.83080265</v>
      </c>
      <c r="F302" s="136" t="n">
        <f aca="false">+'Damage Calculations'!$X$79</f>
        <v>3287500</v>
      </c>
    </row>
    <row r="303" customFormat="false" ht="12.75" hidden="false" customHeight="false" outlineLevel="0" collapsed="false">
      <c r="A303" s="133"/>
      <c r="B303" s="134" t="n">
        <v>41973</v>
      </c>
      <c r="C303" s="135" t="n">
        <f aca="false">+'Damage Calculations'!$X$39</f>
        <v>3287500</v>
      </c>
      <c r="D303" s="135" t="n">
        <f aca="false">+'Damage Calculations'!$X$53</f>
        <v>3366557.29427655</v>
      </c>
      <c r="E303" s="135" t="n">
        <f aca="false">+'Damage Calculations'!$X$66</f>
        <v>3345214.83080265</v>
      </c>
      <c r="F303" s="136" t="n">
        <f aca="false">+'Damage Calculations'!$X$79</f>
        <v>3287500</v>
      </c>
    </row>
    <row r="304" customFormat="false" ht="12.75" hidden="false" customHeight="false" outlineLevel="0" collapsed="false">
      <c r="A304" s="133"/>
      <c r="B304" s="134" t="n">
        <v>42004</v>
      </c>
      <c r="C304" s="135" t="n">
        <f aca="false">+'Damage Calculations'!$X$39</f>
        <v>3287500</v>
      </c>
      <c r="D304" s="135" t="n">
        <f aca="false">+'Damage Calculations'!$X$53</f>
        <v>3366557.29427655</v>
      </c>
      <c r="E304" s="135" t="n">
        <f aca="false">+'Damage Calculations'!$X$66</f>
        <v>3345214.83080265</v>
      </c>
      <c r="F304" s="136" t="n">
        <f aca="false">+'Damage Calculations'!$X$79</f>
        <v>3287500</v>
      </c>
    </row>
    <row r="305" customFormat="false" ht="12.75" hidden="false" customHeight="false" outlineLevel="0" collapsed="false">
      <c r="A305" s="133"/>
      <c r="B305" s="134" t="n">
        <v>42035</v>
      </c>
      <c r="C305" s="135" t="n">
        <f aca="false">+'Damage Calculations'!$Y$39</f>
        <v>4547270</v>
      </c>
      <c r="D305" s="135" t="n">
        <f aca="false">+'Damage Calculations'!$Y$53</f>
        <v>4598416.41280168</v>
      </c>
      <c r="E305" s="135" t="n">
        <f aca="false">+'Damage Calculations'!$Y$66</f>
        <v>4584608.82607575</v>
      </c>
      <c r="F305" s="136" t="n">
        <f aca="false">+'Damage Calculations'!$Y$79</f>
        <v>4547270</v>
      </c>
    </row>
    <row r="306" customFormat="false" ht="12.75" hidden="false" customHeight="false" outlineLevel="0" collapsed="false">
      <c r="A306" s="133"/>
      <c r="B306" s="134" t="n">
        <v>42063</v>
      </c>
      <c r="C306" s="135" t="n">
        <f aca="false">+'Damage Calculations'!$Y$39</f>
        <v>4547270</v>
      </c>
      <c r="D306" s="135" t="n">
        <f aca="false">+'Damage Calculations'!$Y$53</f>
        <v>4598416.41280168</v>
      </c>
      <c r="E306" s="135" t="n">
        <f aca="false">+'Damage Calculations'!$Y$66</f>
        <v>4584608.82607575</v>
      </c>
      <c r="F306" s="136" t="n">
        <f aca="false">+'Damage Calculations'!$Y$79</f>
        <v>4547270</v>
      </c>
    </row>
    <row r="307" customFormat="false" ht="12.75" hidden="false" customHeight="false" outlineLevel="0" collapsed="false">
      <c r="A307" s="133"/>
      <c r="B307" s="134" t="n">
        <v>42094</v>
      </c>
      <c r="C307" s="135" t="n">
        <f aca="false">+'Damage Calculations'!$Y$39</f>
        <v>4547270</v>
      </c>
      <c r="D307" s="135" t="n">
        <f aca="false">+'Damage Calculations'!$Y$53</f>
        <v>4598416.41280168</v>
      </c>
      <c r="E307" s="135" t="n">
        <f aca="false">+'Damage Calculations'!$Y$66</f>
        <v>4584608.82607575</v>
      </c>
      <c r="F307" s="136" t="n">
        <f aca="false">+'Damage Calculations'!$Y$79</f>
        <v>4547270</v>
      </c>
    </row>
    <row r="308" customFormat="false" ht="12.75" hidden="false" customHeight="false" outlineLevel="0" collapsed="false">
      <c r="A308" s="133"/>
      <c r="B308" s="134" t="n">
        <v>42124</v>
      </c>
      <c r="C308" s="135" t="n">
        <f aca="false">+'Damage Calculations'!$Y$39</f>
        <v>4547270</v>
      </c>
      <c r="D308" s="135" t="n">
        <f aca="false">+'Damage Calculations'!$Y$53</f>
        <v>4598416.41280168</v>
      </c>
      <c r="E308" s="135" t="n">
        <f aca="false">+'Damage Calculations'!$Y$66</f>
        <v>4584608.82607575</v>
      </c>
      <c r="F308" s="136" t="n">
        <f aca="false">+'Damage Calculations'!$Y$79</f>
        <v>4547270</v>
      </c>
    </row>
    <row r="309" customFormat="false" ht="12.75" hidden="false" customHeight="false" outlineLevel="0" collapsed="false">
      <c r="A309" s="133"/>
      <c r="B309" s="134" t="n">
        <v>42155</v>
      </c>
      <c r="C309" s="135" t="n">
        <f aca="false">+'Damage Calculations'!$Y$39</f>
        <v>4547270</v>
      </c>
      <c r="D309" s="135" t="n">
        <f aca="false">+'Damage Calculations'!$Y$53</f>
        <v>4598416.41280168</v>
      </c>
      <c r="E309" s="135" t="n">
        <f aca="false">+'Damage Calculations'!$Y$66</f>
        <v>4584608.82607575</v>
      </c>
      <c r="F309" s="136" t="n">
        <f aca="false">+'Damage Calculations'!$Y$79</f>
        <v>4547270</v>
      </c>
    </row>
    <row r="310" customFormat="false" ht="12.75" hidden="false" customHeight="false" outlineLevel="0" collapsed="false">
      <c r="A310" s="133"/>
      <c r="B310" s="134" t="n">
        <v>42185</v>
      </c>
      <c r="C310" s="135" t="n">
        <f aca="false">+'Damage Calculations'!$Y$39</f>
        <v>4547270</v>
      </c>
      <c r="D310" s="135" t="n">
        <f aca="false">+'Damage Calculations'!$Y$53</f>
        <v>4598416.41280168</v>
      </c>
      <c r="E310" s="135" t="n">
        <f aca="false">+'Damage Calculations'!$Y$66</f>
        <v>4584608.82607575</v>
      </c>
      <c r="F310" s="136" t="n">
        <f aca="false">+'Damage Calculations'!$Y$79</f>
        <v>4547270</v>
      </c>
    </row>
    <row r="311" customFormat="false" ht="12.75" hidden="false" customHeight="false" outlineLevel="0" collapsed="false">
      <c r="A311" s="133"/>
      <c r="B311" s="134" t="n">
        <v>42216</v>
      </c>
      <c r="C311" s="135" t="n">
        <f aca="false">+'Damage Calculations'!$Y$39</f>
        <v>4547270</v>
      </c>
      <c r="D311" s="135" t="n">
        <f aca="false">+'Damage Calculations'!$Y$53</f>
        <v>4598416.41280168</v>
      </c>
      <c r="E311" s="135" t="n">
        <f aca="false">+'Damage Calculations'!$Y$66</f>
        <v>4584608.82607575</v>
      </c>
      <c r="F311" s="136" t="n">
        <f aca="false">+'Damage Calculations'!$Y$79</f>
        <v>4547270</v>
      </c>
    </row>
    <row r="312" customFormat="false" ht="12.75" hidden="false" customHeight="false" outlineLevel="0" collapsed="false">
      <c r="A312" s="133"/>
      <c r="B312" s="134" t="n">
        <v>42247</v>
      </c>
      <c r="C312" s="135" t="n">
        <f aca="false">+'Damage Calculations'!$Y$39</f>
        <v>4547270</v>
      </c>
      <c r="D312" s="135" t="n">
        <f aca="false">+'Damage Calculations'!$Y$53</f>
        <v>4598416.41280168</v>
      </c>
      <c r="E312" s="135" t="n">
        <f aca="false">+'Damage Calculations'!$Y$66</f>
        <v>4584608.82607575</v>
      </c>
      <c r="F312" s="136" t="n">
        <f aca="false">+'Damage Calculations'!$Y$79</f>
        <v>4547270</v>
      </c>
    </row>
    <row r="313" customFormat="false" ht="12.75" hidden="false" customHeight="false" outlineLevel="0" collapsed="false">
      <c r="A313" s="133"/>
      <c r="B313" s="134" t="n">
        <v>42277</v>
      </c>
      <c r="C313" s="135" t="n">
        <f aca="false">+'Damage Calculations'!$Y$39</f>
        <v>4547270</v>
      </c>
      <c r="D313" s="135" t="n">
        <f aca="false">+'Damage Calculations'!$Y$53</f>
        <v>4598416.41280168</v>
      </c>
      <c r="E313" s="135" t="n">
        <f aca="false">+'Damage Calculations'!$Y$66</f>
        <v>4584608.82607575</v>
      </c>
      <c r="F313" s="136" t="n">
        <f aca="false">+'Damage Calculations'!$Y$79</f>
        <v>4547270</v>
      </c>
    </row>
    <row r="314" customFormat="false" ht="12.75" hidden="false" customHeight="false" outlineLevel="0" collapsed="false">
      <c r="A314" s="133"/>
      <c r="B314" s="134" t="n">
        <v>42308</v>
      </c>
      <c r="C314" s="135" t="n">
        <f aca="false">+'Damage Calculations'!$Y$39</f>
        <v>4547270</v>
      </c>
      <c r="D314" s="135" t="n">
        <f aca="false">+'Damage Calculations'!$Y$53</f>
        <v>4598416.41280168</v>
      </c>
      <c r="E314" s="135" t="n">
        <f aca="false">+'Damage Calculations'!$Y$66</f>
        <v>4584608.82607575</v>
      </c>
      <c r="F314" s="136" t="n">
        <f aca="false">+'Damage Calculations'!$Y$79</f>
        <v>4547270</v>
      </c>
    </row>
    <row r="315" customFormat="false" ht="12.75" hidden="false" customHeight="false" outlineLevel="0" collapsed="false">
      <c r="A315" s="133"/>
      <c r="B315" s="134" t="n">
        <v>42338</v>
      </c>
      <c r="C315" s="135" t="n">
        <f aca="false">+'Damage Calculations'!$Y$39</f>
        <v>4547270</v>
      </c>
      <c r="D315" s="135" t="n">
        <f aca="false">+'Damage Calculations'!$Y$53</f>
        <v>4598416.41280168</v>
      </c>
      <c r="E315" s="135" t="n">
        <f aca="false">+'Damage Calculations'!$Y$66</f>
        <v>4584608.82607575</v>
      </c>
      <c r="F315" s="136" t="n">
        <f aca="false">+'Damage Calculations'!$Y$79</f>
        <v>4547270</v>
      </c>
    </row>
    <row r="316" customFormat="false" ht="12.75" hidden="false" customHeight="false" outlineLevel="0" collapsed="false">
      <c r="A316" s="133"/>
      <c r="B316" s="134" t="n">
        <v>42369</v>
      </c>
      <c r="C316" s="135" t="n">
        <f aca="false">+'Damage Calculations'!$Y$39</f>
        <v>4547270</v>
      </c>
      <c r="D316" s="135" t="n">
        <f aca="false">+'Damage Calculations'!$Y$53</f>
        <v>4598416.41280168</v>
      </c>
      <c r="E316" s="135" t="n">
        <f aca="false">+'Damage Calculations'!$Y$66</f>
        <v>4584608.82607575</v>
      </c>
      <c r="F316" s="136" t="n">
        <f aca="false">+'Damage Calculations'!$Y$79</f>
        <v>4547270</v>
      </c>
    </row>
    <row r="317" customFormat="false" ht="12.75" hidden="false" customHeight="false" outlineLevel="0" collapsed="false">
      <c r="A317" s="133"/>
      <c r="B317" s="134" t="n">
        <v>42400</v>
      </c>
      <c r="C317" s="135" t="n">
        <f aca="false">+'Damage Calculations'!$Z$39</f>
        <v>4520970</v>
      </c>
      <c r="D317" s="135" t="n">
        <f aca="false">+'Damage Calculations'!$Z$53</f>
        <v>4541291.37726884</v>
      </c>
      <c r="E317" s="135" t="n">
        <f aca="false">+'Damage Calculations'!$Z$66</f>
        <v>4535805.37808219</v>
      </c>
      <c r="F317" s="136" t="n">
        <f aca="false">+'Damage Calculations'!$Z$79</f>
        <v>4520970</v>
      </c>
    </row>
    <row r="318" customFormat="false" ht="12.75" hidden="false" customHeight="false" outlineLevel="0" collapsed="false">
      <c r="A318" s="133"/>
      <c r="B318" s="134" t="n">
        <v>42429</v>
      </c>
      <c r="C318" s="135" t="n">
        <f aca="false">+'Damage Calculations'!$Z$39</f>
        <v>4520970</v>
      </c>
      <c r="D318" s="135" t="n">
        <f aca="false">+'Damage Calculations'!$Z$53</f>
        <v>4541291.37726884</v>
      </c>
      <c r="E318" s="135" t="n">
        <f aca="false">+'Damage Calculations'!$Z$66</f>
        <v>4535805.37808219</v>
      </c>
      <c r="F318" s="136" t="n">
        <f aca="false">+'Damage Calculations'!$Z$79</f>
        <v>4520970</v>
      </c>
    </row>
    <row r="319" customFormat="false" ht="12.75" hidden="false" customHeight="false" outlineLevel="0" collapsed="false">
      <c r="A319" s="133"/>
      <c r="B319" s="134" t="n">
        <v>42460</v>
      </c>
      <c r="C319" s="135" t="n">
        <f aca="false">+'Damage Calculations'!$Z$39</f>
        <v>4520970</v>
      </c>
      <c r="D319" s="135" t="n">
        <f aca="false">+'Damage Calculations'!$Z$53</f>
        <v>4541291.37726884</v>
      </c>
      <c r="E319" s="135" t="n">
        <f aca="false">+'Damage Calculations'!$Z$66</f>
        <v>4535805.37808219</v>
      </c>
      <c r="F319" s="136" t="n">
        <f aca="false">+'Damage Calculations'!$Z$79</f>
        <v>4520970</v>
      </c>
    </row>
    <row r="320" customFormat="false" ht="12.75" hidden="false" customHeight="false" outlineLevel="0" collapsed="false">
      <c r="A320" s="133"/>
      <c r="B320" s="134" t="n">
        <v>42490</v>
      </c>
      <c r="C320" s="135" t="n">
        <f aca="false">+'Damage Calculations'!$Z$39</f>
        <v>4520970</v>
      </c>
      <c r="D320" s="135" t="n">
        <f aca="false">+'Damage Calculations'!$Z$53</f>
        <v>4541291.37726884</v>
      </c>
      <c r="E320" s="135" t="n">
        <f aca="false">+'Damage Calculations'!$Z$66</f>
        <v>4535805.37808219</v>
      </c>
      <c r="F320" s="136" t="n">
        <f aca="false">+'Damage Calculations'!$Z$79</f>
        <v>4520970</v>
      </c>
    </row>
    <row r="321" customFormat="false" ht="12.75" hidden="false" customHeight="false" outlineLevel="0" collapsed="false">
      <c r="A321" s="133"/>
      <c r="B321" s="134" t="n">
        <v>42521</v>
      </c>
      <c r="C321" s="135" t="n">
        <f aca="false">+'Damage Calculations'!$Z$39</f>
        <v>4520970</v>
      </c>
      <c r="D321" s="135" t="n">
        <f aca="false">+'Damage Calculations'!$Z$53</f>
        <v>4541291.37726884</v>
      </c>
      <c r="E321" s="135" t="n">
        <f aca="false">+'Damage Calculations'!$Z$66</f>
        <v>4535805.37808219</v>
      </c>
      <c r="F321" s="136" t="n">
        <f aca="false">+'Damage Calculations'!$Z$79</f>
        <v>4520970</v>
      </c>
    </row>
    <row r="322" customFormat="false" ht="12.75" hidden="false" customHeight="false" outlineLevel="0" collapsed="false">
      <c r="A322" s="133"/>
      <c r="B322" s="134" t="n">
        <v>42551</v>
      </c>
      <c r="C322" s="135" t="n">
        <f aca="false">+'Damage Calculations'!$Z$39</f>
        <v>4520970</v>
      </c>
      <c r="D322" s="135" t="n">
        <f aca="false">+'Damage Calculations'!$Z$53</f>
        <v>4541291.37726884</v>
      </c>
      <c r="E322" s="135" t="n">
        <f aca="false">+'Damage Calculations'!$Z$66</f>
        <v>4535805.37808219</v>
      </c>
      <c r="F322" s="136" t="n">
        <f aca="false">+'Damage Calculations'!$Z$79</f>
        <v>4520970</v>
      </c>
    </row>
    <row r="323" customFormat="false" ht="12.75" hidden="false" customHeight="false" outlineLevel="0" collapsed="false">
      <c r="A323" s="133"/>
      <c r="B323" s="134" t="n">
        <v>42582</v>
      </c>
      <c r="C323" s="135" t="n">
        <f aca="false">+'Damage Calculations'!$Z$39</f>
        <v>4520970</v>
      </c>
      <c r="D323" s="135" t="n">
        <f aca="false">+'Damage Calculations'!$Z$53</f>
        <v>4541291.37726884</v>
      </c>
      <c r="E323" s="135" t="n">
        <f aca="false">+'Damage Calculations'!$Z$66</f>
        <v>4535805.37808219</v>
      </c>
      <c r="F323" s="136" t="n">
        <f aca="false">+'Damage Calculations'!$Z$79</f>
        <v>4520970</v>
      </c>
    </row>
    <row r="324" customFormat="false" ht="12.75" hidden="false" customHeight="false" outlineLevel="0" collapsed="false">
      <c r="A324" s="133"/>
      <c r="B324" s="134" t="n">
        <v>42613</v>
      </c>
      <c r="C324" s="135" t="n">
        <f aca="false">+'Damage Calculations'!$Z$39</f>
        <v>4520970</v>
      </c>
      <c r="D324" s="135" t="n">
        <f aca="false">+'Damage Calculations'!$Z$53</f>
        <v>4541291.37726884</v>
      </c>
      <c r="E324" s="135" t="n">
        <f aca="false">+'Damage Calculations'!$Z$66</f>
        <v>4535805.37808219</v>
      </c>
      <c r="F324" s="136" t="n">
        <f aca="false">+'Damage Calculations'!$Z$79</f>
        <v>4520970</v>
      </c>
    </row>
    <row r="325" customFormat="false" ht="12.75" hidden="false" customHeight="false" outlineLevel="0" collapsed="false">
      <c r="A325" s="133"/>
      <c r="B325" s="134" t="n">
        <v>42643</v>
      </c>
      <c r="C325" s="135" t="n">
        <f aca="false">+'Damage Calculations'!$Z$39</f>
        <v>4520970</v>
      </c>
      <c r="D325" s="135" t="n">
        <f aca="false">+'Damage Calculations'!$Z$53</f>
        <v>4541291.37726884</v>
      </c>
      <c r="E325" s="135" t="n">
        <f aca="false">+'Damage Calculations'!$Z$66</f>
        <v>4535805.37808219</v>
      </c>
      <c r="F325" s="136" t="n">
        <f aca="false">+'Damage Calculations'!$Z$79</f>
        <v>4520970</v>
      </c>
    </row>
    <row r="326" customFormat="false" ht="12.75" hidden="false" customHeight="false" outlineLevel="0" collapsed="false">
      <c r="A326" s="133"/>
      <c r="B326" s="134" t="n">
        <v>42674</v>
      </c>
      <c r="C326" s="135" t="n">
        <f aca="false">+'Damage Calculations'!$Z$39</f>
        <v>4520970</v>
      </c>
      <c r="D326" s="135" t="n">
        <f aca="false">+'Damage Calculations'!$Z$53</f>
        <v>4541291.37726884</v>
      </c>
      <c r="E326" s="135" t="n">
        <f aca="false">+'Damage Calculations'!$Z$66</f>
        <v>4535805.37808219</v>
      </c>
      <c r="F326" s="136" t="n">
        <f aca="false">+'Damage Calculations'!$Z$79</f>
        <v>4520970</v>
      </c>
    </row>
    <row r="327" customFormat="false" ht="12.75" hidden="false" customHeight="false" outlineLevel="0" collapsed="false">
      <c r="A327" s="133"/>
      <c r="B327" s="134" t="n">
        <v>42704</v>
      </c>
      <c r="C327" s="135" t="n">
        <f aca="false">+'Damage Calculations'!$Z$39</f>
        <v>4520970</v>
      </c>
      <c r="D327" s="135" t="n">
        <f aca="false">+'Damage Calculations'!$Z$53</f>
        <v>4541291.37726884</v>
      </c>
      <c r="E327" s="135" t="n">
        <f aca="false">+'Damage Calculations'!$Z$66</f>
        <v>4535805.37808219</v>
      </c>
      <c r="F327" s="136" t="n">
        <f aca="false">+'Damage Calculations'!$Z$79</f>
        <v>4520970</v>
      </c>
    </row>
    <row r="328" customFormat="false" ht="12.75" hidden="false" customHeight="false" outlineLevel="0" collapsed="false">
      <c r="A328" s="133"/>
      <c r="B328" s="134" t="n">
        <v>42735</v>
      </c>
      <c r="C328" s="135" t="n">
        <f aca="false">+'Damage Calculations'!$Z$39</f>
        <v>4520970</v>
      </c>
      <c r="D328" s="135" t="n">
        <f aca="false">+'Damage Calculations'!$Z$53</f>
        <v>4541291.37726884</v>
      </c>
      <c r="E328" s="135" t="n">
        <f aca="false">+'Damage Calculations'!$Z$66</f>
        <v>4535805.37808219</v>
      </c>
      <c r="F328" s="136" t="n">
        <f aca="false">+'Damage Calculations'!$Z$79</f>
        <v>4520970</v>
      </c>
    </row>
    <row r="329" customFormat="false" ht="12.75" hidden="false" customHeight="false" outlineLevel="0" collapsed="false">
      <c r="A329" s="133"/>
      <c r="B329" s="134" t="n">
        <v>42766</v>
      </c>
      <c r="C329" s="135" t="n">
        <f aca="false">+'Damage Calculations'!$AA$39</f>
        <v>3324320</v>
      </c>
      <c r="D329" s="135" t="n">
        <f aca="false">+'Damage Calculations'!$AA$53</f>
        <v>3324320</v>
      </c>
      <c r="E329" s="135" t="n">
        <f aca="false">+'Damage Calculations'!$AA$66</f>
        <v>3324320</v>
      </c>
      <c r="F329" s="136" t="n">
        <f aca="false">+'Damage Calculations'!$AA$79</f>
        <v>3324320</v>
      </c>
    </row>
    <row r="330" customFormat="false" ht="12.75" hidden="false" customHeight="false" outlineLevel="0" collapsed="false">
      <c r="A330" s="133"/>
      <c r="B330" s="134" t="n">
        <v>42794</v>
      </c>
      <c r="C330" s="135" t="n">
        <f aca="false">+'Damage Calculations'!$AA$39</f>
        <v>3324320</v>
      </c>
      <c r="D330" s="135" t="n">
        <f aca="false">+'Damage Calculations'!$AA$53</f>
        <v>3324320</v>
      </c>
      <c r="E330" s="135" t="n">
        <f aca="false">+'Damage Calculations'!$AA$66</f>
        <v>3324320</v>
      </c>
      <c r="F330" s="136" t="n">
        <f aca="false">+'Damage Calculations'!$AA$79</f>
        <v>3324320</v>
      </c>
    </row>
    <row r="331" customFormat="false" ht="12.75" hidden="false" customHeight="false" outlineLevel="0" collapsed="false">
      <c r="A331" s="133"/>
      <c r="B331" s="134" t="n">
        <v>42825</v>
      </c>
      <c r="C331" s="135" t="n">
        <f aca="false">+'Damage Calculations'!$AA$39</f>
        <v>3324320</v>
      </c>
      <c r="D331" s="135" t="n">
        <f aca="false">+'Damage Calculations'!$AA$53</f>
        <v>3324320</v>
      </c>
      <c r="E331" s="135" t="n">
        <f aca="false">+'Damage Calculations'!$AA$66</f>
        <v>3324320</v>
      </c>
      <c r="F331" s="136" t="n">
        <f aca="false">+'Damage Calculations'!$AA$79</f>
        <v>3324320</v>
      </c>
    </row>
    <row r="332" customFormat="false" ht="12.75" hidden="false" customHeight="false" outlineLevel="0" collapsed="false">
      <c r="A332" s="133"/>
      <c r="B332" s="134" t="n">
        <v>42855</v>
      </c>
      <c r="C332" s="135" t="n">
        <f aca="false">+'Damage Calculations'!$AA$39</f>
        <v>3324320</v>
      </c>
      <c r="D332" s="135" t="n">
        <f aca="false">+'Damage Calculations'!$AA$53</f>
        <v>3324320</v>
      </c>
      <c r="E332" s="135" t="n">
        <f aca="false">+'Damage Calculations'!$AA$66</f>
        <v>3324320</v>
      </c>
      <c r="F332" s="136" t="n">
        <f aca="false">+'Damage Calculations'!$AA$79</f>
        <v>3324320</v>
      </c>
    </row>
    <row r="333" customFormat="false" ht="12.75" hidden="false" customHeight="false" outlineLevel="0" collapsed="false">
      <c r="A333" s="133"/>
      <c r="B333" s="134" t="n">
        <v>42886</v>
      </c>
      <c r="C333" s="135" t="n">
        <f aca="false">+'Damage Calculations'!$AA$39</f>
        <v>3324320</v>
      </c>
      <c r="D333" s="135" t="n">
        <f aca="false">+'Damage Calculations'!$AA$53</f>
        <v>3324320</v>
      </c>
      <c r="E333" s="135" t="n">
        <f aca="false">+'Damage Calculations'!$AA$66</f>
        <v>3324320</v>
      </c>
      <c r="F333" s="136" t="n">
        <f aca="false">+'Damage Calculations'!$AA$79</f>
        <v>3324320</v>
      </c>
    </row>
    <row r="334" customFormat="false" ht="12.75" hidden="false" customHeight="false" outlineLevel="0" collapsed="false">
      <c r="A334" s="133"/>
      <c r="B334" s="134" t="n">
        <v>42916</v>
      </c>
      <c r="C334" s="135" t="n">
        <f aca="false">+'Damage Calculations'!$AA$39</f>
        <v>3324320</v>
      </c>
      <c r="D334" s="135" t="n">
        <f aca="false">+'Damage Calculations'!$AA$53</f>
        <v>3324320</v>
      </c>
      <c r="E334" s="135" t="n">
        <f aca="false">+'Damage Calculations'!$AA$66</f>
        <v>3324320</v>
      </c>
      <c r="F334" s="136" t="n">
        <f aca="false">+'Damage Calculations'!$AA$79</f>
        <v>3324320</v>
      </c>
    </row>
    <row r="335" customFormat="false" ht="12.75" hidden="false" customHeight="false" outlineLevel="0" collapsed="false">
      <c r="A335" s="133"/>
      <c r="B335" s="134" t="n">
        <v>42947</v>
      </c>
      <c r="C335" s="135" t="n">
        <f aca="false">+'Damage Calculations'!$AA$39</f>
        <v>3324320</v>
      </c>
      <c r="D335" s="135" t="n">
        <f aca="false">+'Damage Calculations'!$AA$53</f>
        <v>3324320</v>
      </c>
      <c r="E335" s="135" t="n">
        <f aca="false">+'Damage Calculations'!$AA$66</f>
        <v>3324320</v>
      </c>
      <c r="F335" s="136" t="n">
        <f aca="false">+'Damage Calculations'!$AA$79</f>
        <v>3324320</v>
      </c>
    </row>
    <row r="336" customFormat="false" ht="12.75" hidden="false" customHeight="false" outlineLevel="0" collapsed="false">
      <c r="A336" s="133"/>
      <c r="B336" s="134" t="n">
        <v>42978</v>
      </c>
      <c r="C336" s="135" t="n">
        <f aca="false">+'Damage Calculations'!$AA$39</f>
        <v>3324320</v>
      </c>
      <c r="D336" s="135" t="n">
        <f aca="false">+'Damage Calculations'!$AA$53</f>
        <v>3324320</v>
      </c>
      <c r="E336" s="135" t="n">
        <f aca="false">+'Damage Calculations'!$AA$66</f>
        <v>3324320</v>
      </c>
      <c r="F336" s="136" t="n">
        <f aca="false">+'Damage Calculations'!$AA$79</f>
        <v>3324320</v>
      </c>
    </row>
    <row r="337" customFormat="false" ht="12.75" hidden="false" customHeight="false" outlineLevel="0" collapsed="false">
      <c r="A337" s="133"/>
      <c r="B337" s="134" t="n">
        <v>43008</v>
      </c>
      <c r="C337" s="135" t="n">
        <f aca="false">+'Damage Calculations'!$AA$39</f>
        <v>3324320</v>
      </c>
      <c r="D337" s="135" t="n">
        <f aca="false">+'Damage Calculations'!$AA$53</f>
        <v>3324320</v>
      </c>
      <c r="E337" s="135" t="n">
        <f aca="false">+'Damage Calculations'!$AA$66</f>
        <v>3324320</v>
      </c>
      <c r="F337" s="136" t="n">
        <f aca="false">+'Damage Calculations'!$AA$79</f>
        <v>3324320</v>
      </c>
    </row>
    <row r="338" customFormat="false" ht="12.75" hidden="false" customHeight="false" outlineLevel="0" collapsed="false">
      <c r="A338" s="133"/>
      <c r="B338" s="134" t="n">
        <v>43039</v>
      </c>
      <c r="C338" s="135" t="n">
        <f aca="false">+'Damage Calculations'!$AA$39</f>
        <v>3324320</v>
      </c>
      <c r="D338" s="135" t="n">
        <f aca="false">+'Damage Calculations'!$AA$53</f>
        <v>3324320</v>
      </c>
      <c r="E338" s="135" t="n">
        <f aca="false">+'Damage Calculations'!$AA$66</f>
        <v>3324320</v>
      </c>
      <c r="F338" s="136" t="n">
        <f aca="false">+'Damage Calculations'!$AA$79</f>
        <v>3324320</v>
      </c>
    </row>
    <row r="339" customFormat="false" ht="12.75" hidden="false" customHeight="false" outlineLevel="0" collapsed="false">
      <c r="A339" s="133"/>
      <c r="B339" s="134" t="n">
        <v>43069</v>
      </c>
      <c r="C339" s="135" t="n">
        <f aca="false">+'Damage Calculations'!$AA$39</f>
        <v>3324320</v>
      </c>
      <c r="D339" s="135" t="n">
        <f aca="false">+'Damage Calculations'!$AA$53</f>
        <v>3324320</v>
      </c>
      <c r="E339" s="135" t="n">
        <f aca="false">+'Damage Calculations'!$AA$66</f>
        <v>3324320</v>
      </c>
      <c r="F339" s="136" t="n">
        <f aca="false">+'Damage Calculations'!$AA$79</f>
        <v>3324320</v>
      </c>
    </row>
    <row r="340" customFormat="false" ht="12.75" hidden="false" customHeight="false" outlineLevel="0" collapsed="false">
      <c r="A340" s="133"/>
      <c r="B340" s="134" t="n">
        <v>43100</v>
      </c>
      <c r="C340" s="135" t="n">
        <f aca="false">+'Damage Calculations'!$AA$39</f>
        <v>3324320</v>
      </c>
      <c r="D340" s="135" t="n">
        <f aca="false">+'Damage Calculations'!$AA$53</f>
        <v>3324320</v>
      </c>
      <c r="E340" s="135" t="n">
        <f aca="false">+'Damage Calculations'!$AA$66</f>
        <v>3324320</v>
      </c>
      <c r="F340" s="136" t="n">
        <f aca="false">+'Damage Calculations'!$AA$79</f>
        <v>3324320</v>
      </c>
    </row>
    <row r="341" customFormat="false" ht="12.75" hidden="false" customHeight="false" outlineLevel="0" collapsed="false">
      <c r="A341" s="133"/>
      <c r="B341" s="134" t="n">
        <v>43131</v>
      </c>
      <c r="C341" s="135" t="n">
        <f aca="false">+'Damage Calculations'!$AB$39</f>
        <v>4755040</v>
      </c>
      <c r="D341" s="135" t="n">
        <f aca="false">+'Damage Calculations'!$AB$53</f>
        <v>4755040</v>
      </c>
      <c r="E341" s="135" t="n">
        <f aca="false">+'Damage Calculations'!$AB$66</f>
        <v>4755040</v>
      </c>
      <c r="F341" s="136" t="n">
        <f aca="false">+'Damage Calculations'!$AB$79</f>
        <v>4755040</v>
      </c>
    </row>
    <row r="342" customFormat="false" ht="12.75" hidden="false" customHeight="false" outlineLevel="0" collapsed="false">
      <c r="A342" s="133"/>
      <c r="B342" s="134" t="n">
        <v>43159</v>
      </c>
      <c r="C342" s="135" t="n">
        <f aca="false">+'Damage Calculations'!$AB$39</f>
        <v>4755040</v>
      </c>
      <c r="D342" s="135" t="n">
        <f aca="false">+'Damage Calculations'!$AB$53</f>
        <v>4755040</v>
      </c>
      <c r="E342" s="135" t="n">
        <f aca="false">+'Damage Calculations'!$AB$66</f>
        <v>4755040</v>
      </c>
      <c r="F342" s="136" t="n">
        <f aca="false">+'Damage Calculations'!$AB$79</f>
        <v>4755040</v>
      </c>
    </row>
    <row r="343" customFormat="false" ht="12.75" hidden="false" customHeight="false" outlineLevel="0" collapsed="false">
      <c r="A343" s="133"/>
      <c r="B343" s="134" t="n">
        <v>43190</v>
      </c>
      <c r="C343" s="135" t="n">
        <f aca="false">+'Damage Calculations'!$AB$39</f>
        <v>4755040</v>
      </c>
      <c r="D343" s="135" t="n">
        <f aca="false">+'Damage Calculations'!$AB$53</f>
        <v>4755040</v>
      </c>
      <c r="E343" s="135" t="n">
        <f aca="false">+'Damage Calculations'!$AB$66</f>
        <v>4755040</v>
      </c>
      <c r="F343" s="136" t="n">
        <f aca="false">+'Damage Calculations'!$AB$79</f>
        <v>4755040</v>
      </c>
    </row>
    <row r="344" customFormat="false" ht="12.75" hidden="false" customHeight="false" outlineLevel="0" collapsed="false">
      <c r="A344" s="133"/>
      <c r="B344" s="134" t="n">
        <v>43220</v>
      </c>
      <c r="C344" s="135" t="n">
        <f aca="false">+'Damage Calculations'!$AB$39</f>
        <v>4755040</v>
      </c>
      <c r="D344" s="135" t="n">
        <f aca="false">+'Damage Calculations'!$AB$53</f>
        <v>4755040</v>
      </c>
      <c r="E344" s="135" t="n">
        <f aca="false">+'Damage Calculations'!$AB$66</f>
        <v>4755040</v>
      </c>
      <c r="F344" s="136" t="n">
        <f aca="false">+'Damage Calculations'!$AB$79</f>
        <v>4755040</v>
      </c>
    </row>
    <row r="345" customFormat="false" ht="12.75" hidden="false" customHeight="false" outlineLevel="0" collapsed="false">
      <c r="A345" s="133"/>
      <c r="B345" s="134" t="n">
        <v>43251</v>
      </c>
      <c r="C345" s="135" t="n">
        <f aca="false">+'Damage Calculations'!$AB$39</f>
        <v>4755040</v>
      </c>
      <c r="D345" s="135" t="n">
        <f aca="false">+'Damage Calculations'!$AB$53</f>
        <v>4755040</v>
      </c>
      <c r="E345" s="135" t="n">
        <f aca="false">+'Damage Calculations'!$AB$66</f>
        <v>4755040</v>
      </c>
      <c r="F345" s="136" t="n">
        <f aca="false">+'Damage Calculations'!$AB$79</f>
        <v>4755040</v>
      </c>
    </row>
    <row r="346" customFormat="false" ht="12.75" hidden="false" customHeight="false" outlineLevel="0" collapsed="false">
      <c r="A346" s="133"/>
      <c r="B346" s="134" t="n">
        <v>43281</v>
      </c>
      <c r="C346" s="135" t="n">
        <f aca="false">+'Damage Calculations'!$AB$39</f>
        <v>4755040</v>
      </c>
      <c r="D346" s="135" t="n">
        <f aca="false">+'Damage Calculations'!$AB$53</f>
        <v>4755040</v>
      </c>
      <c r="E346" s="135" t="n">
        <f aca="false">+'Damage Calculations'!$AB$66</f>
        <v>4755040</v>
      </c>
      <c r="F346" s="136" t="n">
        <f aca="false">+'Damage Calculations'!$AB$79</f>
        <v>4755040</v>
      </c>
    </row>
    <row r="347" customFormat="false" ht="12.75" hidden="false" customHeight="false" outlineLevel="0" collapsed="false">
      <c r="A347" s="133"/>
      <c r="B347" s="134" t="n">
        <v>43312</v>
      </c>
      <c r="C347" s="135" t="n">
        <f aca="false">+'Damage Calculations'!$AB$39</f>
        <v>4755040</v>
      </c>
      <c r="D347" s="135" t="n">
        <f aca="false">+'Damage Calculations'!$AB$53</f>
        <v>4755040</v>
      </c>
      <c r="E347" s="135" t="n">
        <f aca="false">+'Damage Calculations'!$AB$66</f>
        <v>4755040</v>
      </c>
      <c r="F347" s="136" t="n">
        <f aca="false">+'Damage Calculations'!$AB$79</f>
        <v>4755040</v>
      </c>
    </row>
    <row r="348" customFormat="false" ht="12.75" hidden="false" customHeight="false" outlineLevel="0" collapsed="false">
      <c r="A348" s="133"/>
      <c r="B348" s="134" t="n">
        <v>43343</v>
      </c>
      <c r="C348" s="135" t="n">
        <f aca="false">+'Damage Calculations'!$AB$39</f>
        <v>4755040</v>
      </c>
      <c r="D348" s="135" t="n">
        <f aca="false">+'Damage Calculations'!$AB$53</f>
        <v>4755040</v>
      </c>
      <c r="E348" s="135" t="n">
        <f aca="false">+'Damage Calculations'!$AB$66</f>
        <v>4755040</v>
      </c>
      <c r="F348" s="136" t="n">
        <f aca="false">+'Damage Calculations'!$AB$79</f>
        <v>4755040</v>
      </c>
    </row>
    <row r="349" customFormat="false" ht="12.75" hidden="false" customHeight="false" outlineLevel="0" collapsed="false">
      <c r="A349" s="133"/>
      <c r="B349" s="134" t="n">
        <v>43373</v>
      </c>
      <c r="C349" s="135" t="n">
        <f aca="false">+'Damage Calculations'!$AB$39</f>
        <v>4755040</v>
      </c>
      <c r="D349" s="135" t="n">
        <f aca="false">+'Damage Calculations'!$AB$53</f>
        <v>4755040</v>
      </c>
      <c r="E349" s="135" t="n">
        <f aca="false">+'Damage Calculations'!$AB$66</f>
        <v>4755040</v>
      </c>
      <c r="F349" s="136" t="n">
        <f aca="false">+'Damage Calculations'!$AB$79</f>
        <v>4755040</v>
      </c>
    </row>
    <row r="350" customFormat="false" ht="12.75" hidden="false" customHeight="false" outlineLevel="0" collapsed="false">
      <c r="A350" s="133"/>
      <c r="B350" s="134" t="n">
        <v>43404</v>
      </c>
      <c r="C350" s="135" t="n">
        <f aca="false">+'Damage Calculations'!$AB$39</f>
        <v>4755040</v>
      </c>
      <c r="D350" s="135" t="n">
        <f aca="false">+'Damage Calculations'!$AB$53</f>
        <v>4755040</v>
      </c>
      <c r="E350" s="135" t="n">
        <f aca="false">+'Damage Calculations'!$AB$66</f>
        <v>4755040</v>
      </c>
      <c r="F350" s="136" t="n">
        <f aca="false">+'Damage Calculations'!$AB$79</f>
        <v>4755040</v>
      </c>
    </row>
    <row r="351" customFormat="false" ht="12.75" hidden="false" customHeight="false" outlineLevel="0" collapsed="false">
      <c r="A351" s="133"/>
      <c r="B351" s="134" t="n">
        <v>43434</v>
      </c>
      <c r="C351" s="135" t="n">
        <f aca="false">+'Damage Calculations'!$AB$39</f>
        <v>4755040</v>
      </c>
      <c r="D351" s="135" t="n">
        <f aca="false">+'Damage Calculations'!$AB$53</f>
        <v>4755040</v>
      </c>
      <c r="E351" s="135" t="n">
        <f aca="false">+'Damage Calculations'!$AB$66</f>
        <v>4755040</v>
      </c>
      <c r="F351" s="136" t="n">
        <f aca="false">+'Damage Calculations'!$AB$79</f>
        <v>4755040</v>
      </c>
    </row>
    <row r="352" customFormat="false" ht="12.75" hidden="false" customHeight="false" outlineLevel="0" collapsed="false">
      <c r="A352" s="133"/>
      <c r="B352" s="134" t="n">
        <v>43465</v>
      </c>
      <c r="C352" s="135" t="n">
        <f aca="false">+'Damage Calculations'!$AB$39</f>
        <v>4755040</v>
      </c>
      <c r="D352" s="135" t="n">
        <f aca="false">+'Damage Calculations'!$AB$53</f>
        <v>4755040</v>
      </c>
      <c r="E352" s="135" t="n">
        <f aca="false">+'Damage Calculations'!$AB$66</f>
        <v>4755040</v>
      </c>
      <c r="F352" s="136" t="n">
        <f aca="false">+'Damage Calculations'!$AB$79</f>
        <v>4755040</v>
      </c>
    </row>
    <row r="353" customFormat="false" ht="12.75" hidden="false" customHeight="false" outlineLevel="0" collapsed="false">
      <c r="A353" s="133"/>
      <c r="B353" s="134" t="n">
        <v>43496</v>
      </c>
      <c r="C353" s="135" t="n">
        <f aca="false">+'Damage Calculations'!$AC$39</f>
        <v>3997600</v>
      </c>
      <c r="D353" s="135" t="n">
        <f aca="false">+'Damage Calculations'!$AC$53</f>
        <v>3997600</v>
      </c>
      <c r="E353" s="135" t="n">
        <f aca="false">+'Damage Calculations'!$AC$66</f>
        <v>3997600</v>
      </c>
      <c r="F353" s="136" t="n">
        <f aca="false">+'Damage Calculations'!$AC$79</f>
        <v>3997600</v>
      </c>
    </row>
    <row r="354" customFormat="false" ht="12.75" hidden="false" customHeight="false" outlineLevel="0" collapsed="false">
      <c r="A354" s="133"/>
      <c r="B354" s="134" t="n">
        <v>43524</v>
      </c>
      <c r="C354" s="135" t="n">
        <f aca="false">+'Damage Calculations'!$AC$39</f>
        <v>3997600</v>
      </c>
      <c r="D354" s="135" t="n">
        <f aca="false">+'Damage Calculations'!$AC$53</f>
        <v>3997600</v>
      </c>
      <c r="E354" s="135" t="n">
        <f aca="false">+'Damage Calculations'!$AC$66</f>
        <v>3997600</v>
      </c>
      <c r="F354" s="136" t="n">
        <f aca="false">+'Damage Calculations'!$AC$79</f>
        <v>3997600</v>
      </c>
    </row>
    <row r="355" customFormat="false" ht="12.75" hidden="false" customHeight="false" outlineLevel="0" collapsed="false">
      <c r="A355" s="133"/>
      <c r="B355" s="134" t="n">
        <v>43555</v>
      </c>
      <c r="C355" s="135" t="n">
        <f aca="false">+'Damage Calculations'!$AC$39</f>
        <v>3997600</v>
      </c>
      <c r="D355" s="135" t="n">
        <f aca="false">+'Damage Calculations'!$AC$53</f>
        <v>3997600</v>
      </c>
      <c r="E355" s="135" t="n">
        <f aca="false">+'Damage Calculations'!$AC$66</f>
        <v>3997600</v>
      </c>
      <c r="F355" s="136" t="n">
        <f aca="false">+'Damage Calculations'!$AC$79</f>
        <v>3997600</v>
      </c>
    </row>
    <row r="356" customFormat="false" ht="12.75" hidden="false" customHeight="false" outlineLevel="0" collapsed="false">
      <c r="A356" s="133"/>
      <c r="B356" s="134" t="n">
        <v>43585</v>
      </c>
      <c r="C356" s="135" t="n">
        <f aca="false">+'Damage Calculations'!$AC$39</f>
        <v>3997600</v>
      </c>
      <c r="D356" s="135" t="n">
        <f aca="false">+'Damage Calculations'!$AC$53</f>
        <v>3997600</v>
      </c>
      <c r="E356" s="135" t="n">
        <f aca="false">+'Damage Calculations'!$AC$66</f>
        <v>3997600</v>
      </c>
      <c r="F356" s="136" t="n">
        <f aca="false">+'Damage Calculations'!$AC$79</f>
        <v>3997600</v>
      </c>
    </row>
    <row r="357" customFormat="false" ht="12.75" hidden="false" customHeight="false" outlineLevel="0" collapsed="false">
      <c r="A357" s="133"/>
      <c r="B357" s="134" t="n">
        <v>43616</v>
      </c>
      <c r="C357" s="135" t="n">
        <f aca="false">+'Damage Calculations'!$AC$39</f>
        <v>3997600</v>
      </c>
      <c r="D357" s="135" t="n">
        <f aca="false">+'Damage Calculations'!$AC$53</f>
        <v>3997600</v>
      </c>
      <c r="E357" s="135" t="n">
        <f aca="false">+'Damage Calculations'!$AC$66</f>
        <v>3997600</v>
      </c>
      <c r="F357" s="136" t="n">
        <f aca="false">+'Damage Calculations'!$AC$79</f>
        <v>3997600</v>
      </c>
    </row>
    <row r="358" customFormat="false" ht="12.75" hidden="false" customHeight="false" outlineLevel="0" collapsed="false">
      <c r="A358" s="133"/>
      <c r="B358" s="134" t="n">
        <v>43646</v>
      </c>
      <c r="C358" s="135" t="n">
        <f aca="false">+'Damage Calculations'!$AC$39</f>
        <v>3997600</v>
      </c>
      <c r="D358" s="135" t="n">
        <f aca="false">+'Damage Calculations'!$AC$53</f>
        <v>3997600</v>
      </c>
      <c r="E358" s="135" t="n">
        <f aca="false">+'Damage Calculations'!$AC$66</f>
        <v>3997600</v>
      </c>
      <c r="F358" s="136" t="n">
        <f aca="false">+'Damage Calculations'!$AC$79</f>
        <v>3997600</v>
      </c>
    </row>
    <row r="359" customFormat="false" ht="12.75" hidden="false" customHeight="false" outlineLevel="0" collapsed="false">
      <c r="A359" s="133"/>
      <c r="B359" s="134" t="n">
        <v>43677</v>
      </c>
      <c r="C359" s="135" t="n">
        <f aca="false">+'Damage Calculations'!$AC$39</f>
        <v>3997600</v>
      </c>
      <c r="D359" s="135" t="n">
        <f aca="false">+'Damage Calculations'!$AC$53</f>
        <v>3997600</v>
      </c>
      <c r="E359" s="135" t="n">
        <f aca="false">+'Damage Calculations'!$AC$66</f>
        <v>3997600</v>
      </c>
      <c r="F359" s="136" t="n">
        <f aca="false">+'Damage Calculations'!$AC$79</f>
        <v>3997600</v>
      </c>
    </row>
    <row r="360" customFormat="false" ht="12.75" hidden="false" customHeight="false" outlineLevel="0" collapsed="false">
      <c r="A360" s="133"/>
      <c r="B360" s="134" t="n">
        <v>43708</v>
      </c>
      <c r="C360" s="135" t="n">
        <f aca="false">+'Damage Calculations'!$AC$39</f>
        <v>3997600</v>
      </c>
      <c r="D360" s="135" t="n">
        <f aca="false">+'Damage Calculations'!$AC$53</f>
        <v>3997600</v>
      </c>
      <c r="E360" s="135" t="n">
        <f aca="false">+'Damage Calculations'!$AC$66</f>
        <v>3997600</v>
      </c>
      <c r="F360" s="136" t="n">
        <f aca="false">+'Damage Calculations'!$AC$79</f>
        <v>3997600</v>
      </c>
    </row>
    <row r="361" customFormat="false" ht="12.75" hidden="false" customHeight="false" outlineLevel="0" collapsed="false">
      <c r="A361" s="133"/>
      <c r="B361" s="134" t="n">
        <v>43738</v>
      </c>
      <c r="C361" s="135" t="n">
        <f aca="false">+'Damage Calculations'!$AC$39</f>
        <v>3997600</v>
      </c>
      <c r="D361" s="135" t="n">
        <f aca="false">+'Damage Calculations'!$AC$53</f>
        <v>3997600</v>
      </c>
      <c r="E361" s="135" t="n">
        <f aca="false">+'Damage Calculations'!$AC$66</f>
        <v>3997600</v>
      </c>
      <c r="F361" s="136" t="n">
        <f aca="false">+'Damage Calculations'!$AC$79</f>
        <v>3997600</v>
      </c>
    </row>
    <row r="362" customFormat="false" ht="12.75" hidden="false" customHeight="false" outlineLevel="0" collapsed="false">
      <c r="A362" s="133"/>
      <c r="B362" s="134" t="n">
        <v>43769</v>
      </c>
      <c r="C362" s="135" t="n">
        <f aca="false">+'Damage Calculations'!$AC$39</f>
        <v>3997600</v>
      </c>
      <c r="D362" s="135" t="n">
        <f aca="false">+'Damage Calculations'!$AC$53</f>
        <v>3997600</v>
      </c>
      <c r="E362" s="135" t="n">
        <f aca="false">+'Damage Calculations'!$AC$66</f>
        <v>3997600</v>
      </c>
      <c r="F362" s="136" t="n">
        <f aca="false">+'Damage Calculations'!$AC$79</f>
        <v>3997600</v>
      </c>
    </row>
    <row r="363" customFormat="false" ht="12.75" hidden="false" customHeight="false" outlineLevel="0" collapsed="false">
      <c r="A363" s="133"/>
      <c r="B363" s="134" t="n">
        <v>43799</v>
      </c>
      <c r="C363" s="135" t="n">
        <f aca="false">+'Damage Calculations'!$AC$39</f>
        <v>3997600</v>
      </c>
      <c r="D363" s="135" t="n">
        <f aca="false">+'Damage Calculations'!$AC$53</f>
        <v>3997600</v>
      </c>
      <c r="E363" s="135" t="n">
        <f aca="false">+'Damage Calculations'!$AC$66</f>
        <v>3997600</v>
      </c>
      <c r="F363" s="136" t="n">
        <f aca="false">+'Damage Calculations'!$AC$79</f>
        <v>3997600</v>
      </c>
    </row>
    <row r="364" customFormat="false" ht="13.5" hidden="false" customHeight="false" outlineLevel="0" collapsed="false">
      <c r="A364" s="137"/>
      <c r="B364" s="138" t="n">
        <v>43830</v>
      </c>
      <c r="C364" s="139" t="n">
        <f aca="false">+'Damage Calculations'!$AC$39</f>
        <v>3997600</v>
      </c>
      <c r="D364" s="139" t="n">
        <f aca="false">+'Damage Calculations'!$AC$53</f>
        <v>3997600</v>
      </c>
      <c r="E364" s="139" t="n">
        <f aca="false">+'Damage Calculations'!$AC$66</f>
        <v>3997600</v>
      </c>
      <c r="F364" s="140" t="n">
        <f aca="false">+'Damage Calculations'!$AC$79</f>
        <v>3997600</v>
      </c>
    </row>
  </sheetData>
  <mergeCells count="19">
    <mergeCell ref="A1:AC1"/>
    <mergeCell ref="A2:AC2"/>
    <mergeCell ref="A3:AC3"/>
    <mergeCell ref="A5:AC5"/>
    <mergeCell ref="A7:F7"/>
    <mergeCell ref="Q7:AC7"/>
    <mergeCell ref="A11:F11"/>
    <mergeCell ref="S11:W11"/>
    <mergeCell ref="Y11:AC11"/>
    <mergeCell ref="A15:F15"/>
    <mergeCell ref="Y15:AC15"/>
    <mergeCell ref="A19:F19"/>
    <mergeCell ref="Y19:AC19"/>
    <mergeCell ref="A23:F23"/>
    <mergeCell ref="Y23:AC23"/>
    <mergeCell ref="A30:F30"/>
    <mergeCell ref="A44:F44"/>
    <mergeCell ref="A57:F57"/>
    <mergeCell ref="A70:F70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10" activeCellId="0" sqref="M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56"/>
    <col collapsed="false" customWidth="true" hidden="false" outlineLevel="0" max="3" min="2" style="0" width="11.28"/>
    <col collapsed="false" customWidth="true" hidden="false" outlineLevel="0" max="26" min="4" style="0" width="9.7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customFormat="false" ht="16.5" hidden="false" customHeight="true" outlineLevel="0" collapsed="false">
      <c r="A2" s="3" t="s">
        <v>79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6.5" hidden="false" customHeight="tru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</row>
    <row r="5" customFormat="false" ht="16.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8" customFormat="false" ht="12.75" hidden="false" customHeight="false" outlineLevel="0" collapsed="false">
      <c r="A8" s="141"/>
      <c r="B8" s="141"/>
      <c r="C8" s="141"/>
      <c r="D8" s="142" t="n">
        <v>1997</v>
      </c>
      <c r="E8" s="143" t="n">
        <v>1998</v>
      </c>
      <c r="F8" s="143" t="n">
        <v>1999</v>
      </c>
      <c r="G8" s="143" t="n">
        <v>2000</v>
      </c>
      <c r="H8" s="143" t="n">
        <v>2001</v>
      </c>
      <c r="I8" s="143" t="n">
        <v>2002</v>
      </c>
      <c r="J8" s="143" t="n">
        <v>2003</v>
      </c>
      <c r="K8" s="143" t="n">
        <v>2004</v>
      </c>
      <c r="L8" s="143" t="n">
        <v>2005</v>
      </c>
      <c r="M8" s="143" t="n">
        <v>2006</v>
      </c>
      <c r="N8" s="143" t="n">
        <v>2007</v>
      </c>
      <c r="O8" s="143" t="n">
        <v>2008</v>
      </c>
      <c r="P8" s="143" t="n">
        <v>2009</v>
      </c>
      <c r="Q8" s="143" t="n">
        <v>2010</v>
      </c>
      <c r="R8" s="143" t="n">
        <v>2011</v>
      </c>
      <c r="S8" s="143" t="n">
        <v>2012</v>
      </c>
      <c r="T8" s="143" t="n">
        <v>2013</v>
      </c>
      <c r="U8" s="143" t="n">
        <v>2014</v>
      </c>
      <c r="V8" s="143" t="n">
        <v>2015</v>
      </c>
      <c r="W8" s="143" t="n">
        <v>2016</v>
      </c>
      <c r="X8" s="143" t="n">
        <v>2017</v>
      </c>
      <c r="Y8" s="143" t="n">
        <v>2018</v>
      </c>
      <c r="Z8" s="144" t="n">
        <v>2019</v>
      </c>
    </row>
    <row r="9" customFormat="false" ht="12.75" hidden="false" customHeight="false" outlineLevel="0" collapsed="false">
      <c r="A9" s="141"/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</row>
    <row r="10" customFormat="false" ht="12.75" hidden="false" customHeight="false" outlineLevel="0" collapsed="false">
      <c r="A10" s="145" t="s">
        <v>80</v>
      </c>
      <c r="B10" s="146"/>
      <c r="C10" s="147"/>
    </row>
    <row r="11" customFormat="false" ht="12.75" hidden="false" customHeight="false" outlineLevel="0" collapsed="false">
      <c r="A11" s="148" t="s">
        <v>81</v>
      </c>
      <c r="B11" s="149"/>
      <c r="C11" s="150"/>
      <c r="D11" s="151" t="n">
        <f aca="false">0.00375+0.00375</f>
        <v>0.0075</v>
      </c>
      <c r="E11" s="151" t="n">
        <f aca="false">0.003125*4</f>
        <v>0.0125</v>
      </c>
      <c r="F11" s="151" t="n">
        <f aca="false">0.004375*4</f>
        <v>0.0175</v>
      </c>
      <c r="G11" s="151" t="n">
        <v>0.0225</v>
      </c>
      <c r="H11" s="151" t="n">
        <v>0.0275</v>
      </c>
      <c r="I11" s="151" t="n">
        <v>0.0275</v>
      </c>
      <c r="J11" s="151" t="n">
        <v>0.0325</v>
      </c>
      <c r="K11" s="151" t="n">
        <v>0.0375</v>
      </c>
      <c r="L11" s="151" t="n">
        <v>0.0425</v>
      </c>
      <c r="M11" s="151" t="n">
        <v>0.0475</v>
      </c>
      <c r="N11" s="151" t="n">
        <v>0.1071</v>
      </c>
      <c r="O11" s="151" t="n">
        <v>0.1253</v>
      </c>
      <c r="P11" s="151" t="n">
        <v>0.1167</v>
      </c>
      <c r="Q11" s="151" t="n">
        <v>0.1339</v>
      </c>
      <c r="R11" s="151" t="n">
        <v>0.1555</v>
      </c>
      <c r="S11" s="151" t="n">
        <v>0.0865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</row>
    <row r="12" customFormat="false" ht="12.75" hidden="false" customHeight="false" outlineLevel="0" collapsed="false">
      <c r="A12" s="152" t="s">
        <v>82</v>
      </c>
      <c r="B12" s="104"/>
      <c r="D12" s="153" t="n">
        <v>0</v>
      </c>
      <c r="E12" s="153" t="n">
        <f aca="false">+E$11*$C$50/4</f>
        <v>287.5</v>
      </c>
      <c r="F12" s="153" t="n">
        <f aca="false">+F$11*$C$50/4</f>
        <v>402.5</v>
      </c>
      <c r="G12" s="153" t="n">
        <f aca="false">+G$11*$C$50/4</f>
        <v>517.5</v>
      </c>
      <c r="H12" s="153" t="n">
        <f aca="false">+H$11*$C$50/4</f>
        <v>632.5</v>
      </c>
      <c r="I12" s="153" t="n">
        <f aca="false">+I$11*$C$50/4</f>
        <v>632.5</v>
      </c>
      <c r="J12" s="153" t="n">
        <f aca="false">+J$11*$C$50/4</f>
        <v>747.5</v>
      </c>
      <c r="K12" s="153" t="n">
        <f aca="false">+K$11*$C$50/4</f>
        <v>862.5</v>
      </c>
      <c r="L12" s="153" t="n">
        <f aca="false">+L$11*$C$50/4</f>
        <v>977.5</v>
      </c>
      <c r="M12" s="153" t="n">
        <f aca="false">+M$11*$C$50/4</f>
        <v>1092.5</v>
      </c>
      <c r="N12" s="153" t="n">
        <f aca="false">+N$11*$C$50/4</f>
        <v>2463.3</v>
      </c>
      <c r="O12" s="153" t="n">
        <f aca="false">+O$11*$C$50/4</f>
        <v>2881.9</v>
      </c>
      <c r="P12" s="153" t="n">
        <f aca="false">+P$11*$C$50/4</f>
        <v>2684.1</v>
      </c>
      <c r="Q12" s="153" t="n">
        <f aca="false">+Q$11*$C$50/4</f>
        <v>3079.7</v>
      </c>
      <c r="R12" s="153" t="n">
        <f aca="false">+R$11*$C$50/4</f>
        <v>3576.5</v>
      </c>
      <c r="S12" s="153" t="n">
        <f aca="false">+S$11*$C$50/2</f>
        <v>3979</v>
      </c>
      <c r="T12" s="153" t="n">
        <f aca="false">+T$11*$C$50/4</f>
        <v>0</v>
      </c>
      <c r="U12" s="153" t="n">
        <f aca="false">+U$11*$C$50/4</f>
        <v>0</v>
      </c>
      <c r="V12" s="153" t="n">
        <f aca="false">+V$11*$C$50/4</f>
        <v>0</v>
      </c>
      <c r="W12" s="153" t="n">
        <f aca="false">+W$11*$C$50/4</f>
        <v>0</v>
      </c>
      <c r="X12" s="153" t="n">
        <f aca="false">+X$11*$C$50/4</f>
        <v>0</v>
      </c>
      <c r="Y12" s="153" t="n">
        <f aca="false">+Y$11*$C$50/4</f>
        <v>0</v>
      </c>
      <c r="Z12" s="153" t="n">
        <f aca="false">+Z$11*$C$50/4</f>
        <v>0</v>
      </c>
    </row>
    <row r="13" customFormat="false" ht="12.75" hidden="false" customHeight="false" outlineLevel="0" collapsed="false">
      <c r="A13" s="152" t="s">
        <v>83</v>
      </c>
      <c r="B13" s="104"/>
      <c r="D13" s="153" t="n">
        <v>0</v>
      </c>
      <c r="E13" s="153" t="n">
        <f aca="false">+E$11*$C$50/4</f>
        <v>287.5</v>
      </c>
      <c r="F13" s="153" t="n">
        <f aca="false">+F$11*$C$50/4</f>
        <v>402.5</v>
      </c>
      <c r="G13" s="153" t="n">
        <f aca="false">+G$11*$C$50/4</f>
        <v>517.5</v>
      </c>
      <c r="H13" s="153" t="n">
        <f aca="false">+H$11*$C$50/4</f>
        <v>632.5</v>
      </c>
      <c r="I13" s="153" t="n">
        <f aca="false">+I$11*$C$50/4</f>
        <v>632.5</v>
      </c>
      <c r="J13" s="153" t="n">
        <f aca="false">+J$11*$C$50/4</f>
        <v>747.5</v>
      </c>
      <c r="K13" s="153" t="n">
        <f aca="false">+K$11*$C$50/4</f>
        <v>862.5</v>
      </c>
      <c r="L13" s="153" t="n">
        <f aca="false">+L$11*$C$50/4</f>
        <v>977.5</v>
      </c>
      <c r="M13" s="153" t="n">
        <f aca="false">+M$11*$C$50/4</f>
        <v>1092.5</v>
      </c>
      <c r="N13" s="153" t="n">
        <f aca="false">+N$11*$C$50/4</f>
        <v>2463.3</v>
      </c>
      <c r="O13" s="153" t="n">
        <f aca="false">+O$11*$C$50/4</f>
        <v>2881.9</v>
      </c>
      <c r="P13" s="153" t="n">
        <f aca="false">+P$11*$C$50/4</f>
        <v>2684.1</v>
      </c>
      <c r="Q13" s="153" t="n">
        <f aca="false">+Q$11*$C$50/4</f>
        <v>3079.7</v>
      </c>
      <c r="R13" s="153" t="n">
        <f aca="false">+R$11*$C$50/4</f>
        <v>3576.5</v>
      </c>
      <c r="S13" s="153" t="n">
        <f aca="false">+S$11*$C$50/2</f>
        <v>3979</v>
      </c>
      <c r="T13" s="153" t="n">
        <f aca="false">+T$11*$C$50/4</f>
        <v>0</v>
      </c>
      <c r="U13" s="153" t="n">
        <f aca="false">+U$11*$C$50/4</f>
        <v>0</v>
      </c>
      <c r="V13" s="153" t="n">
        <f aca="false">+V$11*$C$50/4</f>
        <v>0</v>
      </c>
      <c r="W13" s="153" t="n">
        <f aca="false">+W$11*$C$50/4</f>
        <v>0</v>
      </c>
      <c r="X13" s="153" t="n">
        <f aca="false">+X$11*$C$50/4</f>
        <v>0</v>
      </c>
      <c r="Y13" s="153" t="n">
        <f aca="false">+Y$11*$C$50/4</f>
        <v>0</v>
      </c>
      <c r="Z13" s="153" t="n">
        <f aca="false">+Z$11*$C$50/4</f>
        <v>0</v>
      </c>
    </row>
    <row r="14" customFormat="false" ht="12.75" hidden="false" customHeight="false" outlineLevel="0" collapsed="false">
      <c r="A14" s="152" t="s">
        <v>84</v>
      </c>
      <c r="B14" s="104"/>
      <c r="D14" s="153" t="n">
        <f aca="false">+D$11*$C$50/2</f>
        <v>345</v>
      </c>
      <c r="E14" s="153" t="n">
        <f aca="false">+E$11*$C$50/4</f>
        <v>287.5</v>
      </c>
      <c r="F14" s="153" t="n">
        <f aca="false">+F$11*$C$50/4</f>
        <v>402.5</v>
      </c>
      <c r="G14" s="153" t="n">
        <f aca="false">+G$11*$C$50/4</f>
        <v>517.5</v>
      </c>
      <c r="H14" s="153" t="n">
        <f aca="false">+H$11*$C$50/4</f>
        <v>632.5</v>
      </c>
      <c r="I14" s="153" t="n">
        <f aca="false">+I$11*$C$50/4</f>
        <v>632.5</v>
      </c>
      <c r="J14" s="153" t="n">
        <f aca="false">+J$11*$C$50/4</f>
        <v>747.5</v>
      </c>
      <c r="K14" s="153" t="n">
        <f aca="false">+K$11*$C$50/4</f>
        <v>862.5</v>
      </c>
      <c r="L14" s="153" t="n">
        <f aca="false">+L$11*$C$50/4</f>
        <v>977.5</v>
      </c>
      <c r="M14" s="153" t="n">
        <f aca="false">+M$11*$C$50/4</f>
        <v>1092.5</v>
      </c>
      <c r="N14" s="153" t="n">
        <f aca="false">+N$11*$C$50/4</f>
        <v>2463.3</v>
      </c>
      <c r="O14" s="153" t="n">
        <f aca="false">+O$11*$C$50/4</f>
        <v>2881.9</v>
      </c>
      <c r="P14" s="153" t="n">
        <f aca="false">+P$11*$C$50/4</f>
        <v>2684.1</v>
      </c>
      <c r="Q14" s="153" t="n">
        <f aca="false">+Q$11*$C$50/4</f>
        <v>3079.7</v>
      </c>
      <c r="R14" s="153" t="n">
        <f aca="false">+R$11*$C$50/4</f>
        <v>3576.5</v>
      </c>
      <c r="S14" s="153" t="n">
        <v>0</v>
      </c>
      <c r="T14" s="153" t="n">
        <f aca="false">+T$11*$C$50/4</f>
        <v>0</v>
      </c>
      <c r="U14" s="153" t="n">
        <f aca="false">+U$11*$C$50/4</f>
        <v>0</v>
      </c>
      <c r="V14" s="153" t="n">
        <f aca="false">+V$11*$C$50/4</f>
        <v>0</v>
      </c>
      <c r="W14" s="153" t="n">
        <f aca="false">+W$11*$C$50/4</f>
        <v>0</v>
      </c>
      <c r="X14" s="153" t="n">
        <f aca="false">+X$11*$C$50/4</f>
        <v>0</v>
      </c>
      <c r="Y14" s="153" t="n">
        <f aca="false">+Y$11*$C$50/4</f>
        <v>0</v>
      </c>
      <c r="Z14" s="153" t="n">
        <f aca="false">+Z$11*$C$50/4</f>
        <v>0</v>
      </c>
    </row>
    <row r="15" customFormat="false" ht="12.75" hidden="false" customHeight="false" outlineLevel="0" collapsed="false">
      <c r="A15" s="152" t="s">
        <v>85</v>
      </c>
      <c r="B15" s="104"/>
      <c r="D15" s="153" t="n">
        <f aca="false">+D$11*$C$50/2</f>
        <v>345</v>
      </c>
      <c r="E15" s="153" t="n">
        <f aca="false">+E$11*$C$50/4</f>
        <v>287.5</v>
      </c>
      <c r="F15" s="153" t="n">
        <f aca="false">+F$11*$C$50/4</f>
        <v>402.5</v>
      </c>
      <c r="G15" s="153" t="n">
        <f aca="false">+G$11*$C$50/4</f>
        <v>517.5</v>
      </c>
      <c r="H15" s="153" t="n">
        <f aca="false">+H$11*$C$50/4</f>
        <v>632.5</v>
      </c>
      <c r="I15" s="153" t="n">
        <f aca="false">+I$11*$C$50/4</f>
        <v>632.5</v>
      </c>
      <c r="J15" s="153" t="n">
        <f aca="false">+J$11*$C$50/4</f>
        <v>747.5</v>
      </c>
      <c r="K15" s="153" t="n">
        <f aca="false">+K$11*$C$50/4</f>
        <v>862.5</v>
      </c>
      <c r="L15" s="153" t="n">
        <f aca="false">+L$11*$C$50/4</f>
        <v>977.5</v>
      </c>
      <c r="M15" s="153" t="n">
        <f aca="false">+M$11*$C$50/4</f>
        <v>1092.5</v>
      </c>
      <c r="N15" s="153" t="n">
        <f aca="false">+N$11*$C$50/4</f>
        <v>2463.3</v>
      </c>
      <c r="O15" s="153" t="n">
        <f aca="false">+O$11*$C$50/4</f>
        <v>2881.9</v>
      </c>
      <c r="P15" s="153" t="n">
        <f aca="false">+P$11*$C$50/4</f>
        <v>2684.1</v>
      </c>
      <c r="Q15" s="153" t="n">
        <f aca="false">+Q$11*$C$50/4</f>
        <v>3079.7</v>
      </c>
      <c r="R15" s="153" t="n">
        <f aca="false">+R$11*$C$50/4</f>
        <v>3576.5</v>
      </c>
      <c r="S15" s="153" t="n">
        <v>0</v>
      </c>
      <c r="T15" s="153" t="n">
        <f aca="false">+T$11*$C$50/4</f>
        <v>0</v>
      </c>
      <c r="U15" s="153" t="n">
        <f aca="false">+U$11*$C$50/4</f>
        <v>0</v>
      </c>
      <c r="V15" s="153" t="n">
        <f aca="false">+V$11*$C$50/4</f>
        <v>0</v>
      </c>
      <c r="W15" s="153" t="n">
        <f aca="false">+W$11*$C$50/4</f>
        <v>0</v>
      </c>
      <c r="X15" s="153" t="n">
        <f aca="false">+X$11*$C$50/4</f>
        <v>0</v>
      </c>
      <c r="Y15" s="153" t="n">
        <f aca="false">+Y$11*$C$50/4</f>
        <v>0</v>
      </c>
      <c r="Z15" s="153" t="n">
        <f aca="false">+Z$11*$C$50/4</f>
        <v>0</v>
      </c>
    </row>
    <row r="16" customFormat="false" ht="12.75" hidden="false" customHeight="false" outlineLevel="0" collapsed="false">
      <c r="A16" s="152"/>
      <c r="B16" s="104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</row>
    <row r="17" customFormat="false" ht="12.75" hidden="false" customHeight="false" outlineLevel="0" collapsed="false">
      <c r="A17" s="152" t="s">
        <v>86</v>
      </c>
      <c r="B17" s="104"/>
      <c r="D17" s="153" t="n">
        <f aca="false">+C50</f>
        <v>92000</v>
      </c>
      <c r="E17" s="153" t="n">
        <f aca="false">+D20-D15</f>
        <v>91310</v>
      </c>
      <c r="F17" s="153" t="n">
        <f aca="false">+E20-E15</f>
        <v>90160</v>
      </c>
      <c r="G17" s="153" t="n">
        <f aca="false">+F20-F15</f>
        <v>88550</v>
      </c>
      <c r="H17" s="153" t="n">
        <f aca="false">+G20-G15</f>
        <v>86480</v>
      </c>
      <c r="I17" s="153" t="n">
        <f aca="false">+H20-H15</f>
        <v>83950</v>
      </c>
      <c r="J17" s="153" t="n">
        <f aca="false">+I20-I15</f>
        <v>81420</v>
      </c>
      <c r="K17" s="153" t="n">
        <f aca="false">+J20-J15</f>
        <v>78430</v>
      </c>
      <c r="L17" s="153" t="n">
        <f aca="false">+K20-K15</f>
        <v>74980</v>
      </c>
      <c r="M17" s="153" t="n">
        <f aca="false">+L20-L15</f>
        <v>71070</v>
      </c>
      <c r="N17" s="153" t="n">
        <f aca="false">+M20-M15</f>
        <v>66700</v>
      </c>
      <c r="O17" s="153" t="n">
        <f aca="false">+N20-N15</f>
        <v>56846.8</v>
      </c>
      <c r="P17" s="153" t="n">
        <f aca="false">+O20-O15</f>
        <v>45319.2</v>
      </c>
      <c r="Q17" s="153" t="n">
        <f aca="false">+P20-P15</f>
        <v>34582.8</v>
      </c>
      <c r="R17" s="153" t="n">
        <f aca="false">+Q20-Q15</f>
        <v>22264</v>
      </c>
      <c r="S17" s="153" t="n">
        <f aca="false">+R20-R15</f>
        <v>7957.99999999999</v>
      </c>
      <c r="T17" s="153" t="n">
        <f aca="false">+S20-S15</f>
        <v>-1.54614099301398E-011</v>
      </c>
      <c r="U17" s="153" t="n">
        <f aca="false">+T20-T15</f>
        <v>-1.54614099301398E-011</v>
      </c>
      <c r="V17" s="153" t="n">
        <f aca="false">+U20-U15</f>
        <v>-1.54614099301398E-011</v>
      </c>
      <c r="W17" s="153" t="n">
        <f aca="false">+V20-V15</f>
        <v>-1.54614099301398E-011</v>
      </c>
      <c r="X17" s="153" t="n">
        <f aca="false">+W20-W15</f>
        <v>-1.54614099301398E-011</v>
      </c>
      <c r="Y17" s="153" t="n">
        <f aca="false">+X20-X15</f>
        <v>-1.54614099301398E-011</v>
      </c>
      <c r="Z17" s="153" t="n">
        <f aca="false">+Y20-Y15</f>
        <v>-1.54614099301398E-011</v>
      </c>
    </row>
    <row r="18" customFormat="false" ht="12.75" hidden="false" customHeight="false" outlineLevel="0" collapsed="false">
      <c r="A18" s="152" t="s">
        <v>87</v>
      </c>
      <c r="B18" s="104"/>
      <c r="D18" s="153" t="n">
        <f aca="false">+D17-D12</f>
        <v>92000</v>
      </c>
      <c r="E18" s="153" t="n">
        <f aca="false">+E17-E12</f>
        <v>91022.5</v>
      </c>
      <c r="F18" s="153" t="n">
        <f aca="false">+F17-F12</f>
        <v>89757.5</v>
      </c>
      <c r="G18" s="153" t="n">
        <f aca="false">+G17-G12</f>
        <v>88032.5</v>
      </c>
      <c r="H18" s="153" t="n">
        <f aca="false">+H17-H12</f>
        <v>85847.5</v>
      </c>
      <c r="I18" s="153" t="n">
        <f aca="false">+I17-I12</f>
        <v>83317.5</v>
      </c>
      <c r="J18" s="153" t="n">
        <f aca="false">+J17-J12</f>
        <v>80672.5</v>
      </c>
      <c r="K18" s="153" t="n">
        <f aca="false">+K17-K12</f>
        <v>77567.5</v>
      </c>
      <c r="L18" s="153" t="n">
        <f aca="false">+L17-L12</f>
        <v>74002.5</v>
      </c>
      <c r="M18" s="153" t="n">
        <f aca="false">+M17-M12</f>
        <v>69977.5</v>
      </c>
      <c r="N18" s="153" t="n">
        <f aca="false">+N17-N12</f>
        <v>64236.7</v>
      </c>
      <c r="O18" s="153" t="n">
        <f aca="false">+O17-O12</f>
        <v>53964.9</v>
      </c>
      <c r="P18" s="153" t="n">
        <f aca="false">+P17-P12</f>
        <v>42635.1</v>
      </c>
      <c r="Q18" s="153" t="n">
        <f aca="false">+Q17-Q12</f>
        <v>31503.1</v>
      </c>
      <c r="R18" s="153" t="n">
        <f aca="false">+R17-R12</f>
        <v>18687.5</v>
      </c>
      <c r="S18" s="153" t="n">
        <f aca="false">+S17-S12</f>
        <v>3978.99999999999</v>
      </c>
      <c r="T18" s="153" t="n">
        <f aca="false">+T17-T12</f>
        <v>-1.54614099301398E-011</v>
      </c>
      <c r="U18" s="153" t="n">
        <f aca="false">+U17-U12</f>
        <v>-1.54614099301398E-011</v>
      </c>
      <c r="V18" s="153" t="n">
        <f aca="false">+V17-V12</f>
        <v>-1.54614099301398E-011</v>
      </c>
      <c r="W18" s="153" t="n">
        <f aca="false">+W17-W12</f>
        <v>-1.54614099301398E-011</v>
      </c>
      <c r="X18" s="153" t="n">
        <f aca="false">+X17-X12</f>
        <v>-1.54614099301398E-011</v>
      </c>
      <c r="Y18" s="153" t="n">
        <f aca="false">+Y17-Y12</f>
        <v>-1.54614099301398E-011</v>
      </c>
      <c r="Z18" s="153" t="n">
        <f aca="false">+Z17-Z12</f>
        <v>-1.54614099301398E-011</v>
      </c>
    </row>
    <row r="19" customFormat="false" ht="12.75" hidden="false" customHeight="false" outlineLevel="0" collapsed="false">
      <c r="A19" s="152" t="s">
        <v>88</v>
      </c>
      <c r="B19" s="104"/>
      <c r="D19" s="153" t="n">
        <f aca="false">+D18-D13</f>
        <v>92000</v>
      </c>
      <c r="E19" s="153" t="n">
        <f aca="false">+E18-E13</f>
        <v>90735</v>
      </c>
      <c r="F19" s="153" t="n">
        <f aca="false">+F18-F13</f>
        <v>89355</v>
      </c>
      <c r="G19" s="153" t="n">
        <f aca="false">+G18-G13</f>
        <v>87515</v>
      </c>
      <c r="H19" s="153" t="n">
        <f aca="false">+H18-H13</f>
        <v>85215</v>
      </c>
      <c r="I19" s="153" t="n">
        <f aca="false">+I18-I13</f>
        <v>82685</v>
      </c>
      <c r="J19" s="153" t="n">
        <f aca="false">+J18-J13</f>
        <v>79925</v>
      </c>
      <c r="K19" s="153" t="n">
        <f aca="false">+K18-K13</f>
        <v>76705</v>
      </c>
      <c r="L19" s="153" t="n">
        <f aca="false">+L18-L13</f>
        <v>73025</v>
      </c>
      <c r="M19" s="153" t="n">
        <f aca="false">+M18-M13</f>
        <v>68885</v>
      </c>
      <c r="N19" s="153" t="n">
        <f aca="false">+N18-N13</f>
        <v>61773.4</v>
      </c>
      <c r="O19" s="153" t="n">
        <f aca="false">+O18-O13</f>
        <v>51083</v>
      </c>
      <c r="P19" s="153" t="n">
        <f aca="false">+P18-P13</f>
        <v>39951</v>
      </c>
      <c r="Q19" s="153" t="n">
        <f aca="false">+Q18-Q13</f>
        <v>28423.4</v>
      </c>
      <c r="R19" s="153" t="n">
        <f aca="false">+R18-R13</f>
        <v>15111</v>
      </c>
      <c r="S19" s="153" t="n">
        <f aca="false">+S18-S13</f>
        <v>-1.54614099301398E-011</v>
      </c>
      <c r="T19" s="153" t="n">
        <f aca="false">+T18-T13</f>
        <v>-1.54614099301398E-011</v>
      </c>
      <c r="U19" s="153" t="n">
        <f aca="false">+U18-U13</f>
        <v>-1.54614099301398E-011</v>
      </c>
      <c r="V19" s="153" t="n">
        <f aca="false">+V18-V13</f>
        <v>-1.54614099301398E-011</v>
      </c>
      <c r="W19" s="153" t="n">
        <f aca="false">+W18-W13</f>
        <v>-1.54614099301398E-011</v>
      </c>
      <c r="X19" s="153" t="n">
        <f aca="false">+X18-X13</f>
        <v>-1.54614099301398E-011</v>
      </c>
      <c r="Y19" s="153" t="n">
        <f aca="false">+Y18-Y13</f>
        <v>-1.54614099301398E-011</v>
      </c>
      <c r="Z19" s="153" t="n">
        <f aca="false">+Z18-Z13</f>
        <v>-1.54614099301398E-011</v>
      </c>
    </row>
    <row r="20" customFormat="false" ht="12.75" hidden="false" customHeight="false" outlineLevel="0" collapsed="false">
      <c r="A20" s="152" t="s">
        <v>89</v>
      </c>
      <c r="B20" s="104"/>
      <c r="D20" s="153" t="n">
        <f aca="false">+D19-D14</f>
        <v>91655</v>
      </c>
      <c r="E20" s="153" t="n">
        <f aca="false">+E19-E14</f>
        <v>90447.5</v>
      </c>
      <c r="F20" s="153" t="n">
        <f aca="false">+F19-F14</f>
        <v>88952.5</v>
      </c>
      <c r="G20" s="153" t="n">
        <f aca="false">+G19-G14</f>
        <v>86997.5</v>
      </c>
      <c r="H20" s="153" t="n">
        <f aca="false">+H19-H14</f>
        <v>84582.5</v>
      </c>
      <c r="I20" s="153" t="n">
        <f aca="false">+I19-I14</f>
        <v>82052.5</v>
      </c>
      <c r="J20" s="153" t="n">
        <f aca="false">+J19-J14</f>
        <v>79177.5</v>
      </c>
      <c r="K20" s="153" t="n">
        <f aca="false">+K19-K14</f>
        <v>75842.5</v>
      </c>
      <c r="L20" s="153" t="n">
        <f aca="false">+L19-L14</f>
        <v>72047.5</v>
      </c>
      <c r="M20" s="153" t="n">
        <f aca="false">+M19-M14</f>
        <v>67792.5</v>
      </c>
      <c r="N20" s="153" t="n">
        <f aca="false">+N19-N14</f>
        <v>59310.1</v>
      </c>
      <c r="O20" s="153" t="n">
        <f aca="false">+O19-O14</f>
        <v>48201.1</v>
      </c>
      <c r="P20" s="153" t="n">
        <f aca="false">+P19-P14</f>
        <v>37266.9</v>
      </c>
      <c r="Q20" s="153" t="n">
        <f aca="false">+Q19-Q14</f>
        <v>25343.7</v>
      </c>
      <c r="R20" s="153" t="n">
        <f aca="false">+R19-R14</f>
        <v>11534.5</v>
      </c>
      <c r="S20" s="153" t="n">
        <f aca="false">+S19-S14</f>
        <v>-1.54614099301398E-011</v>
      </c>
      <c r="T20" s="153" t="n">
        <f aca="false">+T19-T14</f>
        <v>-1.54614099301398E-011</v>
      </c>
      <c r="U20" s="153" t="n">
        <f aca="false">+U19-U14</f>
        <v>-1.54614099301398E-011</v>
      </c>
      <c r="V20" s="153" t="n">
        <f aca="false">+V19-V14</f>
        <v>-1.54614099301398E-011</v>
      </c>
      <c r="W20" s="153" t="n">
        <f aca="false">+W19-W14</f>
        <v>-1.54614099301398E-011</v>
      </c>
      <c r="X20" s="153" t="n">
        <f aca="false">+X19-X14</f>
        <v>-1.54614099301398E-011</v>
      </c>
      <c r="Y20" s="153" t="n">
        <f aca="false">+Y19-Y14</f>
        <v>-1.54614099301398E-011</v>
      </c>
      <c r="Z20" s="153" t="n">
        <f aca="false">+Z19-Z14</f>
        <v>-1.54614099301398E-011</v>
      </c>
    </row>
    <row r="21" customFormat="false" ht="12.75" hidden="false" customHeight="false" outlineLevel="0" collapsed="false">
      <c r="A21" s="152"/>
      <c r="B21" s="10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</row>
    <row r="22" customFormat="false" ht="12.75" hidden="false" customHeight="false" outlineLevel="0" collapsed="false">
      <c r="A22" s="145" t="s">
        <v>90</v>
      </c>
      <c r="B22" s="146"/>
      <c r="C22" s="147"/>
    </row>
    <row r="23" customFormat="false" ht="12.75" hidden="false" customHeight="false" outlineLevel="0" collapsed="false">
      <c r="A23" s="152" t="s">
        <v>81</v>
      </c>
      <c r="B23" s="104"/>
      <c r="D23" s="155" t="n">
        <v>0</v>
      </c>
      <c r="E23" s="155" t="n">
        <v>0</v>
      </c>
      <c r="F23" s="155" t="n">
        <v>0</v>
      </c>
      <c r="G23" s="155" t="n">
        <v>0</v>
      </c>
      <c r="H23" s="155" t="n">
        <v>0</v>
      </c>
      <c r="I23" s="155" t="n">
        <v>0</v>
      </c>
      <c r="J23" s="155" t="n">
        <v>0</v>
      </c>
      <c r="K23" s="155" t="n">
        <v>0</v>
      </c>
      <c r="L23" s="155" t="n">
        <v>0</v>
      </c>
      <c r="M23" s="155" t="n">
        <v>0</v>
      </c>
      <c r="N23" s="155" t="n">
        <v>0</v>
      </c>
      <c r="O23" s="155" t="n">
        <v>0</v>
      </c>
      <c r="P23" s="155" t="n">
        <v>0</v>
      </c>
      <c r="Q23" s="155" t="n">
        <v>0</v>
      </c>
      <c r="R23" s="155" t="n">
        <v>0</v>
      </c>
      <c r="S23" s="155" t="n">
        <v>0.164284</v>
      </c>
      <c r="T23" s="155" t="n">
        <v>0.18</v>
      </c>
      <c r="U23" s="155" t="n">
        <v>0.197144</v>
      </c>
      <c r="V23" s="155" t="n">
        <v>0.218572</v>
      </c>
      <c r="W23" s="155" t="n">
        <v>0.24</v>
      </c>
      <c r="X23" s="155" t="n">
        <v>0</v>
      </c>
      <c r="Y23" s="155" t="n">
        <v>0</v>
      </c>
      <c r="Z23" s="155" t="n">
        <v>0</v>
      </c>
    </row>
    <row r="24" customFormat="false" ht="12.75" hidden="false" customHeight="false" outlineLevel="0" collapsed="false">
      <c r="A24" s="152" t="s">
        <v>82</v>
      </c>
      <c r="B24" s="104"/>
      <c r="D24" s="153" t="n">
        <f aca="false">+D$23*$C$51/4</f>
        <v>0</v>
      </c>
      <c r="E24" s="153" t="n">
        <f aca="false">+E$23*$C$51/4</f>
        <v>0</v>
      </c>
      <c r="F24" s="153" t="n">
        <f aca="false">+F$23*$C$51/4</f>
        <v>0</v>
      </c>
      <c r="G24" s="153" t="n">
        <f aca="false">+G$23*$C$51/4</f>
        <v>0</v>
      </c>
      <c r="H24" s="153" t="n">
        <f aca="false">+H$23*$C$51/4</f>
        <v>0</v>
      </c>
      <c r="I24" s="153" t="n">
        <f aca="false">+I$23*$C$51/4</f>
        <v>0</v>
      </c>
      <c r="J24" s="153" t="n">
        <f aca="false">+J$23*$C$51/4</f>
        <v>0</v>
      </c>
      <c r="K24" s="153" t="n">
        <f aca="false">+K$23*$C$51/4</f>
        <v>0</v>
      </c>
      <c r="L24" s="153" t="n">
        <f aca="false">+L$23*$C$51/4</f>
        <v>0</v>
      </c>
      <c r="M24" s="153" t="n">
        <f aca="false">+M$23*$C$51/4</f>
        <v>0</v>
      </c>
      <c r="N24" s="153" t="n">
        <f aca="false">+N$23*$C$51/4</f>
        <v>0</v>
      </c>
      <c r="O24" s="153" t="n">
        <f aca="false">+O$23*$C$51/4</f>
        <v>0</v>
      </c>
      <c r="P24" s="153" t="n">
        <f aca="false">+P$23*$C$51/4</f>
        <v>0</v>
      </c>
      <c r="Q24" s="153" t="n">
        <f aca="false">+Q$23*$C$51/4</f>
        <v>0</v>
      </c>
      <c r="R24" s="153" t="n">
        <f aca="false">+R$23*$C$51/4</f>
        <v>0</v>
      </c>
      <c r="S24" s="153" t="n">
        <v>0</v>
      </c>
      <c r="T24" s="153" t="n">
        <f aca="false">+T$23*$C$51/4</f>
        <v>3150</v>
      </c>
      <c r="U24" s="153" t="n">
        <f aca="false">+U$23*$C$51/4</f>
        <v>3450.02</v>
      </c>
      <c r="V24" s="153" t="n">
        <f aca="false">+V$23*$C$51/4</f>
        <v>3825.01</v>
      </c>
      <c r="W24" s="153" t="n">
        <f aca="false">+W$23*$C$51/4</f>
        <v>4200</v>
      </c>
      <c r="X24" s="153" t="n">
        <f aca="false">+X$23*$C$51/4</f>
        <v>0</v>
      </c>
      <c r="Y24" s="153" t="n">
        <f aca="false">+Y$23*$C$51/4</f>
        <v>0</v>
      </c>
      <c r="Z24" s="153" t="n">
        <f aca="false">+Z$23*$C$51/4</f>
        <v>0</v>
      </c>
    </row>
    <row r="25" customFormat="false" ht="12.75" hidden="false" customHeight="false" outlineLevel="0" collapsed="false">
      <c r="A25" s="152" t="s">
        <v>83</v>
      </c>
      <c r="B25" s="104"/>
      <c r="D25" s="153" t="n">
        <f aca="false">+D$23*$C$51/4</f>
        <v>0</v>
      </c>
      <c r="E25" s="153" t="n">
        <f aca="false">+E$23*$C$51/4</f>
        <v>0</v>
      </c>
      <c r="F25" s="153" t="n">
        <f aca="false">+F$23*$C$51/4</f>
        <v>0</v>
      </c>
      <c r="G25" s="153" t="n">
        <f aca="false">+G$23*$C$51/4</f>
        <v>0</v>
      </c>
      <c r="H25" s="153" t="n">
        <f aca="false">+H$23*$C$51/4</f>
        <v>0</v>
      </c>
      <c r="I25" s="153" t="n">
        <f aca="false">+I$23*$C$51/4</f>
        <v>0</v>
      </c>
      <c r="J25" s="153" t="n">
        <f aca="false">+J$23*$C$51/4</f>
        <v>0</v>
      </c>
      <c r="K25" s="153" t="n">
        <f aca="false">+K$23*$C$51/4</f>
        <v>0</v>
      </c>
      <c r="L25" s="153" t="n">
        <f aca="false">+L$23*$C$51/4</f>
        <v>0</v>
      </c>
      <c r="M25" s="153" t="n">
        <f aca="false">+M$23*$C$51/4</f>
        <v>0</v>
      </c>
      <c r="N25" s="153" t="n">
        <f aca="false">+N$23*$C$51/4</f>
        <v>0</v>
      </c>
      <c r="O25" s="153" t="n">
        <f aca="false">+O$23*$C$51/4</f>
        <v>0</v>
      </c>
      <c r="P25" s="153" t="n">
        <f aca="false">+P$23*$C$51/4</f>
        <v>0</v>
      </c>
      <c r="Q25" s="153" t="n">
        <f aca="false">+Q$23*$C$51/4</f>
        <v>0</v>
      </c>
      <c r="R25" s="153" t="n">
        <f aca="false">+R$23*$C$51/4</f>
        <v>0</v>
      </c>
      <c r="S25" s="153" t="n">
        <v>0</v>
      </c>
      <c r="T25" s="153" t="n">
        <f aca="false">+T$23*$C$51/4</f>
        <v>3150</v>
      </c>
      <c r="U25" s="153" t="n">
        <f aca="false">+U$23*$C$51/4</f>
        <v>3450.02</v>
      </c>
      <c r="V25" s="153" t="n">
        <f aca="false">+V$23*$C$51/4</f>
        <v>3825.01</v>
      </c>
      <c r="W25" s="153" t="n">
        <f aca="false">+W$23*$C$51/4</f>
        <v>4200</v>
      </c>
      <c r="X25" s="153" t="n">
        <f aca="false">+X$23*$C$51/4</f>
        <v>0</v>
      </c>
      <c r="Y25" s="153" t="n">
        <f aca="false">+Y$23*$C$51/4</f>
        <v>0</v>
      </c>
      <c r="Z25" s="153" t="n">
        <f aca="false">+Z$23*$C$51/4</f>
        <v>0</v>
      </c>
    </row>
    <row r="26" customFormat="false" ht="12.75" hidden="false" customHeight="false" outlineLevel="0" collapsed="false">
      <c r="A26" s="152" t="s">
        <v>84</v>
      </c>
      <c r="B26" s="104"/>
      <c r="D26" s="153" t="n">
        <f aca="false">+D$23*$C$51/4</f>
        <v>0</v>
      </c>
      <c r="E26" s="153" t="n">
        <f aca="false">+E$23*$C$51/4</f>
        <v>0</v>
      </c>
      <c r="F26" s="153" t="n">
        <f aca="false">+F$23*$C$51/4</f>
        <v>0</v>
      </c>
      <c r="G26" s="153" t="n">
        <f aca="false">+G$23*$C$51/4</f>
        <v>0</v>
      </c>
      <c r="H26" s="153" t="n">
        <f aca="false">+H$23*$C$51/4</f>
        <v>0</v>
      </c>
      <c r="I26" s="153" t="n">
        <f aca="false">+I$23*$C$51/4</f>
        <v>0</v>
      </c>
      <c r="J26" s="153" t="n">
        <f aca="false">+J$23*$C$51/4</f>
        <v>0</v>
      </c>
      <c r="K26" s="153" t="n">
        <f aca="false">+K$23*$C$51/4</f>
        <v>0</v>
      </c>
      <c r="L26" s="153" t="n">
        <f aca="false">+L$23*$C$51/4</f>
        <v>0</v>
      </c>
      <c r="M26" s="153" t="n">
        <f aca="false">+M$23*$C$51/4</f>
        <v>0</v>
      </c>
      <c r="N26" s="153" t="n">
        <f aca="false">+N$23*$C$51/4</f>
        <v>0</v>
      </c>
      <c r="O26" s="153" t="n">
        <f aca="false">+O$23*$C$51/4</f>
        <v>0</v>
      </c>
      <c r="P26" s="153" t="n">
        <f aca="false">+P$23*$C$51/4</f>
        <v>0</v>
      </c>
      <c r="Q26" s="153" t="n">
        <f aca="false">+Q$23*$C$51/4</f>
        <v>0</v>
      </c>
      <c r="R26" s="153" t="n">
        <f aca="false">+R$23*$C$51/4</f>
        <v>0</v>
      </c>
      <c r="S26" s="153" t="n">
        <f aca="false">+S$23*$C$51/2</f>
        <v>5749.94</v>
      </c>
      <c r="T26" s="153" t="n">
        <f aca="false">+T$23*$C$51/4</f>
        <v>3150</v>
      </c>
      <c r="U26" s="153" t="n">
        <f aca="false">+U$23*$C$51/4</f>
        <v>3450.02</v>
      </c>
      <c r="V26" s="153" t="n">
        <f aca="false">+V$23*$C$51/4</f>
        <v>3825.01</v>
      </c>
      <c r="W26" s="153" t="n">
        <f aca="false">+W$23*$C$51/4</f>
        <v>4200</v>
      </c>
      <c r="X26" s="153" t="n">
        <f aca="false">+X$23*$C$51/4</f>
        <v>0</v>
      </c>
      <c r="Y26" s="153" t="n">
        <f aca="false">+Y$23*$C$51/4</f>
        <v>0</v>
      </c>
      <c r="Z26" s="153" t="n">
        <f aca="false">+Z$23*$C$51/4</f>
        <v>0</v>
      </c>
    </row>
    <row r="27" customFormat="false" ht="12.75" hidden="false" customHeight="false" outlineLevel="0" collapsed="false">
      <c r="A27" s="152" t="s">
        <v>85</v>
      </c>
      <c r="B27" s="104"/>
      <c r="D27" s="153" t="n">
        <f aca="false">+D$23*$C$51/4</f>
        <v>0</v>
      </c>
      <c r="E27" s="153" t="n">
        <f aca="false">+E$23*$C$51/4</f>
        <v>0</v>
      </c>
      <c r="F27" s="153" t="n">
        <f aca="false">+F$23*$C$51/4</f>
        <v>0</v>
      </c>
      <c r="G27" s="153" t="n">
        <f aca="false">+G$23*$C$51/4</f>
        <v>0</v>
      </c>
      <c r="H27" s="153" t="n">
        <f aca="false">+H$23*$C$51/4</f>
        <v>0</v>
      </c>
      <c r="I27" s="153" t="n">
        <f aca="false">+I$23*$C$51/4</f>
        <v>0</v>
      </c>
      <c r="J27" s="153" t="n">
        <f aca="false">+J$23*$C$51/4</f>
        <v>0</v>
      </c>
      <c r="K27" s="153" t="n">
        <f aca="false">+K$23*$C$51/4</f>
        <v>0</v>
      </c>
      <c r="L27" s="153" t="n">
        <f aca="false">+L$23*$C$51/4</f>
        <v>0</v>
      </c>
      <c r="M27" s="153" t="n">
        <f aca="false">+M$23*$C$51/4</f>
        <v>0</v>
      </c>
      <c r="N27" s="153" t="n">
        <f aca="false">+N$23*$C$51/4</f>
        <v>0</v>
      </c>
      <c r="O27" s="153" t="n">
        <f aca="false">+O$23*$C$51/4</f>
        <v>0</v>
      </c>
      <c r="P27" s="153" t="n">
        <f aca="false">+P$23*$C$51/4</f>
        <v>0</v>
      </c>
      <c r="Q27" s="153" t="n">
        <f aca="false">+Q$23*$C$51/4</f>
        <v>0</v>
      </c>
      <c r="R27" s="153" t="n">
        <f aca="false">+R$23*$C$51/4</f>
        <v>0</v>
      </c>
      <c r="S27" s="153" t="n">
        <f aca="false">+S$23*$C$51/2</f>
        <v>5749.94</v>
      </c>
      <c r="T27" s="153" t="n">
        <f aca="false">+T$23*$C$51/4</f>
        <v>3150</v>
      </c>
      <c r="U27" s="153" t="n">
        <f aca="false">+U$23*$C$51/4</f>
        <v>3450.02</v>
      </c>
      <c r="V27" s="153" t="n">
        <f aca="false">+V$23*$C$51/4</f>
        <v>3825.01</v>
      </c>
      <c r="W27" s="153" t="n">
        <f aca="false">+W$23*$C$51/4</f>
        <v>4200</v>
      </c>
      <c r="X27" s="153" t="n">
        <f aca="false">+X$23*$C$51/4</f>
        <v>0</v>
      </c>
      <c r="Y27" s="153" t="n">
        <f aca="false">+Y$23*$C$51/4</f>
        <v>0</v>
      </c>
      <c r="Z27" s="153" t="n">
        <f aca="false">+Z$23*$C$51/4</f>
        <v>0</v>
      </c>
    </row>
    <row r="28" customFormat="false" ht="12.75" hidden="false" customHeight="false" outlineLevel="0" collapsed="false">
      <c r="A28" s="152"/>
      <c r="B28" s="104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</row>
    <row r="29" customFormat="false" ht="12.75" hidden="false" customHeight="false" outlineLevel="0" collapsed="false">
      <c r="A29" s="152" t="s">
        <v>86</v>
      </c>
      <c r="B29" s="104"/>
      <c r="D29" s="153" t="n">
        <f aca="false">+$C$51</f>
        <v>70000</v>
      </c>
      <c r="E29" s="153" t="n">
        <f aca="false">+D32-D27</f>
        <v>70000</v>
      </c>
      <c r="F29" s="153" t="n">
        <f aca="false">+E32-E27</f>
        <v>70000</v>
      </c>
      <c r="G29" s="153" t="n">
        <f aca="false">+F32-F27</f>
        <v>70000</v>
      </c>
      <c r="H29" s="153" t="n">
        <f aca="false">+G32-G27</f>
        <v>70000</v>
      </c>
      <c r="I29" s="153" t="n">
        <f aca="false">+H32-H27</f>
        <v>70000</v>
      </c>
      <c r="J29" s="153" t="n">
        <f aca="false">+I32-I27</f>
        <v>70000</v>
      </c>
      <c r="K29" s="153" t="n">
        <f aca="false">+J32-J27</f>
        <v>70000</v>
      </c>
      <c r="L29" s="153" t="n">
        <f aca="false">+K32-K27</f>
        <v>70000</v>
      </c>
      <c r="M29" s="153" t="n">
        <f aca="false">+L32-L27</f>
        <v>70000</v>
      </c>
      <c r="N29" s="153" t="n">
        <f aca="false">+M32-M27</f>
        <v>70000</v>
      </c>
      <c r="O29" s="153" t="n">
        <f aca="false">+N32-N27</f>
        <v>70000</v>
      </c>
      <c r="P29" s="153" t="n">
        <f aca="false">+O32-O27</f>
        <v>70000</v>
      </c>
      <c r="Q29" s="153" t="n">
        <f aca="false">+P32-P27</f>
        <v>70000</v>
      </c>
      <c r="R29" s="153" t="n">
        <f aca="false">+Q32-Q27</f>
        <v>70000</v>
      </c>
      <c r="S29" s="153" t="n">
        <f aca="false">+R32-R27</f>
        <v>70000</v>
      </c>
      <c r="T29" s="153" t="n">
        <f aca="false">+S32-S27</f>
        <v>58500.12</v>
      </c>
      <c r="U29" s="153" t="n">
        <f aca="false">+T32-T27</f>
        <v>45900.12</v>
      </c>
      <c r="V29" s="153" t="n">
        <f aca="false">+U32-U27</f>
        <v>32100.04</v>
      </c>
      <c r="W29" s="153" t="n">
        <f aca="false">+V32-V27</f>
        <v>16800</v>
      </c>
      <c r="X29" s="153" t="n">
        <f aca="false">+W32-W27</f>
        <v>0</v>
      </c>
      <c r="Y29" s="153" t="n">
        <f aca="false">+X32-X27</f>
        <v>0</v>
      </c>
      <c r="Z29" s="153" t="n">
        <f aca="false">+Y32-Y27</f>
        <v>0</v>
      </c>
    </row>
    <row r="30" customFormat="false" ht="12.75" hidden="false" customHeight="false" outlineLevel="0" collapsed="false">
      <c r="A30" s="152" t="s">
        <v>87</v>
      </c>
      <c r="B30" s="104"/>
      <c r="D30" s="153" t="n">
        <f aca="false">+D29-D24</f>
        <v>70000</v>
      </c>
      <c r="E30" s="153" t="n">
        <f aca="false">+E29-E24</f>
        <v>70000</v>
      </c>
      <c r="F30" s="153" t="n">
        <f aca="false">+F29-F24</f>
        <v>70000</v>
      </c>
      <c r="G30" s="153" t="n">
        <f aca="false">+G29-G24</f>
        <v>70000</v>
      </c>
      <c r="H30" s="153" t="n">
        <f aca="false">+H29-H24</f>
        <v>70000</v>
      </c>
      <c r="I30" s="153" t="n">
        <f aca="false">+I29-I24</f>
        <v>70000</v>
      </c>
      <c r="J30" s="153" t="n">
        <f aca="false">+J29-J24</f>
        <v>70000</v>
      </c>
      <c r="K30" s="153" t="n">
        <f aca="false">+K29-K24</f>
        <v>70000</v>
      </c>
      <c r="L30" s="153" t="n">
        <f aca="false">+L29-L24</f>
        <v>70000</v>
      </c>
      <c r="M30" s="153" t="n">
        <f aca="false">+M29-M24</f>
        <v>70000</v>
      </c>
      <c r="N30" s="153" t="n">
        <f aca="false">+N29-N24</f>
        <v>70000</v>
      </c>
      <c r="O30" s="153" t="n">
        <f aca="false">+O29-O24</f>
        <v>70000</v>
      </c>
      <c r="P30" s="153" t="n">
        <f aca="false">+P29-P24</f>
        <v>70000</v>
      </c>
      <c r="Q30" s="153" t="n">
        <f aca="false">+Q29-Q24</f>
        <v>70000</v>
      </c>
      <c r="R30" s="153" t="n">
        <f aca="false">+R29-R24</f>
        <v>70000</v>
      </c>
      <c r="S30" s="153" t="n">
        <f aca="false">+S29-S24</f>
        <v>70000</v>
      </c>
      <c r="T30" s="153" t="n">
        <f aca="false">+T29-T24</f>
        <v>55350.12</v>
      </c>
      <c r="U30" s="153" t="n">
        <f aca="false">+U29-U24</f>
        <v>42450.1</v>
      </c>
      <c r="V30" s="153" t="n">
        <f aca="false">+V29-V24</f>
        <v>28275.03</v>
      </c>
      <c r="W30" s="153" t="n">
        <f aca="false">+W29-W24</f>
        <v>12600</v>
      </c>
      <c r="X30" s="153" t="n">
        <f aca="false">+X29-X24</f>
        <v>0</v>
      </c>
      <c r="Y30" s="153" t="n">
        <f aca="false">+Y29-Y24</f>
        <v>0</v>
      </c>
      <c r="Z30" s="153" t="n">
        <f aca="false">+Z29-Z24</f>
        <v>0</v>
      </c>
    </row>
    <row r="31" customFormat="false" ht="12.75" hidden="false" customHeight="false" outlineLevel="0" collapsed="false">
      <c r="A31" s="152" t="s">
        <v>88</v>
      </c>
      <c r="B31" s="104"/>
      <c r="D31" s="153" t="n">
        <f aca="false">+D30-D25</f>
        <v>70000</v>
      </c>
      <c r="E31" s="153" t="n">
        <f aca="false">+E30-E25</f>
        <v>70000</v>
      </c>
      <c r="F31" s="153" t="n">
        <f aca="false">+F30-F25</f>
        <v>70000</v>
      </c>
      <c r="G31" s="153" t="n">
        <f aca="false">+G30-G25</f>
        <v>70000</v>
      </c>
      <c r="H31" s="153" t="n">
        <f aca="false">+H30-H25</f>
        <v>70000</v>
      </c>
      <c r="I31" s="153" t="n">
        <f aca="false">+I30-I25</f>
        <v>70000</v>
      </c>
      <c r="J31" s="153" t="n">
        <f aca="false">+J30-J25</f>
        <v>70000</v>
      </c>
      <c r="K31" s="153" t="n">
        <f aca="false">+K30-K25</f>
        <v>70000</v>
      </c>
      <c r="L31" s="153" t="n">
        <f aca="false">+L30-L25</f>
        <v>70000</v>
      </c>
      <c r="M31" s="153" t="n">
        <f aca="false">+M30-M25</f>
        <v>70000</v>
      </c>
      <c r="N31" s="153" t="n">
        <f aca="false">+N30-N25</f>
        <v>70000</v>
      </c>
      <c r="O31" s="153" t="n">
        <f aca="false">+O30-O25</f>
        <v>70000</v>
      </c>
      <c r="P31" s="153" t="n">
        <f aca="false">+P30-P25</f>
        <v>70000</v>
      </c>
      <c r="Q31" s="153" t="n">
        <f aca="false">+Q30-Q25</f>
        <v>70000</v>
      </c>
      <c r="R31" s="153" t="n">
        <f aca="false">+R30-R25</f>
        <v>70000</v>
      </c>
      <c r="S31" s="153" t="n">
        <f aca="false">+S30-S25</f>
        <v>70000</v>
      </c>
      <c r="T31" s="153" t="n">
        <f aca="false">+T30-T25</f>
        <v>52200.12</v>
      </c>
      <c r="U31" s="153" t="n">
        <f aca="false">+U30-U25</f>
        <v>39000.08</v>
      </c>
      <c r="V31" s="153" t="n">
        <f aca="false">+V30-V25</f>
        <v>24450.02</v>
      </c>
      <c r="W31" s="153" t="n">
        <f aca="false">+W30-W25</f>
        <v>8399.99999999999</v>
      </c>
      <c r="X31" s="153" t="n">
        <f aca="false">+X30-X25</f>
        <v>0</v>
      </c>
      <c r="Y31" s="153" t="n">
        <f aca="false">+Y30-Y25</f>
        <v>0</v>
      </c>
      <c r="Z31" s="153" t="n">
        <f aca="false">+Z30-Z25</f>
        <v>0</v>
      </c>
    </row>
    <row r="32" customFormat="false" ht="12.75" hidden="false" customHeight="false" outlineLevel="0" collapsed="false">
      <c r="A32" s="152" t="s">
        <v>89</v>
      </c>
      <c r="B32" s="104"/>
      <c r="D32" s="153" t="n">
        <f aca="false">+D31-D26</f>
        <v>70000</v>
      </c>
      <c r="E32" s="153" t="n">
        <f aca="false">+E31-E26</f>
        <v>70000</v>
      </c>
      <c r="F32" s="153" t="n">
        <f aca="false">+F31-F26</f>
        <v>70000</v>
      </c>
      <c r="G32" s="153" t="n">
        <f aca="false">+G31-G26</f>
        <v>70000</v>
      </c>
      <c r="H32" s="153" t="n">
        <f aca="false">+H31-H26</f>
        <v>70000</v>
      </c>
      <c r="I32" s="153" t="n">
        <f aca="false">+I31-I26</f>
        <v>70000</v>
      </c>
      <c r="J32" s="153" t="n">
        <f aca="false">+J31-J26</f>
        <v>70000</v>
      </c>
      <c r="K32" s="153" t="n">
        <f aca="false">+K31-K26</f>
        <v>70000</v>
      </c>
      <c r="L32" s="153" t="n">
        <f aca="false">+L31-L26</f>
        <v>70000</v>
      </c>
      <c r="M32" s="153" t="n">
        <f aca="false">+M31-M26</f>
        <v>70000</v>
      </c>
      <c r="N32" s="153" t="n">
        <f aca="false">+N31-N26</f>
        <v>70000</v>
      </c>
      <c r="O32" s="153" t="n">
        <f aca="false">+O31-O26</f>
        <v>70000</v>
      </c>
      <c r="P32" s="153" t="n">
        <f aca="false">+P31-P26</f>
        <v>70000</v>
      </c>
      <c r="Q32" s="153" t="n">
        <f aca="false">+Q31-Q26</f>
        <v>70000</v>
      </c>
      <c r="R32" s="153" t="n">
        <f aca="false">+R31-R26</f>
        <v>70000</v>
      </c>
      <c r="S32" s="153" t="n">
        <f aca="false">+S31-S26</f>
        <v>64250.06</v>
      </c>
      <c r="T32" s="153" t="n">
        <f aca="false">+T31-T26</f>
        <v>49050.12</v>
      </c>
      <c r="U32" s="153" t="n">
        <f aca="false">+U31-U26</f>
        <v>35550.06</v>
      </c>
      <c r="V32" s="153" t="n">
        <f aca="false">+V31-V26</f>
        <v>20625.01</v>
      </c>
      <c r="W32" s="153" t="n">
        <f aca="false">+W31-W26</f>
        <v>4199.99999999999</v>
      </c>
      <c r="X32" s="153" t="n">
        <f aca="false">+X31-X26</f>
        <v>0</v>
      </c>
      <c r="Y32" s="153" t="n">
        <f aca="false">+Y31-Y26</f>
        <v>0</v>
      </c>
      <c r="Z32" s="153" t="n">
        <f aca="false">+Z31-Z26</f>
        <v>0</v>
      </c>
    </row>
    <row r="33" customFormat="false" ht="12.75" hidden="false" customHeight="false" outlineLevel="0" collapsed="false">
      <c r="A33" s="152"/>
      <c r="B33" s="104"/>
    </row>
    <row r="34" customFormat="false" ht="12.75" hidden="false" customHeight="false" outlineLevel="0" collapsed="false">
      <c r="A34" s="145" t="s">
        <v>91</v>
      </c>
      <c r="B34" s="146"/>
      <c r="C34" s="147"/>
      <c r="D34" s="156"/>
      <c r="E34" s="156"/>
      <c r="F34" s="156"/>
      <c r="G34" s="156"/>
    </row>
    <row r="35" customFormat="false" ht="12.75" hidden="false" customHeight="false" outlineLevel="0" collapsed="false">
      <c r="A35" s="152" t="s">
        <v>86</v>
      </c>
      <c r="B35" s="157" t="s">
        <v>92</v>
      </c>
      <c r="C35" s="158" t="n">
        <v>90</v>
      </c>
      <c r="D35" s="153" t="n">
        <f aca="false">+D29+D17</f>
        <v>162000</v>
      </c>
      <c r="E35" s="153" t="n">
        <f aca="false">+E29+E17</f>
        <v>161310</v>
      </c>
      <c r="F35" s="153" t="n">
        <f aca="false">+F29+F17</f>
        <v>160160</v>
      </c>
      <c r="G35" s="153" t="n">
        <f aca="false">+G29+G17</f>
        <v>158550</v>
      </c>
      <c r="H35" s="153" t="n">
        <f aca="false">+H29+H17</f>
        <v>156480</v>
      </c>
      <c r="I35" s="153" t="n">
        <f aca="false">+I29+I17</f>
        <v>153950</v>
      </c>
      <c r="J35" s="153" t="n">
        <f aca="false">+J29+J17</f>
        <v>151420</v>
      </c>
      <c r="K35" s="153" t="n">
        <f aca="false">+K29+K17</f>
        <v>148430</v>
      </c>
      <c r="L35" s="153" t="n">
        <f aca="false">+L29+L17</f>
        <v>144980</v>
      </c>
      <c r="M35" s="153" t="n">
        <f aca="false">+M29+M17</f>
        <v>141070</v>
      </c>
      <c r="N35" s="153" t="n">
        <f aca="false">+N29+N17</f>
        <v>136700</v>
      </c>
      <c r="O35" s="153" t="n">
        <f aca="false">+O29+O17</f>
        <v>126846.8</v>
      </c>
      <c r="P35" s="153" t="n">
        <f aca="false">+P29+P17</f>
        <v>115319.2</v>
      </c>
      <c r="Q35" s="153" t="n">
        <f aca="false">+Q29+Q17</f>
        <v>104582.8</v>
      </c>
      <c r="R35" s="153" t="n">
        <f aca="false">+R29+R17</f>
        <v>92264</v>
      </c>
      <c r="S35" s="153" t="n">
        <f aca="false">+S29+S17</f>
        <v>77958</v>
      </c>
      <c r="T35" s="153" t="n">
        <f aca="false">+T29+T17</f>
        <v>58500.12</v>
      </c>
      <c r="U35" s="153" t="n">
        <f aca="false">+U29+U17</f>
        <v>45900.12</v>
      </c>
      <c r="V35" s="153" t="n">
        <f aca="false">+V29+V17</f>
        <v>32100.04</v>
      </c>
      <c r="W35" s="153" t="n">
        <f aca="false">+W29+W17</f>
        <v>16800</v>
      </c>
      <c r="X35" s="153" t="n">
        <f aca="false">+X29+X17</f>
        <v>-1.54614099301398E-011</v>
      </c>
      <c r="Y35" s="153" t="n">
        <f aca="false">+Y29+Y17</f>
        <v>-1.54614099301398E-011</v>
      </c>
      <c r="Z35" s="153" t="n">
        <f aca="false">+Z29+Z17</f>
        <v>-1.54614099301398E-011</v>
      </c>
    </row>
    <row r="36" customFormat="false" ht="12.75" hidden="false" customHeight="false" outlineLevel="0" collapsed="false">
      <c r="A36" s="152" t="s">
        <v>87</v>
      </c>
      <c r="B36" s="104"/>
      <c r="C36" s="158" t="n">
        <v>91</v>
      </c>
      <c r="D36" s="153" t="n">
        <f aca="false">+D30+D18</f>
        <v>162000</v>
      </c>
      <c r="E36" s="153" t="n">
        <f aca="false">+E30+E18</f>
        <v>161022.5</v>
      </c>
      <c r="F36" s="153" t="n">
        <f aca="false">+F30+F18</f>
        <v>159757.5</v>
      </c>
      <c r="G36" s="153" t="n">
        <f aca="false">+G30+G18</f>
        <v>158032.5</v>
      </c>
      <c r="H36" s="153" t="n">
        <f aca="false">+H30+H18</f>
        <v>155847.5</v>
      </c>
      <c r="I36" s="153" t="n">
        <f aca="false">+I30+I18</f>
        <v>153317.5</v>
      </c>
      <c r="J36" s="153" t="n">
        <f aca="false">+J30+J18</f>
        <v>150672.5</v>
      </c>
      <c r="K36" s="153" t="n">
        <f aca="false">+K30+K18</f>
        <v>147567.5</v>
      </c>
      <c r="L36" s="153" t="n">
        <f aca="false">+L30+L18</f>
        <v>144002.5</v>
      </c>
      <c r="M36" s="153" t="n">
        <f aca="false">+M30+M18</f>
        <v>139977.5</v>
      </c>
      <c r="N36" s="153" t="n">
        <f aca="false">+N30+N18</f>
        <v>134236.7</v>
      </c>
      <c r="O36" s="153" t="n">
        <f aca="false">+O30+O18</f>
        <v>123964.9</v>
      </c>
      <c r="P36" s="153" t="n">
        <f aca="false">+P30+P18</f>
        <v>112635.1</v>
      </c>
      <c r="Q36" s="153" t="n">
        <f aca="false">+Q30+Q18</f>
        <v>101503.1</v>
      </c>
      <c r="R36" s="153" t="n">
        <f aca="false">+R30+R18</f>
        <v>88687.5</v>
      </c>
      <c r="S36" s="153" t="n">
        <f aca="false">+S30+S18</f>
        <v>73979</v>
      </c>
      <c r="T36" s="153" t="n">
        <f aca="false">+T30+T18</f>
        <v>55350.12</v>
      </c>
      <c r="U36" s="153" t="n">
        <f aca="false">+U30+U18</f>
        <v>42450.1</v>
      </c>
      <c r="V36" s="153" t="n">
        <f aca="false">+V30+V18</f>
        <v>28275.03</v>
      </c>
      <c r="W36" s="153" t="n">
        <f aca="false">+W30+W18</f>
        <v>12600</v>
      </c>
      <c r="X36" s="153" t="n">
        <f aca="false">+X30+X18</f>
        <v>-1.54614099301398E-011</v>
      </c>
      <c r="Y36" s="153" t="n">
        <f aca="false">+Y30+Y18</f>
        <v>-1.54614099301398E-011</v>
      </c>
      <c r="Z36" s="153" t="n">
        <f aca="false">+Z30+Z18</f>
        <v>-1.54614099301398E-011</v>
      </c>
    </row>
    <row r="37" customFormat="false" ht="12.75" hidden="false" customHeight="false" outlineLevel="0" collapsed="false">
      <c r="A37" s="152" t="s">
        <v>88</v>
      </c>
      <c r="B37" s="104"/>
      <c r="C37" s="158" t="n">
        <v>92</v>
      </c>
      <c r="D37" s="153" t="n">
        <f aca="false">+D31+D19</f>
        <v>162000</v>
      </c>
      <c r="E37" s="153" t="n">
        <f aca="false">+E31+E19</f>
        <v>160735</v>
      </c>
      <c r="F37" s="153" t="n">
        <f aca="false">+F31+F19</f>
        <v>159355</v>
      </c>
      <c r="G37" s="153" t="n">
        <f aca="false">+G31+G19</f>
        <v>157515</v>
      </c>
      <c r="H37" s="153" t="n">
        <f aca="false">+H31+H19</f>
        <v>155215</v>
      </c>
      <c r="I37" s="153" t="n">
        <f aca="false">+I31+I19</f>
        <v>152685</v>
      </c>
      <c r="J37" s="153" t="n">
        <f aca="false">+J31+J19</f>
        <v>149925</v>
      </c>
      <c r="K37" s="153" t="n">
        <f aca="false">+K31+K19</f>
        <v>146705</v>
      </c>
      <c r="L37" s="153" t="n">
        <f aca="false">+L31+L19</f>
        <v>143025</v>
      </c>
      <c r="M37" s="153" t="n">
        <f aca="false">+M31+M19</f>
        <v>138885</v>
      </c>
      <c r="N37" s="153" t="n">
        <f aca="false">+N31+N19</f>
        <v>131773.4</v>
      </c>
      <c r="O37" s="153" t="n">
        <f aca="false">+O31+O19</f>
        <v>121083</v>
      </c>
      <c r="P37" s="153" t="n">
        <f aca="false">+P31+P19</f>
        <v>109951</v>
      </c>
      <c r="Q37" s="153" t="n">
        <f aca="false">+Q31+Q19</f>
        <v>98423.4</v>
      </c>
      <c r="R37" s="153" t="n">
        <f aca="false">+R31+R19</f>
        <v>85111</v>
      </c>
      <c r="S37" s="153" t="n">
        <f aca="false">+S31+S19</f>
        <v>70000</v>
      </c>
      <c r="T37" s="153" t="n">
        <f aca="false">+T31+T19</f>
        <v>52200.12</v>
      </c>
      <c r="U37" s="153" t="n">
        <f aca="false">+U31+U19</f>
        <v>39000.08</v>
      </c>
      <c r="V37" s="153" t="n">
        <f aca="false">+V31+V19</f>
        <v>24450.02</v>
      </c>
      <c r="W37" s="153" t="n">
        <f aca="false">+W31+W19</f>
        <v>8399.99999999998</v>
      </c>
      <c r="X37" s="153" t="n">
        <f aca="false">+X31+X19</f>
        <v>-1.54614099301398E-011</v>
      </c>
      <c r="Y37" s="153" t="n">
        <f aca="false">+Y31+Y19</f>
        <v>-1.54614099301398E-011</v>
      </c>
      <c r="Z37" s="153" t="n">
        <f aca="false">+Z31+Z19</f>
        <v>-1.54614099301398E-011</v>
      </c>
    </row>
    <row r="38" customFormat="false" ht="12.75" hidden="false" customHeight="false" outlineLevel="0" collapsed="false">
      <c r="A38" s="152" t="s">
        <v>89</v>
      </c>
      <c r="B38" s="104"/>
      <c r="C38" s="159" t="n">
        <v>92</v>
      </c>
      <c r="D38" s="153" t="n">
        <f aca="false">+D32+D20</f>
        <v>161655</v>
      </c>
      <c r="E38" s="153" t="n">
        <f aca="false">+E32+E20</f>
        <v>160447.5</v>
      </c>
      <c r="F38" s="153" t="n">
        <f aca="false">+F32+F20</f>
        <v>158952.5</v>
      </c>
      <c r="G38" s="153" t="n">
        <f aca="false">+G32+G20</f>
        <v>156997.5</v>
      </c>
      <c r="H38" s="153" t="n">
        <f aca="false">+H32+H20</f>
        <v>154582.5</v>
      </c>
      <c r="I38" s="153" t="n">
        <f aca="false">+I32+I20</f>
        <v>152052.5</v>
      </c>
      <c r="J38" s="153" t="n">
        <f aca="false">+J32+J20</f>
        <v>149177.5</v>
      </c>
      <c r="K38" s="153" t="n">
        <f aca="false">+K32+K20</f>
        <v>145842.5</v>
      </c>
      <c r="L38" s="153" t="n">
        <f aca="false">+L32+L20</f>
        <v>142047.5</v>
      </c>
      <c r="M38" s="153" t="n">
        <f aca="false">+M32+M20</f>
        <v>137792.5</v>
      </c>
      <c r="N38" s="153" t="n">
        <f aca="false">+N32+N20</f>
        <v>129310.1</v>
      </c>
      <c r="O38" s="153" t="n">
        <f aca="false">+O32+O20</f>
        <v>118201.1</v>
      </c>
      <c r="P38" s="153" t="n">
        <f aca="false">+P32+P20</f>
        <v>107266.9</v>
      </c>
      <c r="Q38" s="153" t="n">
        <f aca="false">+Q32+Q20</f>
        <v>95343.7</v>
      </c>
      <c r="R38" s="153" t="n">
        <f aca="false">+R32+R20</f>
        <v>81534.5</v>
      </c>
      <c r="S38" s="153" t="n">
        <f aca="false">+S32+S20</f>
        <v>64250.06</v>
      </c>
      <c r="T38" s="153" t="n">
        <f aca="false">+T32+T20</f>
        <v>49050.12</v>
      </c>
      <c r="U38" s="153" t="n">
        <f aca="false">+U32+U20</f>
        <v>35550.06</v>
      </c>
      <c r="V38" s="153" t="n">
        <f aca="false">+V32+V20</f>
        <v>20625.01</v>
      </c>
      <c r="W38" s="153" t="n">
        <f aca="false">+W32+W20</f>
        <v>4199.99999999997</v>
      </c>
      <c r="X38" s="153" t="n">
        <f aca="false">+X32+X20</f>
        <v>-1.54614099301398E-011</v>
      </c>
      <c r="Y38" s="153" t="n">
        <f aca="false">+Y32+Y20</f>
        <v>-1.54614099301398E-011</v>
      </c>
      <c r="Z38" s="153" t="n">
        <f aca="false">+Z32+Z20</f>
        <v>-1.54614099301398E-011</v>
      </c>
    </row>
    <row r="39" customFormat="false" ht="12.75" hidden="false" customHeight="false" outlineLevel="0" collapsed="false">
      <c r="A39" s="152"/>
      <c r="B39" s="104"/>
      <c r="C39" s="158" t="n">
        <f aca="false">SUM(C35:C38)</f>
        <v>365</v>
      </c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</row>
    <row r="40" customFormat="false" ht="12.75" hidden="false" customHeight="false" outlineLevel="0" collapsed="false">
      <c r="A40" s="152"/>
      <c r="B40" s="104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</row>
    <row r="41" customFormat="false" ht="12.75" hidden="false" customHeight="false" outlineLevel="0" collapsed="false">
      <c r="A41" s="160" t="s">
        <v>93</v>
      </c>
      <c r="B41" s="101"/>
      <c r="D41" s="153" t="n">
        <f aca="false">+SUMPRODUCT($C$35:$C$38,D35:D38)/$C$39</f>
        <v>161913.04109589</v>
      </c>
      <c r="E41" s="153" t="n">
        <f aca="false">+SUMPRODUCT($C$35:$C$38,E35:E38)/$C$39</f>
        <v>160875.993150685</v>
      </c>
      <c r="F41" s="153" t="n">
        <f aca="false">+SUMPRODUCT($C$35:$C$38,F35:F38)/$C$39</f>
        <v>159552.390410959</v>
      </c>
      <c r="G41" s="153" t="n">
        <f aca="false">+SUMPRODUCT($C$35:$C$38,G35:G38)/$C$39</f>
        <v>157768.787671233</v>
      </c>
      <c r="H41" s="153" t="n">
        <f aca="false">+SUMPRODUCT($C$35:$C$38,H35:H38)/$C$39</f>
        <v>155525.184931507</v>
      </c>
      <c r="I41" s="153" t="n">
        <f aca="false">+SUMPRODUCT($C$35:$C$38,I35:I38)/$C$39</f>
        <v>152995.184931507</v>
      </c>
      <c r="J41" s="153" t="n">
        <f aca="false">+SUMPRODUCT($C$35:$C$38,J35:J38)/$C$39</f>
        <v>150291.582191781</v>
      </c>
      <c r="K41" s="153" t="n">
        <f aca="false">+SUMPRODUCT($C$35:$C$38,K35:K38)/$C$39</f>
        <v>147127.979452055</v>
      </c>
      <c r="L41" s="153" t="n">
        <f aca="false">+SUMPRODUCT($C$35:$C$38,L35:L38)/$C$39</f>
        <v>143504.376712329</v>
      </c>
      <c r="M41" s="153" t="n">
        <f aca="false">+SUMPRODUCT($C$35:$C$38,M35:M38)/$C$39</f>
        <v>139420.773972603</v>
      </c>
      <c r="N41" s="153" t="n">
        <f aca="false">+SUMPRODUCT($C$35:$C$38,N35:N38)/$C$39</f>
        <v>132981.429315069</v>
      </c>
      <c r="O41" s="153" t="n">
        <f aca="false">+SUMPRODUCT($C$35:$C$38,O35:O38)/$C$39</f>
        <v>122496.315342466</v>
      </c>
      <c r="P41" s="153" t="n">
        <f aca="false">+SUMPRODUCT($C$35:$C$38,P35:P38)/$C$39</f>
        <v>111267.312054795</v>
      </c>
      <c r="Q41" s="153" t="n">
        <f aca="false">+SUMPRODUCT($C$35:$C$38,Q35:Q38)/$C$39</f>
        <v>99933.718630137</v>
      </c>
      <c r="R41" s="153" t="n">
        <f aca="false">+SUMPRODUCT($C$35:$C$38,R35:R38)/$C$39</f>
        <v>86864.9547945205</v>
      </c>
      <c r="S41" s="153" t="n">
        <f aca="false">+SUMPRODUCT($C$35:$C$38,S35:S38)/$C$39</f>
        <v>71504.9712876712</v>
      </c>
      <c r="T41" s="153" t="n">
        <f aca="false">+SUMPRODUCT($C$35:$C$38,T35:T38)/$C$39</f>
        <v>53744.9145205479</v>
      </c>
      <c r="U41" s="153" t="n">
        <f aca="false">+SUMPRODUCT($C$35:$C$38,U35:U38)/$C$39</f>
        <v>40692.0076164383</v>
      </c>
      <c r="V41" s="153" t="n">
        <f aca="false">+SUMPRODUCT($C$35:$C$38,V35:V38)/$C$39</f>
        <v>26325.8468219178</v>
      </c>
      <c r="W41" s="153" t="n">
        <f aca="false">+SUMPRODUCT($C$35:$C$38,W35:W38)/$C$39</f>
        <v>10459.7260273972</v>
      </c>
      <c r="X41" s="153" t="n">
        <f aca="false">+SUMPRODUCT($C$35:$C$38,X35:X38)/$C$39</f>
        <v>-1.54614099301398E-011</v>
      </c>
      <c r="Y41" s="153" t="n">
        <f aca="false">+SUMPRODUCT($C$35:$C$38,Y35:Y38)/$C$39</f>
        <v>-1.54614099301398E-011</v>
      </c>
      <c r="Z41" s="153" t="n">
        <f aca="false">+SUMPRODUCT($C$35:$C$38,Z35:Z38)/$C$39</f>
        <v>-1.54614099301398E-011</v>
      </c>
    </row>
    <row r="42" customFormat="false" ht="12.75" hidden="false" customHeight="false" outlineLevel="0" collapsed="false">
      <c r="A42" s="152"/>
      <c r="B42" s="104"/>
    </row>
    <row r="43" customFormat="false" ht="12.75" hidden="false" customHeight="false" outlineLevel="0" collapsed="false">
      <c r="A43" s="145" t="s">
        <v>64</v>
      </c>
      <c r="B43" s="146"/>
      <c r="C43" s="147"/>
    </row>
    <row r="44" customFormat="false" ht="12.75" hidden="false" customHeight="false" outlineLevel="0" collapsed="false">
      <c r="A44" s="160" t="s">
        <v>94</v>
      </c>
      <c r="B44" s="101"/>
      <c r="C44" s="98" t="s">
        <v>63</v>
      </c>
      <c r="D44" s="103" t="n">
        <f aca="false">+D41/$C$54*$C$55*($C$52-$C$53)</f>
        <v>1.19607637128996</v>
      </c>
      <c r="E44" s="103" t="n">
        <f aca="false">+E41/$C$54*$C$55*($C$52-$C$53)</f>
        <v>1.18841553968084</v>
      </c>
      <c r="F44" s="103" t="n">
        <f aca="false">+F41/$C$54*$C$55*($C$52-$C$53)</f>
        <v>1.1786378840254</v>
      </c>
      <c r="G44" s="103" t="n">
        <f aca="false">+G41/$C$54*$C$55*($C$52-$C$53)</f>
        <v>1.16546213809218</v>
      </c>
      <c r="H44" s="103" t="n">
        <f aca="false">+H41/$C$54*$C$55*($C$52-$C$53)</f>
        <v>1.14888830188118</v>
      </c>
      <c r="I44" s="103" t="n">
        <f aca="false">+I41/$C$54*$C$55*($C$52-$C$53)</f>
        <v>1.13019880535341</v>
      </c>
      <c r="J44" s="103" t="n">
        <f aca="false">+J41/$C$54*$C$55*($C$52-$C$53)</f>
        <v>1.11022687886463</v>
      </c>
      <c r="K44" s="103" t="n">
        <f aca="false">+K41/$C$54*$C$55*($C$52-$C$53)</f>
        <v>1.08685686209808</v>
      </c>
      <c r="L44" s="103" t="n">
        <f aca="false">+L41/$C$54*$C$55*($C$52-$C$53)</f>
        <v>1.06008875505375</v>
      </c>
      <c r="M44" s="103" t="n">
        <f aca="false">+M41/$C$54*$C$55*($C$52-$C$53)</f>
        <v>1.02992255773164</v>
      </c>
      <c r="N44" s="103" t="n">
        <f aca="false">+N41/$C$54*$C$55*($C$52-$C$53)</f>
        <v>0.982354134957668</v>
      </c>
      <c r="O44" s="103" t="n">
        <f aca="false">+O41/$C$54*$C$55*($C$52-$C$53)</f>
        <v>0.904898996149639</v>
      </c>
      <c r="P44" s="103" t="n">
        <f aca="false">+P41/$C$54*$C$55*($C$52-$C$53)</f>
        <v>0.821948633321442</v>
      </c>
      <c r="Q44" s="103" t="n">
        <f aca="false">+Q41/$C$54*$C$55*($C$52-$C$53)</f>
        <v>0.73822564717228</v>
      </c>
      <c r="R44" s="103" t="n">
        <f aca="false">+R41/$C$54*$C$55*($C$52-$C$53)</f>
        <v>0.641684692101884</v>
      </c>
      <c r="S44" s="103" t="n">
        <f aca="false">+S41/$C$54*$C$55*($C$52-$C$53)</f>
        <v>0.528218147272641</v>
      </c>
      <c r="T44" s="103" t="n">
        <f aca="false">+T41/$C$54*$C$55*($C$52-$C$53)</f>
        <v>0.397021894591895</v>
      </c>
      <c r="U44" s="103" t="n">
        <f aca="false">+U41/$C$54*$C$55*($C$52-$C$53)</f>
        <v>0.300598077097127</v>
      </c>
      <c r="V44" s="103" t="n">
        <f aca="false">+V41/$C$54*$C$55*($C$52-$C$53)</f>
        <v>0.194473052477882</v>
      </c>
      <c r="W44" s="103" t="n">
        <f aca="false">+W41/$C$54*$C$55*($C$52-$C$53)</f>
        <v>0.077267594178082</v>
      </c>
      <c r="X44" s="103" t="n">
        <f aca="false">+X41/$C$54*$C$55*($C$52-$C$53)</f>
        <v>-1.14215797313793E-016</v>
      </c>
      <c r="Y44" s="103" t="n">
        <f aca="false">+Y41/$C$54*$C$55*($C$52-$C$53)</f>
        <v>-1.14215797313793E-016</v>
      </c>
      <c r="Z44" s="103" t="n">
        <f aca="false">+Z41/$C$54*$C$55*($C$52-$C$53)</f>
        <v>-1.14215797313793E-016</v>
      </c>
    </row>
    <row r="45" customFormat="false" ht="12.75" hidden="false" customHeight="false" outlineLevel="0" collapsed="false">
      <c r="A45" s="160" t="s">
        <v>95</v>
      </c>
      <c r="B45" s="101"/>
      <c r="C45" s="98" t="s">
        <v>63</v>
      </c>
      <c r="D45" s="105" t="n">
        <v>1.2</v>
      </c>
      <c r="E45" s="105" t="n">
        <v>1.19</v>
      </c>
      <c r="F45" s="105" t="n">
        <v>1.18</v>
      </c>
      <c r="G45" s="105" t="n">
        <v>1.17</v>
      </c>
      <c r="H45" s="105" t="n">
        <v>1.15</v>
      </c>
      <c r="I45" s="105" t="n">
        <v>1.13</v>
      </c>
      <c r="J45" s="105" t="n">
        <v>1.11</v>
      </c>
      <c r="K45" s="105" t="n">
        <v>1.09</v>
      </c>
      <c r="L45" s="105" t="n">
        <v>1.06</v>
      </c>
      <c r="M45" s="105" t="n">
        <v>1.03</v>
      </c>
      <c r="N45" s="105" t="n">
        <v>0.98</v>
      </c>
      <c r="O45" s="105" t="n">
        <v>0.9</v>
      </c>
      <c r="P45" s="105" t="n">
        <v>0.82</v>
      </c>
      <c r="Q45" s="105" t="n">
        <v>0.74</v>
      </c>
      <c r="R45" s="105" t="n">
        <v>0.64</v>
      </c>
      <c r="S45" s="105" t="n">
        <v>0.53</v>
      </c>
      <c r="T45" s="105" t="n">
        <v>0.4</v>
      </c>
      <c r="U45" s="105" t="n">
        <v>0.3</v>
      </c>
      <c r="V45" s="105" t="n">
        <v>0.19</v>
      </c>
      <c r="W45" s="105" t="n">
        <v>0.08</v>
      </c>
      <c r="X45" s="105" t="n">
        <v>0</v>
      </c>
      <c r="Y45" s="105" t="n">
        <v>0</v>
      </c>
      <c r="Z45" s="105" t="n">
        <v>0</v>
      </c>
    </row>
    <row r="46" customFormat="false" ht="12.75" hidden="false" customHeight="false" outlineLevel="0" collapsed="false">
      <c r="A46" s="160" t="s">
        <v>96</v>
      </c>
      <c r="B46" s="101"/>
      <c r="C46" s="98"/>
      <c r="D46" s="103" t="n">
        <f aca="false">+D44-D45</f>
        <v>-0.00392362871004504</v>
      </c>
      <c r="E46" s="103" t="n">
        <f aca="false">+E44-E45</f>
        <v>-0.0015844603191586</v>
      </c>
      <c r="F46" s="103" t="n">
        <f aca="false">+F44-F45</f>
        <v>-0.00136211597460001</v>
      </c>
      <c r="G46" s="103" t="n">
        <f aca="false">+G44-G45</f>
        <v>-0.00453786190781891</v>
      </c>
      <c r="H46" s="103" t="n">
        <f aca="false">+H44-H45</f>
        <v>-0.00111169811881617</v>
      </c>
      <c r="I46" s="103" t="n">
        <f aca="false">+I44-I45</f>
        <v>0.000198805353406328</v>
      </c>
      <c r="J46" s="103" t="n">
        <f aca="false">+J44-J45</f>
        <v>0.00022687886463113</v>
      </c>
      <c r="K46" s="103" t="n">
        <f aca="false">+K44-K45</f>
        <v>-0.00314313790192111</v>
      </c>
      <c r="L46" s="103" t="n">
        <f aca="false">+L44-L45</f>
        <v>8.87550537485016E-005</v>
      </c>
      <c r="M46" s="103" t="n">
        <f aca="false">+M44-M45</f>
        <v>-7.74422683595955E-005</v>
      </c>
      <c r="N46" s="103" t="n">
        <f aca="false">+N44-N45</f>
        <v>0.00235413495766779</v>
      </c>
      <c r="O46" s="103" t="n">
        <f aca="false">+O44-O45</f>
        <v>0.00489899614963874</v>
      </c>
      <c r="P46" s="103" t="n">
        <f aca="false">+P44-P45</f>
        <v>0.00194863332144246</v>
      </c>
      <c r="Q46" s="103" t="n">
        <f aca="false">+Q44-Q45</f>
        <v>-0.00177435282772043</v>
      </c>
      <c r="R46" s="103" t="n">
        <f aca="false">+R44-R45</f>
        <v>0.00168469210188382</v>
      </c>
      <c r="S46" s="103" t="n">
        <f aca="false">+S44-S45</f>
        <v>-0.00178185272735909</v>
      </c>
      <c r="T46" s="103" t="n">
        <f aca="false">+T44-T45</f>
        <v>-0.002978105408105</v>
      </c>
      <c r="U46" s="103" t="n">
        <f aca="false">+U44-U45</f>
        <v>0.000598077097127003</v>
      </c>
      <c r="V46" s="103" t="n">
        <f aca="false">+V44-V45</f>
        <v>0.00447305247788227</v>
      </c>
      <c r="W46" s="103" t="n">
        <f aca="false">+W44-W45</f>
        <v>-0.00273240582191796</v>
      </c>
      <c r="X46" s="103" t="n">
        <f aca="false">+X44-X45</f>
        <v>-1.14215797313793E-016</v>
      </c>
      <c r="Y46" s="103" t="n">
        <f aca="false">+Y44-Y45</f>
        <v>-1.14215797313793E-016</v>
      </c>
      <c r="Z46" s="103" t="n">
        <f aca="false">+Z44-Z45</f>
        <v>-1.14215797313793E-016</v>
      </c>
    </row>
    <row r="47" customFormat="false" ht="12.75" hidden="false" customHeight="false" outlineLevel="0" collapsed="false">
      <c r="A47" s="104"/>
      <c r="B47" s="104"/>
    </row>
    <row r="48" customFormat="false" ht="13.5" hidden="false" customHeight="false" outlineLevel="0" collapsed="false">
      <c r="A48" s="104"/>
      <c r="B48" s="104"/>
    </row>
    <row r="49" customFormat="false" ht="13.5" hidden="false" customHeight="false" outlineLevel="0" collapsed="false">
      <c r="A49" s="161" t="s">
        <v>97</v>
      </c>
      <c r="B49" s="161"/>
      <c r="C49" s="161"/>
      <c r="D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customFormat="false" ht="12.75" hidden="false" customHeight="false" outlineLevel="0" collapsed="false">
      <c r="A50" s="162" t="s">
        <v>98</v>
      </c>
      <c r="B50" s="163"/>
      <c r="C50" s="164" t="n">
        <v>92000</v>
      </c>
      <c r="D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customFormat="false" ht="12.75" hidden="false" customHeight="false" outlineLevel="0" collapsed="false">
      <c r="A51" s="165" t="s">
        <v>99</v>
      </c>
      <c r="B51" s="12"/>
      <c r="C51" s="166" t="n">
        <v>70000</v>
      </c>
      <c r="D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customFormat="false" ht="12.75" hidden="false" customHeight="false" outlineLevel="0" collapsed="false">
      <c r="A52" s="165" t="s">
        <v>100</v>
      </c>
      <c r="B52" s="12"/>
      <c r="C52" s="167" t="n">
        <v>0.07802</v>
      </c>
      <c r="D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customFormat="false" ht="12.75" hidden="false" customHeight="false" outlineLevel="0" collapsed="false">
      <c r="A53" s="165" t="s">
        <v>101</v>
      </c>
      <c r="B53" s="12"/>
      <c r="C53" s="167" t="n">
        <v>0.061</v>
      </c>
      <c r="D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customFormat="false" ht="12.75" hidden="false" customHeight="false" outlineLevel="0" collapsed="false">
      <c r="A54" s="165" t="s">
        <v>102</v>
      </c>
      <c r="B54" s="168" t="n">
        <v>240</v>
      </c>
      <c r="C54" s="169" t="n">
        <f aca="false">+B54*12</f>
        <v>2880</v>
      </c>
      <c r="D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customFormat="false" ht="13.5" hidden="false" customHeight="false" outlineLevel="0" collapsed="false">
      <c r="A55" s="170" t="s">
        <v>103</v>
      </c>
      <c r="B55" s="171"/>
      <c r="C55" s="172" t="n">
        <v>1.25</v>
      </c>
      <c r="D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customFormat="false" ht="12.75" hidden="false" customHeight="false" outlineLevel="0" collapsed="false">
      <c r="A56" s="104"/>
      <c r="B56" s="104"/>
    </row>
  </sheetData>
  <mergeCells count="5">
    <mergeCell ref="A1:Z1"/>
    <mergeCell ref="A2:Z2"/>
    <mergeCell ref="A3:Z3"/>
    <mergeCell ref="A5:Z5"/>
    <mergeCell ref="A49:C49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Z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9.56"/>
    <col collapsed="false" customWidth="true" hidden="false" outlineLevel="0" max="3" min="2" style="0" width="11.28"/>
    <col collapsed="false" customWidth="true" hidden="false" outlineLevel="0" max="26" min="4" style="0" width="9.7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customFormat="false" ht="16.5" hidden="false" customHeight="true" outlineLevel="0" collapsed="false">
      <c r="A2" s="3" t="s">
        <v>104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16.5" hidden="false" customHeight="tru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</row>
    <row r="5" customFormat="false" ht="16.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8" customFormat="false" ht="12.75" hidden="false" customHeight="false" outlineLevel="0" collapsed="false">
      <c r="A8" s="141"/>
      <c r="B8" s="141"/>
      <c r="C8" s="141"/>
      <c r="D8" s="142" t="n">
        <v>1997</v>
      </c>
      <c r="E8" s="143" t="n">
        <v>1998</v>
      </c>
      <c r="F8" s="143" t="n">
        <v>1999</v>
      </c>
      <c r="G8" s="143" t="n">
        <v>2000</v>
      </c>
      <c r="H8" s="143" t="n">
        <v>2001</v>
      </c>
      <c r="I8" s="143" t="n">
        <v>2002</v>
      </c>
      <c r="J8" s="143" t="n">
        <v>2003</v>
      </c>
      <c r="K8" s="143" t="n">
        <v>2004</v>
      </c>
      <c r="L8" s="143" t="n">
        <v>2005</v>
      </c>
      <c r="M8" s="143" t="n">
        <v>2006</v>
      </c>
      <c r="N8" s="143" t="n">
        <v>2007</v>
      </c>
      <c r="O8" s="143" t="n">
        <v>2008</v>
      </c>
      <c r="P8" s="143" t="n">
        <v>2009</v>
      </c>
      <c r="Q8" s="143" t="n">
        <v>2010</v>
      </c>
      <c r="R8" s="143" t="n">
        <v>2011</v>
      </c>
      <c r="S8" s="143" t="n">
        <v>2012</v>
      </c>
      <c r="T8" s="143" t="n">
        <v>2013</v>
      </c>
      <c r="U8" s="143" t="n">
        <v>2014</v>
      </c>
      <c r="V8" s="143" t="n">
        <v>2015</v>
      </c>
      <c r="W8" s="143" t="n">
        <v>2016</v>
      </c>
      <c r="X8" s="143" t="n">
        <v>2017</v>
      </c>
      <c r="Y8" s="143" t="n">
        <v>2018</v>
      </c>
      <c r="Z8" s="144" t="n">
        <v>2019</v>
      </c>
    </row>
    <row r="9" customFormat="false" ht="12.75" hidden="false" customHeight="false" outlineLevel="0" collapsed="false">
      <c r="A9" s="141"/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</row>
    <row r="10" customFormat="false" ht="12.75" hidden="false" customHeight="false" outlineLevel="0" collapsed="false">
      <c r="A10" s="145" t="s">
        <v>80</v>
      </c>
      <c r="B10" s="146"/>
      <c r="C10" s="147"/>
    </row>
    <row r="11" customFormat="false" ht="12.75" hidden="false" customHeight="false" outlineLevel="0" collapsed="false">
      <c r="A11" s="148" t="s">
        <v>81</v>
      </c>
      <c r="B11" s="149"/>
      <c r="C11" s="150"/>
      <c r="D11" s="151" t="n">
        <f aca="false">0.00375+0.00375</f>
        <v>0.0075</v>
      </c>
      <c r="E11" s="151" t="n">
        <f aca="false">0.003125*4</f>
        <v>0.0125</v>
      </c>
      <c r="F11" s="151" t="n">
        <f aca="false">0.004375*4</f>
        <v>0.0175</v>
      </c>
      <c r="G11" s="151" t="n">
        <v>0.0225</v>
      </c>
      <c r="H11" s="151" t="n">
        <v>0.0275</v>
      </c>
      <c r="I11" s="151" t="n">
        <v>0.0275</v>
      </c>
      <c r="J11" s="151" t="n">
        <v>0.0325</v>
      </c>
      <c r="K11" s="151" t="n">
        <v>0.0375</v>
      </c>
      <c r="L11" s="151" t="n">
        <v>0.0425</v>
      </c>
      <c r="M11" s="151" t="n">
        <v>0.0475</v>
      </c>
      <c r="N11" s="151" t="n">
        <v>0.1071</v>
      </c>
      <c r="O11" s="151" t="n">
        <v>0.1253</v>
      </c>
      <c r="P11" s="151" t="n">
        <v>0.1167</v>
      </c>
      <c r="Q11" s="151" t="n">
        <v>0.1339</v>
      </c>
      <c r="R11" s="151" t="n">
        <v>0.1555</v>
      </c>
      <c r="S11" s="151" t="n">
        <v>0.0865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</row>
    <row r="12" customFormat="false" ht="12.75" hidden="false" customHeight="false" outlineLevel="0" collapsed="false">
      <c r="A12" s="152" t="s">
        <v>82</v>
      </c>
      <c r="B12" s="104"/>
      <c r="D12" s="153" t="n">
        <v>0</v>
      </c>
      <c r="E12" s="153" t="n">
        <f aca="false">+E$11*$C$50/4</f>
        <v>250.9375</v>
      </c>
      <c r="F12" s="153" t="n">
        <f aca="false">+F$11*$C$50/4</f>
        <v>351.3125</v>
      </c>
      <c r="G12" s="153" t="n">
        <f aca="false">+G$11*$C$50/4</f>
        <v>451.6875</v>
      </c>
      <c r="H12" s="153" t="n">
        <f aca="false">+H$11*$C$50/4</f>
        <v>552.0625</v>
      </c>
      <c r="I12" s="153" t="n">
        <f aca="false">+I$11*$C$50/4</f>
        <v>552.0625</v>
      </c>
      <c r="J12" s="153" t="n">
        <f aca="false">+J$11*$C$50/4</f>
        <v>652.4375</v>
      </c>
      <c r="K12" s="153" t="n">
        <f aca="false">+K$11*$C$50/4</f>
        <v>752.8125</v>
      </c>
      <c r="L12" s="153" t="n">
        <f aca="false">+L$11*$C$50/4</f>
        <v>853.1875</v>
      </c>
      <c r="M12" s="153" t="n">
        <f aca="false">+M$11*$C$50/4</f>
        <v>953.5625</v>
      </c>
      <c r="N12" s="153" t="n">
        <f aca="false">+N$11*$C$50/4</f>
        <v>2150.0325</v>
      </c>
      <c r="O12" s="153" t="n">
        <f aca="false">+O$11*$C$50/4</f>
        <v>2515.3975</v>
      </c>
      <c r="P12" s="153" t="n">
        <f aca="false">+P$11*$C$50/4</f>
        <v>2342.7525</v>
      </c>
      <c r="Q12" s="153" t="n">
        <f aca="false">+Q$11*$C$50/4</f>
        <v>2688.0425</v>
      </c>
      <c r="R12" s="153" t="n">
        <f aca="false">+R$11*$C$50/4</f>
        <v>3121.6625</v>
      </c>
      <c r="S12" s="153" t="n">
        <f aca="false">+S$11*$C$50/2</f>
        <v>3472.975</v>
      </c>
      <c r="T12" s="153" t="n">
        <f aca="false">+T$11*$C$50/4</f>
        <v>0</v>
      </c>
      <c r="U12" s="153" t="n">
        <f aca="false">+U$11*$C$50/4</f>
        <v>0</v>
      </c>
      <c r="V12" s="153" t="n">
        <f aca="false">+V$11*$C$50/4</f>
        <v>0</v>
      </c>
      <c r="W12" s="153" t="n">
        <f aca="false">+W$11*$C$50/4</f>
        <v>0</v>
      </c>
      <c r="X12" s="153" t="n">
        <f aca="false">+X$11*$C$50/4</f>
        <v>0</v>
      </c>
      <c r="Y12" s="153" t="n">
        <f aca="false">+Y$11*$C$50/4</f>
        <v>0</v>
      </c>
      <c r="Z12" s="153" t="n">
        <f aca="false">+Z$11*$C$50/4</f>
        <v>0</v>
      </c>
    </row>
    <row r="13" customFormat="false" ht="12.75" hidden="false" customHeight="false" outlineLevel="0" collapsed="false">
      <c r="A13" s="152" t="s">
        <v>83</v>
      </c>
      <c r="B13" s="104"/>
      <c r="D13" s="153" t="n">
        <v>0</v>
      </c>
      <c r="E13" s="153" t="n">
        <f aca="false">+E$11*$C$50/4</f>
        <v>250.9375</v>
      </c>
      <c r="F13" s="153" t="n">
        <f aca="false">+F$11*$C$50/4</f>
        <v>351.3125</v>
      </c>
      <c r="G13" s="153" t="n">
        <f aca="false">+G$11*$C$50/4</f>
        <v>451.6875</v>
      </c>
      <c r="H13" s="153" t="n">
        <f aca="false">+H$11*$C$50/4</f>
        <v>552.0625</v>
      </c>
      <c r="I13" s="153" t="n">
        <f aca="false">+I$11*$C$50/4</f>
        <v>552.0625</v>
      </c>
      <c r="J13" s="153" t="n">
        <f aca="false">+J$11*$C$50/4</f>
        <v>652.4375</v>
      </c>
      <c r="K13" s="153" t="n">
        <f aca="false">+K$11*$C$50/4</f>
        <v>752.8125</v>
      </c>
      <c r="L13" s="153" t="n">
        <f aca="false">+L$11*$C$50/4</f>
        <v>853.1875</v>
      </c>
      <c r="M13" s="153" t="n">
        <f aca="false">+M$11*$C$50/4</f>
        <v>953.5625</v>
      </c>
      <c r="N13" s="153" t="n">
        <f aca="false">+N$11*$C$50/4</f>
        <v>2150.0325</v>
      </c>
      <c r="O13" s="153" t="n">
        <f aca="false">+O$11*$C$50/4</f>
        <v>2515.3975</v>
      </c>
      <c r="P13" s="153" t="n">
        <f aca="false">+P$11*$C$50/4</f>
        <v>2342.7525</v>
      </c>
      <c r="Q13" s="153" t="n">
        <f aca="false">+Q$11*$C$50/4</f>
        <v>2688.0425</v>
      </c>
      <c r="R13" s="153" t="n">
        <f aca="false">+R$11*$C$50/4</f>
        <v>3121.6625</v>
      </c>
      <c r="S13" s="153" t="n">
        <f aca="false">+S$11*$C$50/2</f>
        <v>3472.975</v>
      </c>
      <c r="T13" s="153" t="n">
        <f aca="false">+T$11*$C$50/4</f>
        <v>0</v>
      </c>
      <c r="U13" s="153" t="n">
        <f aca="false">+U$11*$C$50/4</f>
        <v>0</v>
      </c>
      <c r="V13" s="153" t="n">
        <f aca="false">+V$11*$C$50/4</f>
        <v>0</v>
      </c>
      <c r="W13" s="153" t="n">
        <f aca="false">+W$11*$C$50/4</f>
        <v>0</v>
      </c>
      <c r="X13" s="153" t="n">
        <f aca="false">+X$11*$C$50/4</f>
        <v>0</v>
      </c>
      <c r="Y13" s="153" t="n">
        <f aca="false">+Y$11*$C$50/4</f>
        <v>0</v>
      </c>
      <c r="Z13" s="153" t="n">
        <f aca="false">+Z$11*$C$50/4</f>
        <v>0</v>
      </c>
    </row>
    <row r="14" customFormat="false" ht="12.75" hidden="false" customHeight="false" outlineLevel="0" collapsed="false">
      <c r="A14" s="152" t="s">
        <v>84</v>
      </c>
      <c r="B14" s="104"/>
      <c r="D14" s="153" t="n">
        <f aca="false">+D$11*$C$50/2</f>
        <v>301.125</v>
      </c>
      <c r="E14" s="153" t="n">
        <f aca="false">+E$11*$C$50/4</f>
        <v>250.9375</v>
      </c>
      <c r="F14" s="153" t="n">
        <f aca="false">+F$11*$C$50/4</f>
        <v>351.3125</v>
      </c>
      <c r="G14" s="153" t="n">
        <f aca="false">+G$11*$C$50/4</f>
        <v>451.6875</v>
      </c>
      <c r="H14" s="153" t="n">
        <f aca="false">+H$11*$C$50/4</f>
        <v>552.0625</v>
      </c>
      <c r="I14" s="153" t="n">
        <f aca="false">+I$11*$C$50/4</f>
        <v>552.0625</v>
      </c>
      <c r="J14" s="153" t="n">
        <f aca="false">+J$11*$C$50/4</f>
        <v>652.4375</v>
      </c>
      <c r="K14" s="153" t="n">
        <f aca="false">+K$11*$C$50/4</f>
        <v>752.8125</v>
      </c>
      <c r="L14" s="153" t="n">
        <f aca="false">+L$11*$C$50/4</f>
        <v>853.1875</v>
      </c>
      <c r="M14" s="153" t="n">
        <f aca="false">+M$11*$C$50/4</f>
        <v>953.5625</v>
      </c>
      <c r="N14" s="153" t="n">
        <f aca="false">+N$11*$C$50/4</f>
        <v>2150.0325</v>
      </c>
      <c r="O14" s="153" t="n">
        <f aca="false">+O$11*$C$50/4</f>
        <v>2515.3975</v>
      </c>
      <c r="P14" s="153" t="n">
        <f aca="false">+P$11*$C$50/4</f>
        <v>2342.7525</v>
      </c>
      <c r="Q14" s="153" t="n">
        <f aca="false">+Q$11*$C$50/4</f>
        <v>2688.0425</v>
      </c>
      <c r="R14" s="153" t="n">
        <f aca="false">+R$11*$C$50/4</f>
        <v>3121.6625</v>
      </c>
      <c r="S14" s="153" t="n">
        <v>0</v>
      </c>
      <c r="T14" s="153" t="n">
        <f aca="false">+T$11*$C$50/4</f>
        <v>0</v>
      </c>
      <c r="U14" s="153" t="n">
        <f aca="false">+U$11*$C$50/4</f>
        <v>0</v>
      </c>
      <c r="V14" s="153" t="n">
        <f aca="false">+V$11*$C$50/4</f>
        <v>0</v>
      </c>
      <c r="W14" s="153" t="n">
        <f aca="false">+W$11*$C$50/4</f>
        <v>0</v>
      </c>
      <c r="X14" s="153" t="n">
        <f aca="false">+X$11*$C$50/4</f>
        <v>0</v>
      </c>
      <c r="Y14" s="153" t="n">
        <f aca="false">+Y$11*$C$50/4</f>
        <v>0</v>
      </c>
      <c r="Z14" s="153" t="n">
        <f aca="false">+Z$11*$C$50/4</f>
        <v>0</v>
      </c>
    </row>
    <row r="15" customFormat="false" ht="12.75" hidden="false" customHeight="false" outlineLevel="0" collapsed="false">
      <c r="A15" s="152" t="s">
        <v>85</v>
      </c>
      <c r="B15" s="104"/>
      <c r="D15" s="153" t="n">
        <f aca="false">+D$11*$C$50/2</f>
        <v>301.125</v>
      </c>
      <c r="E15" s="153" t="n">
        <f aca="false">+E$11*$C$50/4</f>
        <v>250.9375</v>
      </c>
      <c r="F15" s="153" t="n">
        <f aca="false">+F$11*$C$50/4</f>
        <v>351.3125</v>
      </c>
      <c r="G15" s="153" t="n">
        <f aca="false">+G$11*$C$50/4</f>
        <v>451.6875</v>
      </c>
      <c r="H15" s="153" t="n">
        <f aca="false">+H$11*$C$50/4</f>
        <v>552.0625</v>
      </c>
      <c r="I15" s="153" t="n">
        <f aca="false">+I$11*$C$50/4</f>
        <v>552.0625</v>
      </c>
      <c r="J15" s="153" t="n">
        <f aca="false">+J$11*$C$50/4</f>
        <v>652.4375</v>
      </c>
      <c r="K15" s="153" t="n">
        <f aca="false">+K$11*$C$50/4</f>
        <v>752.8125</v>
      </c>
      <c r="L15" s="153" t="n">
        <f aca="false">+L$11*$C$50/4</f>
        <v>853.1875</v>
      </c>
      <c r="M15" s="153" t="n">
        <f aca="false">+M$11*$C$50/4</f>
        <v>953.5625</v>
      </c>
      <c r="N15" s="153" t="n">
        <f aca="false">+N$11*$C$50/4</f>
        <v>2150.0325</v>
      </c>
      <c r="O15" s="153" t="n">
        <f aca="false">+O$11*$C$50/4</f>
        <v>2515.3975</v>
      </c>
      <c r="P15" s="153" t="n">
        <f aca="false">+P$11*$C$50/4</f>
        <v>2342.7525</v>
      </c>
      <c r="Q15" s="153" t="n">
        <f aca="false">+Q$11*$C$50/4</f>
        <v>2688.0425</v>
      </c>
      <c r="R15" s="153" t="n">
        <f aca="false">+R$11*$C$50/4</f>
        <v>3121.6625</v>
      </c>
      <c r="S15" s="153" t="n">
        <v>0</v>
      </c>
      <c r="T15" s="153" t="n">
        <f aca="false">+T$11*$C$50/4</f>
        <v>0</v>
      </c>
      <c r="U15" s="153" t="n">
        <f aca="false">+U$11*$C$50/4</f>
        <v>0</v>
      </c>
      <c r="V15" s="153" t="n">
        <f aca="false">+V$11*$C$50/4</f>
        <v>0</v>
      </c>
      <c r="W15" s="153" t="n">
        <f aca="false">+W$11*$C$50/4</f>
        <v>0</v>
      </c>
      <c r="X15" s="153" t="n">
        <f aca="false">+X$11*$C$50/4</f>
        <v>0</v>
      </c>
      <c r="Y15" s="153" t="n">
        <f aca="false">+Y$11*$C$50/4</f>
        <v>0</v>
      </c>
      <c r="Z15" s="153" t="n">
        <f aca="false">+Z$11*$C$50/4</f>
        <v>0</v>
      </c>
    </row>
    <row r="16" customFormat="false" ht="12.75" hidden="false" customHeight="false" outlineLevel="0" collapsed="false">
      <c r="A16" s="152"/>
      <c r="B16" s="104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</row>
    <row r="17" customFormat="false" ht="12.75" hidden="false" customHeight="false" outlineLevel="0" collapsed="false">
      <c r="A17" s="152" t="s">
        <v>86</v>
      </c>
      <c r="B17" s="104"/>
      <c r="D17" s="153" t="n">
        <f aca="false">+C50</f>
        <v>80300</v>
      </c>
      <c r="E17" s="153" t="n">
        <f aca="false">+D20-D15</f>
        <v>79697.75</v>
      </c>
      <c r="F17" s="153" t="n">
        <f aca="false">+E20-E15</f>
        <v>78694</v>
      </c>
      <c r="G17" s="153" t="n">
        <f aca="false">+F20-F15</f>
        <v>77288.75</v>
      </c>
      <c r="H17" s="153" t="n">
        <f aca="false">+G20-G15</f>
        <v>75482</v>
      </c>
      <c r="I17" s="153" t="n">
        <f aca="false">+H20-H15</f>
        <v>73273.75</v>
      </c>
      <c r="J17" s="153" t="n">
        <f aca="false">+I20-I15</f>
        <v>71065.5</v>
      </c>
      <c r="K17" s="153" t="n">
        <f aca="false">+J20-J15</f>
        <v>68455.75</v>
      </c>
      <c r="L17" s="153" t="n">
        <f aca="false">+K20-K15</f>
        <v>65444.5</v>
      </c>
      <c r="M17" s="153" t="n">
        <f aca="false">+L20-L15</f>
        <v>62031.75</v>
      </c>
      <c r="N17" s="153" t="n">
        <f aca="false">+M20-M15</f>
        <v>58217.5</v>
      </c>
      <c r="O17" s="153" t="n">
        <f aca="false">+N20-N15</f>
        <v>49617.37</v>
      </c>
      <c r="P17" s="153" t="n">
        <f aca="false">+O20-O15</f>
        <v>39555.78</v>
      </c>
      <c r="Q17" s="153" t="n">
        <f aca="false">+P20-P15</f>
        <v>30184.77</v>
      </c>
      <c r="R17" s="153" t="n">
        <f aca="false">+Q20-Q15</f>
        <v>19432.6</v>
      </c>
      <c r="S17" s="153" t="n">
        <f aca="false">+R20-R15</f>
        <v>6945.95</v>
      </c>
      <c r="T17" s="153" t="n">
        <f aca="false">+S20-S15</f>
        <v>0</v>
      </c>
      <c r="U17" s="153" t="n">
        <f aca="false">+T20-T15</f>
        <v>0</v>
      </c>
      <c r="V17" s="153" t="n">
        <f aca="false">+U20-U15</f>
        <v>0</v>
      </c>
      <c r="W17" s="153" t="n">
        <f aca="false">+V20-V15</f>
        <v>0</v>
      </c>
      <c r="X17" s="153" t="n">
        <f aca="false">+W20-W15</f>
        <v>0</v>
      </c>
      <c r="Y17" s="153" t="n">
        <f aca="false">+X20-X15</f>
        <v>0</v>
      </c>
      <c r="Z17" s="153" t="n">
        <f aca="false">+Y20-Y15</f>
        <v>0</v>
      </c>
    </row>
    <row r="18" customFormat="false" ht="12.75" hidden="false" customHeight="false" outlineLevel="0" collapsed="false">
      <c r="A18" s="152" t="s">
        <v>87</v>
      </c>
      <c r="B18" s="104"/>
      <c r="D18" s="153" t="n">
        <f aca="false">+D17-D12</f>
        <v>80300</v>
      </c>
      <c r="E18" s="153" t="n">
        <f aca="false">+E17-E12</f>
        <v>79446.8125</v>
      </c>
      <c r="F18" s="153" t="n">
        <f aca="false">+F17-F12</f>
        <v>78342.6875</v>
      </c>
      <c r="G18" s="153" t="n">
        <f aca="false">+G17-G12</f>
        <v>76837.0625</v>
      </c>
      <c r="H18" s="153" t="n">
        <f aca="false">+H17-H12</f>
        <v>74929.9375</v>
      </c>
      <c r="I18" s="153" t="n">
        <f aca="false">+I17-I12</f>
        <v>72721.6875</v>
      </c>
      <c r="J18" s="153" t="n">
        <f aca="false">+J17-J12</f>
        <v>70413.0625</v>
      </c>
      <c r="K18" s="153" t="n">
        <f aca="false">+K17-K12</f>
        <v>67702.9375</v>
      </c>
      <c r="L18" s="153" t="n">
        <f aca="false">+L17-L12</f>
        <v>64591.3125</v>
      </c>
      <c r="M18" s="153" t="n">
        <f aca="false">+M17-M12</f>
        <v>61078.1875</v>
      </c>
      <c r="N18" s="153" t="n">
        <f aca="false">+N17-N12</f>
        <v>56067.4675</v>
      </c>
      <c r="O18" s="153" t="n">
        <f aca="false">+O17-O12</f>
        <v>47101.9725</v>
      </c>
      <c r="P18" s="153" t="n">
        <f aca="false">+P17-P12</f>
        <v>37213.0275</v>
      </c>
      <c r="Q18" s="153" t="n">
        <f aca="false">+Q17-Q12</f>
        <v>27496.7275</v>
      </c>
      <c r="R18" s="153" t="n">
        <f aca="false">+R17-R12</f>
        <v>16310.9375</v>
      </c>
      <c r="S18" s="153" t="n">
        <f aca="false">+S17-S12</f>
        <v>3472.975</v>
      </c>
      <c r="T18" s="153" t="n">
        <f aca="false">+T17-T12</f>
        <v>0</v>
      </c>
      <c r="U18" s="153" t="n">
        <f aca="false">+U17-U12</f>
        <v>0</v>
      </c>
      <c r="V18" s="153" t="n">
        <f aca="false">+V17-V12</f>
        <v>0</v>
      </c>
      <c r="W18" s="153" t="n">
        <f aca="false">+W17-W12</f>
        <v>0</v>
      </c>
      <c r="X18" s="153" t="n">
        <f aca="false">+X17-X12</f>
        <v>0</v>
      </c>
      <c r="Y18" s="153" t="n">
        <f aca="false">+Y17-Y12</f>
        <v>0</v>
      </c>
      <c r="Z18" s="153" t="n">
        <f aca="false">+Z17-Z12</f>
        <v>0</v>
      </c>
    </row>
    <row r="19" customFormat="false" ht="12.75" hidden="false" customHeight="false" outlineLevel="0" collapsed="false">
      <c r="A19" s="152" t="s">
        <v>88</v>
      </c>
      <c r="B19" s="104"/>
      <c r="D19" s="153" t="n">
        <f aca="false">+D18-D13</f>
        <v>80300</v>
      </c>
      <c r="E19" s="153" t="n">
        <f aca="false">+E18-E13</f>
        <v>79195.875</v>
      </c>
      <c r="F19" s="153" t="n">
        <f aca="false">+F18-F13</f>
        <v>77991.375</v>
      </c>
      <c r="G19" s="153" t="n">
        <f aca="false">+G18-G13</f>
        <v>76385.375</v>
      </c>
      <c r="H19" s="153" t="n">
        <f aca="false">+H18-H13</f>
        <v>74377.875</v>
      </c>
      <c r="I19" s="153" t="n">
        <f aca="false">+I18-I13</f>
        <v>72169.625</v>
      </c>
      <c r="J19" s="153" t="n">
        <f aca="false">+J18-J13</f>
        <v>69760.625</v>
      </c>
      <c r="K19" s="153" t="n">
        <f aca="false">+K18-K13</f>
        <v>66950.125</v>
      </c>
      <c r="L19" s="153" t="n">
        <f aca="false">+L18-L13</f>
        <v>63738.125</v>
      </c>
      <c r="M19" s="153" t="n">
        <f aca="false">+M18-M13</f>
        <v>60124.625</v>
      </c>
      <c r="N19" s="153" t="n">
        <f aca="false">+N18-N13</f>
        <v>53917.435</v>
      </c>
      <c r="O19" s="153" t="n">
        <f aca="false">+O18-O13</f>
        <v>44586.575</v>
      </c>
      <c r="P19" s="153" t="n">
        <f aca="false">+P18-P13</f>
        <v>34870.275</v>
      </c>
      <c r="Q19" s="153" t="n">
        <f aca="false">+Q18-Q13</f>
        <v>24808.685</v>
      </c>
      <c r="R19" s="153" t="n">
        <f aca="false">+R18-R13</f>
        <v>13189.275</v>
      </c>
      <c r="S19" s="153" t="n">
        <f aca="false">+S18-S13</f>
        <v>0</v>
      </c>
      <c r="T19" s="153" t="n">
        <f aca="false">+T18-T13</f>
        <v>0</v>
      </c>
      <c r="U19" s="153" t="n">
        <f aca="false">+U18-U13</f>
        <v>0</v>
      </c>
      <c r="V19" s="153" t="n">
        <f aca="false">+V18-V13</f>
        <v>0</v>
      </c>
      <c r="W19" s="153" t="n">
        <f aca="false">+W18-W13</f>
        <v>0</v>
      </c>
      <c r="X19" s="153" t="n">
        <f aca="false">+X18-X13</f>
        <v>0</v>
      </c>
      <c r="Y19" s="153" t="n">
        <f aca="false">+Y18-Y13</f>
        <v>0</v>
      </c>
      <c r="Z19" s="153" t="n">
        <f aca="false">+Z18-Z13</f>
        <v>0</v>
      </c>
    </row>
    <row r="20" customFormat="false" ht="12.75" hidden="false" customHeight="false" outlineLevel="0" collapsed="false">
      <c r="A20" s="152" t="s">
        <v>89</v>
      </c>
      <c r="B20" s="104"/>
      <c r="D20" s="153" t="n">
        <f aca="false">+D19-D14</f>
        <v>79998.875</v>
      </c>
      <c r="E20" s="153" t="n">
        <f aca="false">+E19-E14</f>
        <v>78944.9375</v>
      </c>
      <c r="F20" s="153" t="n">
        <f aca="false">+F19-F14</f>
        <v>77640.0625</v>
      </c>
      <c r="G20" s="153" t="n">
        <f aca="false">+G19-G14</f>
        <v>75933.6875</v>
      </c>
      <c r="H20" s="153" t="n">
        <f aca="false">+H19-H14</f>
        <v>73825.8125</v>
      </c>
      <c r="I20" s="153" t="n">
        <f aca="false">+I19-I14</f>
        <v>71617.5625</v>
      </c>
      <c r="J20" s="153" t="n">
        <f aca="false">+J19-J14</f>
        <v>69108.1875</v>
      </c>
      <c r="K20" s="153" t="n">
        <f aca="false">+K19-K14</f>
        <v>66197.3125</v>
      </c>
      <c r="L20" s="153" t="n">
        <f aca="false">+L19-L14</f>
        <v>62884.9375</v>
      </c>
      <c r="M20" s="153" t="n">
        <f aca="false">+M19-M14</f>
        <v>59171.0625</v>
      </c>
      <c r="N20" s="153" t="n">
        <f aca="false">+N19-N14</f>
        <v>51767.4025</v>
      </c>
      <c r="O20" s="153" t="n">
        <f aca="false">+O19-O14</f>
        <v>42071.1775</v>
      </c>
      <c r="P20" s="153" t="n">
        <f aca="false">+P19-P14</f>
        <v>32527.5225</v>
      </c>
      <c r="Q20" s="153" t="n">
        <f aca="false">+Q19-Q14</f>
        <v>22120.6425</v>
      </c>
      <c r="R20" s="153" t="n">
        <f aca="false">+R19-R14</f>
        <v>10067.6125</v>
      </c>
      <c r="S20" s="153" t="n">
        <f aca="false">+S19-S14</f>
        <v>0</v>
      </c>
      <c r="T20" s="153" t="n">
        <f aca="false">+T19-T14</f>
        <v>0</v>
      </c>
      <c r="U20" s="153" t="n">
        <f aca="false">+U19-U14</f>
        <v>0</v>
      </c>
      <c r="V20" s="153" t="n">
        <f aca="false">+V19-V14</f>
        <v>0</v>
      </c>
      <c r="W20" s="153" t="n">
        <f aca="false">+W19-W14</f>
        <v>0</v>
      </c>
      <c r="X20" s="153" t="n">
        <f aca="false">+X19-X14</f>
        <v>0</v>
      </c>
      <c r="Y20" s="153" t="n">
        <f aca="false">+Y19-Y14</f>
        <v>0</v>
      </c>
      <c r="Z20" s="153" t="n">
        <f aca="false">+Z19-Z14</f>
        <v>0</v>
      </c>
    </row>
    <row r="21" customFormat="false" ht="12.75" hidden="false" customHeight="false" outlineLevel="0" collapsed="false">
      <c r="A21" s="152"/>
      <c r="B21" s="10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</row>
    <row r="22" customFormat="false" ht="12.75" hidden="false" customHeight="false" outlineLevel="0" collapsed="false">
      <c r="A22" s="145" t="s">
        <v>90</v>
      </c>
      <c r="B22" s="146"/>
      <c r="C22" s="147"/>
    </row>
    <row r="23" customFormat="false" ht="12.75" hidden="false" customHeight="false" outlineLevel="0" collapsed="false">
      <c r="A23" s="152" t="s">
        <v>81</v>
      </c>
      <c r="B23" s="104"/>
      <c r="D23" s="155" t="n">
        <v>0</v>
      </c>
      <c r="E23" s="155" t="n">
        <v>0</v>
      </c>
      <c r="F23" s="155" t="n">
        <v>0</v>
      </c>
      <c r="G23" s="155" t="n">
        <v>0</v>
      </c>
      <c r="H23" s="155" t="n">
        <v>0</v>
      </c>
      <c r="I23" s="155" t="n">
        <v>0</v>
      </c>
      <c r="J23" s="155" t="n">
        <v>0</v>
      </c>
      <c r="K23" s="155" t="n">
        <v>0</v>
      </c>
      <c r="L23" s="155" t="n">
        <v>0</v>
      </c>
      <c r="M23" s="155" t="n">
        <v>0</v>
      </c>
      <c r="N23" s="155" t="n">
        <v>0</v>
      </c>
      <c r="O23" s="155" t="n">
        <v>0</v>
      </c>
      <c r="P23" s="155" t="n">
        <v>0</v>
      </c>
      <c r="Q23" s="155" t="n">
        <v>0</v>
      </c>
      <c r="R23" s="155" t="n">
        <v>0</v>
      </c>
      <c r="S23" s="155" t="n">
        <v>0.164284</v>
      </c>
      <c r="T23" s="155" t="n">
        <v>0.18</v>
      </c>
      <c r="U23" s="155" t="n">
        <v>0.197144</v>
      </c>
      <c r="V23" s="155" t="n">
        <v>0.218572</v>
      </c>
      <c r="W23" s="155" t="n">
        <v>0.24</v>
      </c>
      <c r="X23" s="155" t="n">
        <v>0</v>
      </c>
      <c r="Y23" s="155" t="n">
        <v>0</v>
      </c>
      <c r="Z23" s="155" t="n">
        <v>0</v>
      </c>
    </row>
    <row r="24" customFormat="false" ht="12.75" hidden="false" customHeight="false" outlineLevel="0" collapsed="false">
      <c r="A24" s="152" t="s">
        <v>82</v>
      </c>
      <c r="B24" s="104"/>
      <c r="D24" s="153" t="n">
        <f aca="false">+D$23*$C$51/4</f>
        <v>0</v>
      </c>
      <c r="E24" s="153" t="n">
        <f aca="false">+E$23*$C$51/4</f>
        <v>0</v>
      </c>
      <c r="F24" s="153" t="n">
        <f aca="false">+F$23*$C$51/4</f>
        <v>0</v>
      </c>
      <c r="G24" s="153" t="n">
        <f aca="false">+G$23*$C$51/4</f>
        <v>0</v>
      </c>
      <c r="H24" s="153" t="n">
        <f aca="false">+H$23*$C$51/4</f>
        <v>0</v>
      </c>
      <c r="I24" s="153" t="n">
        <f aca="false">+I$23*$C$51/4</f>
        <v>0</v>
      </c>
      <c r="J24" s="153" t="n">
        <f aca="false">+J$23*$C$51/4</f>
        <v>0</v>
      </c>
      <c r="K24" s="153" t="n">
        <f aca="false">+K$23*$C$51/4</f>
        <v>0</v>
      </c>
      <c r="L24" s="153" t="n">
        <f aca="false">+L$23*$C$51/4</f>
        <v>0</v>
      </c>
      <c r="M24" s="153" t="n">
        <f aca="false">+M$23*$C$51/4</f>
        <v>0</v>
      </c>
      <c r="N24" s="153" t="n">
        <f aca="false">+N$23*$C$51/4</f>
        <v>0</v>
      </c>
      <c r="O24" s="153" t="n">
        <f aca="false">+O$23*$C$51/4</f>
        <v>0</v>
      </c>
      <c r="P24" s="153" t="n">
        <f aca="false">+P$23*$C$51/4</f>
        <v>0</v>
      </c>
      <c r="Q24" s="153" t="n">
        <f aca="false">+Q$23*$C$51/4</f>
        <v>0</v>
      </c>
      <c r="R24" s="153" t="n">
        <f aca="false">+R$23*$C$51/4</f>
        <v>0</v>
      </c>
      <c r="S24" s="153" t="n">
        <v>0</v>
      </c>
      <c r="T24" s="153" t="n">
        <f aca="false">+T$23*$C$51/4</f>
        <v>3150</v>
      </c>
      <c r="U24" s="153" t="n">
        <f aca="false">+U$23*$C$51/4</f>
        <v>3450.02</v>
      </c>
      <c r="V24" s="153" t="n">
        <f aca="false">+V$23*$C$51/4</f>
        <v>3825.01</v>
      </c>
      <c r="W24" s="153" t="n">
        <f aca="false">+W$23*$C$51/4</f>
        <v>4200</v>
      </c>
      <c r="X24" s="153" t="n">
        <f aca="false">+X$23*$C$51/4</f>
        <v>0</v>
      </c>
      <c r="Y24" s="153" t="n">
        <f aca="false">+Y$23*$C$51/4</f>
        <v>0</v>
      </c>
      <c r="Z24" s="153" t="n">
        <f aca="false">+Z$23*$C$51/4</f>
        <v>0</v>
      </c>
    </row>
    <row r="25" customFormat="false" ht="12.75" hidden="false" customHeight="false" outlineLevel="0" collapsed="false">
      <c r="A25" s="152" t="s">
        <v>83</v>
      </c>
      <c r="B25" s="104"/>
      <c r="D25" s="153" t="n">
        <f aca="false">+D$23*$C$51/4</f>
        <v>0</v>
      </c>
      <c r="E25" s="153" t="n">
        <f aca="false">+E$23*$C$51/4</f>
        <v>0</v>
      </c>
      <c r="F25" s="153" t="n">
        <f aca="false">+F$23*$C$51/4</f>
        <v>0</v>
      </c>
      <c r="G25" s="153" t="n">
        <f aca="false">+G$23*$C$51/4</f>
        <v>0</v>
      </c>
      <c r="H25" s="153" t="n">
        <f aca="false">+H$23*$C$51/4</f>
        <v>0</v>
      </c>
      <c r="I25" s="153" t="n">
        <f aca="false">+I$23*$C$51/4</f>
        <v>0</v>
      </c>
      <c r="J25" s="153" t="n">
        <f aca="false">+J$23*$C$51/4</f>
        <v>0</v>
      </c>
      <c r="K25" s="153" t="n">
        <f aca="false">+K$23*$C$51/4</f>
        <v>0</v>
      </c>
      <c r="L25" s="153" t="n">
        <f aca="false">+L$23*$C$51/4</f>
        <v>0</v>
      </c>
      <c r="M25" s="153" t="n">
        <f aca="false">+M$23*$C$51/4</f>
        <v>0</v>
      </c>
      <c r="N25" s="153" t="n">
        <f aca="false">+N$23*$C$51/4</f>
        <v>0</v>
      </c>
      <c r="O25" s="153" t="n">
        <f aca="false">+O$23*$C$51/4</f>
        <v>0</v>
      </c>
      <c r="P25" s="153" t="n">
        <f aca="false">+P$23*$C$51/4</f>
        <v>0</v>
      </c>
      <c r="Q25" s="153" t="n">
        <f aca="false">+Q$23*$C$51/4</f>
        <v>0</v>
      </c>
      <c r="R25" s="153" t="n">
        <f aca="false">+R$23*$C$51/4</f>
        <v>0</v>
      </c>
      <c r="S25" s="153" t="n">
        <v>0</v>
      </c>
      <c r="T25" s="153" t="n">
        <f aca="false">+T$23*$C$51/4</f>
        <v>3150</v>
      </c>
      <c r="U25" s="153" t="n">
        <f aca="false">+U$23*$C$51/4</f>
        <v>3450.02</v>
      </c>
      <c r="V25" s="153" t="n">
        <f aca="false">+V$23*$C$51/4</f>
        <v>3825.01</v>
      </c>
      <c r="W25" s="153" t="n">
        <f aca="false">+W$23*$C$51/4</f>
        <v>4200</v>
      </c>
      <c r="X25" s="153" t="n">
        <f aca="false">+X$23*$C$51/4</f>
        <v>0</v>
      </c>
      <c r="Y25" s="153" t="n">
        <f aca="false">+Y$23*$C$51/4</f>
        <v>0</v>
      </c>
      <c r="Z25" s="153" t="n">
        <f aca="false">+Z$23*$C$51/4</f>
        <v>0</v>
      </c>
    </row>
    <row r="26" customFormat="false" ht="12.75" hidden="false" customHeight="false" outlineLevel="0" collapsed="false">
      <c r="A26" s="152" t="s">
        <v>84</v>
      </c>
      <c r="B26" s="104"/>
      <c r="D26" s="153" t="n">
        <f aca="false">+D$23*$C$51/4</f>
        <v>0</v>
      </c>
      <c r="E26" s="153" t="n">
        <f aca="false">+E$23*$C$51/4</f>
        <v>0</v>
      </c>
      <c r="F26" s="153" t="n">
        <f aca="false">+F$23*$C$51/4</f>
        <v>0</v>
      </c>
      <c r="G26" s="153" t="n">
        <f aca="false">+G$23*$C$51/4</f>
        <v>0</v>
      </c>
      <c r="H26" s="153" t="n">
        <f aca="false">+H$23*$C$51/4</f>
        <v>0</v>
      </c>
      <c r="I26" s="153" t="n">
        <f aca="false">+I$23*$C$51/4</f>
        <v>0</v>
      </c>
      <c r="J26" s="153" t="n">
        <f aca="false">+J$23*$C$51/4</f>
        <v>0</v>
      </c>
      <c r="K26" s="153" t="n">
        <f aca="false">+K$23*$C$51/4</f>
        <v>0</v>
      </c>
      <c r="L26" s="153" t="n">
        <f aca="false">+L$23*$C$51/4</f>
        <v>0</v>
      </c>
      <c r="M26" s="153" t="n">
        <f aca="false">+M$23*$C$51/4</f>
        <v>0</v>
      </c>
      <c r="N26" s="153" t="n">
        <f aca="false">+N$23*$C$51/4</f>
        <v>0</v>
      </c>
      <c r="O26" s="153" t="n">
        <f aca="false">+O$23*$C$51/4</f>
        <v>0</v>
      </c>
      <c r="P26" s="153" t="n">
        <f aca="false">+P$23*$C$51/4</f>
        <v>0</v>
      </c>
      <c r="Q26" s="153" t="n">
        <f aca="false">+Q$23*$C$51/4</f>
        <v>0</v>
      </c>
      <c r="R26" s="153" t="n">
        <f aca="false">+R$23*$C$51/4</f>
        <v>0</v>
      </c>
      <c r="S26" s="153" t="n">
        <f aca="false">+S$23*$C$51/2</f>
        <v>5749.94</v>
      </c>
      <c r="T26" s="153" t="n">
        <f aca="false">+T$23*$C$51/4</f>
        <v>3150</v>
      </c>
      <c r="U26" s="153" t="n">
        <f aca="false">+U$23*$C$51/4</f>
        <v>3450.02</v>
      </c>
      <c r="V26" s="153" t="n">
        <f aca="false">+V$23*$C$51/4</f>
        <v>3825.01</v>
      </c>
      <c r="W26" s="153" t="n">
        <f aca="false">+W$23*$C$51/4</f>
        <v>4200</v>
      </c>
      <c r="X26" s="153" t="n">
        <f aca="false">+X$23*$C$51/4</f>
        <v>0</v>
      </c>
      <c r="Y26" s="153" t="n">
        <f aca="false">+Y$23*$C$51/4</f>
        <v>0</v>
      </c>
      <c r="Z26" s="153" t="n">
        <f aca="false">+Z$23*$C$51/4</f>
        <v>0</v>
      </c>
    </row>
    <row r="27" customFormat="false" ht="12.75" hidden="false" customHeight="false" outlineLevel="0" collapsed="false">
      <c r="A27" s="152" t="s">
        <v>85</v>
      </c>
      <c r="B27" s="104"/>
      <c r="D27" s="153" t="n">
        <f aca="false">+D$23*$C$51/4</f>
        <v>0</v>
      </c>
      <c r="E27" s="153" t="n">
        <f aca="false">+E$23*$C$51/4</f>
        <v>0</v>
      </c>
      <c r="F27" s="153" t="n">
        <f aca="false">+F$23*$C$51/4</f>
        <v>0</v>
      </c>
      <c r="G27" s="153" t="n">
        <f aca="false">+G$23*$C$51/4</f>
        <v>0</v>
      </c>
      <c r="H27" s="153" t="n">
        <f aca="false">+H$23*$C$51/4</f>
        <v>0</v>
      </c>
      <c r="I27" s="153" t="n">
        <f aca="false">+I$23*$C$51/4</f>
        <v>0</v>
      </c>
      <c r="J27" s="153" t="n">
        <f aca="false">+J$23*$C$51/4</f>
        <v>0</v>
      </c>
      <c r="K27" s="153" t="n">
        <f aca="false">+K$23*$C$51/4</f>
        <v>0</v>
      </c>
      <c r="L27" s="153" t="n">
        <f aca="false">+L$23*$C$51/4</f>
        <v>0</v>
      </c>
      <c r="M27" s="153" t="n">
        <f aca="false">+M$23*$C$51/4</f>
        <v>0</v>
      </c>
      <c r="N27" s="153" t="n">
        <f aca="false">+N$23*$C$51/4</f>
        <v>0</v>
      </c>
      <c r="O27" s="153" t="n">
        <f aca="false">+O$23*$C$51/4</f>
        <v>0</v>
      </c>
      <c r="P27" s="153" t="n">
        <f aca="false">+P$23*$C$51/4</f>
        <v>0</v>
      </c>
      <c r="Q27" s="153" t="n">
        <f aca="false">+Q$23*$C$51/4</f>
        <v>0</v>
      </c>
      <c r="R27" s="153" t="n">
        <f aca="false">+R$23*$C$51/4</f>
        <v>0</v>
      </c>
      <c r="S27" s="153" t="n">
        <f aca="false">+S$23*$C$51/2</f>
        <v>5749.94</v>
      </c>
      <c r="T27" s="153" t="n">
        <f aca="false">+T$23*$C$51/4</f>
        <v>3150</v>
      </c>
      <c r="U27" s="153" t="n">
        <f aca="false">+U$23*$C$51/4</f>
        <v>3450.02</v>
      </c>
      <c r="V27" s="153" t="n">
        <f aca="false">+V$23*$C$51/4</f>
        <v>3825.01</v>
      </c>
      <c r="W27" s="153" t="n">
        <f aca="false">+W$23*$C$51/4</f>
        <v>4200</v>
      </c>
      <c r="X27" s="153" t="n">
        <f aca="false">+X$23*$C$51/4</f>
        <v>0</v>
      </c>
      <c r="Y27" s="153" t="n">
        <f aca="false">+Y$23*$C$51/4</f>
        <v>0</v>
      </c>
      <c r="Z27" s="153" t="n">
        <f aca="false">+Z$23*$C$51/4</f>
        <v>0</v>
      </c>
    </row>
    <row r="28" customFormat="false" ht="12.75" hidden="false" customHeight="false" outlineLevel="0" collapsed="false">
      <c r="A28" s="152"/>
      <c r="B28" s="104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</row>
    <row r="29" customFormat="false" ht="12.75" hidden="false" customHeight="false" outlineLevel="0" collapsed="false">
      <c r="A29" s="152" t="s">
        <v>86</v>
      </c>
      <c r="B29" s="104"/>
      <c r="D29" s="153" t="n">
        <f aca="false">+$C$51</f>
        <v>70000</v>
      </c>
      <c r="E29" s="153" t="n">
        <f aca="false">+D32-D27</f>
        <v>70000</v>
      </c>
      <c r="F29" s="153" t="n">
        <f aca="false">+E32-E27</f>
        <v>70000</v>
      </c>
      <c r="G29" s="153" t="n">
        <f aca="false">+F32-F27</f>
        <v>70000</v>
      </c>
      <c r="H29" s="153" t="n">
        <f aca="false">+G32-G27</f>
        <v>70000</v>
      </c>
      <c r="I29" s="153" t="n">
        <f aca="false">+H32-H27</f>
        <v>70000</v>
      </c>
      <c r="J29" s="153" t="n">
        <f aca="false">+I32-I27</f>
        <v>70000</v>
      </c>
      <c r="K29" s="153" t="n">
        <f aca="false">+J32-J27</f>
        <v>70000</v>
      </c>
      <c r="L29" s="153" t="n">
        <f aca="false">+K32-K27</f>
        <v>70000</v>
      </c>
      <c r="M29" s="153" t="n">
        <f aca="false">+L32-L27</f>
        <v>70000</v>
      </c>
      <c r="N29" s="153" t="n">
        <f aca="false">+M32-M27</f>
        <v>70000</v>
      </c>
      <c r="O29" s="153" t="n">
        <f aca="false">+N32-N27</f>
        <v>70000</v>
      </c>
      <c r="P29" s="153" t="n">
        <f aca="false">+O32-O27</f>
        <v>70000</v>
      </c>
      <c r="Q29" s="153" t="n">
        <f aca="false">+P32-P27</f>
        <v>70000</v>
      </c>
      <c r="R29" s="153" t="n">
        <f aca="false">+Q32-Q27</f>
        <v>70000</v>
      </c>
      <c r="S29" s="153" t="n">
        <f aca="false">+R32-R27</f>
        <v>70000</v>
      </c>
      <c r="T29" s="153" t="n">
        <f aca="false">+S32-S27</f>
        <v>58500.12</v>
      </c>
      <c r="U29" s="153" t="n">
        <f aca="false">+T32-T27</f>
        <v>45900.12</v>
      </c>
      <c r="V29" s="153" t="n">
        <f aca="false">+U32-U27</f>
        <v>32100.04</v>
      </c>
      <c r="W29" s="153" t="n">
        <f aca="false">+V32-V27</f>
        <v>16800</v>
      </c>
      <c r="X29" s="153" t="n">
        <f aca="false">+W32-W27</f>
        <v>0</v>
      </c>
      <c r="Y29" s="153" t="n">
        <f aca="false">+X32-X27</f>
        <v>0</v>
      </c>
      <c r="Z29" s="153" t="n">
        <f aca="false">+Y32-Y27</f>
        <v>0</v>
      </c>
    </row>
    <row r="30" customFormat="false" ht="12.75" hidden="false" customHeight="false" outlineLevel="0" collapsed="false">
      <c r="A30" s="152" t="s">
        <v>87</v>
      </c>
      <c r="B30" s="104"/>
      <c r="D30" s="153" t="n">
        <f aca="false">+D29-D24</f>
        <v>70000</v>
      </c>
      <c r="E30" s="153" t="n">
        <f aca="false">+E29-E24</f>
        <v>70000</v>
      </c>
      <c r="F30" s="153" t="n">
        <f aca="false">+F29-F24</f>
        <v>70000</v>
      </c>
      <c r="G30" s="153" t="n">
        <f aca="false">+G29-G24</f>
        <v>70000</v>
      </c>
      <c r="H30" s="153" t="n">
        <f aca="false">+H29-H24</f>
        <v>70000</v>
      </c>
      <c r="I30" s="153" t="n">
        <f aca="false">+I29-I24</f>
        <v>70000</v>
      </c>
      <c r="J30" s="153" t="n">
        <f aca="false">+J29-J24</f>
        <v>70000</v>
      </c>
      <c r="K30" s="153" t="n">
        <f aca="false">+K29-K24</f>
        <v>70000</v>
      </c>
      <c r="L30" s="153" t="n">
        <f aca="false">+L29-L24</f>
        <v>70000</v>
      </c>
      <c r="M30" s="153" t="n">
        <f aca="false">+M29-M24</f>
        <v>70000</v>
      </c>
      <c r="N30" s="153" t="n">
        <f aca="false">+N29-N24</f>
        <v>70000</v>
      </c>
      <c r="O30" s="153" t="n">
        <f aca="false">+O29-O24</f>
        <v>70000</v>
      </c>
      <c r="P30" s="153" t="n">
        <f aca="false">+P29-P24</f>
        <v>70000</v>
      </c>
      <c r="Q30" s="153" t="n">
        <f aca="false">+Q29-Q24</f>
        <v>70000</v>
      </c>
      <c r="R30" s="153" t="n">
        <f aca="false">+R29-R24</f>
        <v>70000</v>
      </c>
      <c r="S30" s="153" t="n">
        <f aca="false">+S29-S24</f>
        <v>70000</v>
      </c>
      <c r="T30" s="153" t="n">
        <f aca="false">+T29-T24</f>
        <v>55350.12</v>
      </c>
      <c r="U30" s="153" t="n">
        <f aca="false">+U29-U24</f>
        <v>42450.1</v>
      </c>
      <c r="V30" s="153" t="n">
        <f aca="false">+V29-V24</f>
        <v>28275.03</v>
      </c>
      <c r="W30" s="153" t="n">
        <f aca="false">+W29-W24</f>
        <v>12600</v>
      </c>
      <c r="X30" s="153" t="n">
        <f aca="false">+X29-X24</f>
        <v>0</v>
      </c>
      <c r="Y30" s="153" t="n">
        <f aca="false">+Y29-Y24</f>
        <v>0</v>
      </c>
      <c r="Z30" s="153" t="n">
        <f aca="false">+Z29-Z24</f>
        <v>0</v>
      </c>
    </row>
    <row r="31" customFormat="false" ht="12.75" hidden="false" customHeight="false" outlineLevel="0" collapsed="false">
      <c r="A31" s="152" t="s">
        <v>88</v>
      </c>
      <c r="B31" s="104"/>
      <c r="D31" s="153" t="n">
        <f aca="false">+D30-D25</f>
        <v>70000</v>
      </c>
      <c r="E31" s="153" t="n">
        <f aca="false">+E30-E25</f>
        <v>70000</v>
      </c>
      <c r="F31" s="153" t="n">
        <f aca="false">+F30-F25</f>
        <v>70000</v>
      </c>
      <c r="G31" s="153" t="n">
        <f aca="false">+G30-G25</f>
        <v>70000</v>
      </c>
      <c r="H31" s="153" t="n">
        <f aca="false">+H30-H25</f>
        <v>70000</v>
      </c>
      <c r="I31" s="153" t="n">
        <f aca="false">+I30-I25</f>
        <v>70000</v>
      </c>
      <c r="J31" s="153" t="n">
        <f aca="false">+J30-J25</f>
        <v>70000</v>
      </c>
      <c r="K31" s="153" t="n">
        <f aca="false">+K30-K25</f>
        <v>70000</v>
      </c>
      <c r="L31" s="153" t="n">
        <f aca="false">+L30-L25</f>
        <v>70000</v>
      </c>
      <c r="M31" s="153" t="n">
        <f aca="false">+M30-M25</f>
        <v>70000</v>
      </c>
      <c r="N31" s="153" t="n">
        <f aca="false">+N30-N25</f>
        <v>70000</v>
      </c>
      <c r="O31" s="153" t="n">
        <f aca="false">+O30-O25</f>
        <v>70000</v>
      </c>
      <c r="P31" s="153" t="n">
        <f aca="false">+P30-P25</f>
        <v>70000</v>
      </c>
      <c r="Q31" s="153" t="n">
        <f aca="false">+Q30-Q25</f>
        <v>70000</v>
      </c>
      <c r="R31" s="153" t="n">
        <f aca="false">+R30-R25</f>
        <v>70000</v>
      </c>
      <c r="S31" s="153" t="n">
        <f aca="false">+S30-S25</f>
        <v>70000</v>
      </c>
      <c r="T31" s="153" t="n">
        <f aca="false">+T30-T25</f>
        <v>52200.12</v>
      </c>
      <c r="U31" s="153" t="n">
        <f aca="false">+U30-U25</f>
        <v>39000.08</v>
      </c>
      <c r="V31" s="153" t="n">
        <f aca="false">+V30-V25</f>
        <v>24450.02</v>
      </c>
      <c r="W31" s="153" t="n">
        <f aca="false">+W30-W25</f>
        <v>8399.99999999999</v>
      </c>
      <c r="X31" s="153" t="n">
        <f aca="false">+X30-X25</f>
        <v>0</v>
      </c>
      <c r="Y31" s="153" t="n">
        <f aca="false">+Y30-Y25</f>
        <v>0</v>
      </c>
      <c r="Z31" s="153" t="n">
        <f aca="false">+Z30-Z25</f>
        <v>0</v>
      </c>
    </row>
    <row r="32" customFormat="false" ht="12.75" hidden="false" customHeight="false" outlineLevel="0" collapsed="false">
      <c r="A32" s="152" t="s">
        <v>89</v>
      </c>
      <c r="B32" s="104"/>
      <c r="D32" s="153" t="n">
        <f aca="false">+D31-D26</f>
        <v>70000</v>
      </c>
      <c r="E32" s="153" t="n">
        <f aca="false">+E31-E26</f>
        <v>70000</v>
      </c>
      <c r="F32" s="153" t="n">
        <f aca="false">+F31-F26</f>
        <v>70000</v>
      </c>
      <c r="G32" s="153" t="n">
        <f aca="false">+G31-G26</f>
        <v>70000</v>
      </c>
      <c r="H32" s="153" t="n">
        <f aca="false">+H31-H26</f>
        <v>70000</v>
      </c>
      <c r="I32" s="153" t="n">
        <f aca="false">+I31-I26</f>
        <v>70000</v>
      </c>
      <c r="J32" s="153" t="n">
        <f aca="false">+J31-J26</f>
        <v>70000</v>
      </c>
      <c r="K32" s="153" t="n">
        <f aca="false">+K31-K26</f>
        <v>70000</v>
      </c>
      <c r="L32" s="153" t="n">
        <f aca="false">+L31-L26</f>
        <v>70000</v>
      </c>
      <c r="M32" s="153" t="n">
        <f aca="false">+M31-M26</f>
        <v>70000</v>
      </c>
      <c r="N32" s="153" t="n">
        <f aca="false">+N31-N26</f>
        <v>70000</v>
      </c>
      <c r="O32" s="153" t="n">
        <f aca="false">+O31-O26</f>
        <v>70000</v>
      </c>
      <c r="P32" s="153" t="n">
        <f aca="false">+P31-P26</f>
        <v>70000</v>
      </c>
      <c r="Q32" s="153" t="n">
        <f aca="false">+Q31-Q26</f>
        <v>70000</v>
      </c>
      <c r="R32" s="153" t="n">
        <f aca="false">+R31-R26</f>
        <v>70000</v>
      </c>
      <c r="S32" s="153" t="n">
        <f aca="false">+S31-S26</f>
        <v>64250.06</v>
      </c>
      <c r="T32" s="153" t="n">
        <f aca="false">+T31-T26</f>
        <v>49050.12</v>
      </c>
      <c r="U32" s="153" t="n">
        <f aca="false">+U31-U26</f>
        <v>35550.06</v>
      </c>
      <c r="V32" s="153" t="n">
        <f aca="false">+V31-V26</f>
        <v>20625.01</v>
      </c>
      <c r="W32" s="153" t="n">
        <f aca="false">+W31-W26</f>
        <v>4199.99999999999</v>
      </c>
      <c r="X32" s="153" t="n">
        <f aca="false">+X31-X26</f>
        <v>0</v>
      </c>
      <c r="Y32" s="153" t="n">
        <f aca="false">+Y31-Y26</f>
        <v>0</v>
      </c>
      <c r="Z32" s="153" t="n">
        <f aca="false">+Z31-Z26</f>
        <v>0</v>
      </c>
    </row>
    <row r="33" customFormat="false" ht="12.75" hidden="false" customHeight="false" outlineLevel="0" collapsed="false">
      <c r="A33" s="152"/>
      <c r="B33" s="104"/>
    </row>
    <row r="34" customFormat="false" ht="12.75" hidden="false" customHeight="false" outlineLevel="0" collapsed="false">
      <c r="A34" s="145" t="s">
        <v>91</v>
      </c>
      <c r="B34" s="146"/>
      <c r="C34" s="147"/>
      <c r="D34" s="156"/>
      <c r="E34" s="156"/>
      <c r="F34" s="156"/>
      <c r="G34" s="156"/>
    </row>
    <row r="35" customFormat="false" ht="12.75" hidden="false" customHeight="false" outlineLevel="0" collapsed="false">
      <c r="A35" s="152" t="s">
        <v>86</v>
      </c>
      <c r="B35" s="157" t="s">
        <v>92</v>
      </c>
      <c r="C35" s="158" t="n">
        <v>90</v>
      </c>
      <c r="D35" s="153" t="n">
        <f aca="false">+D29+D17</f>
        <v>150300</v>
      </c>
      <c r="E35" s="153" t="n">
        <f aca="false">+E29+E17</f>
        <v>149697.75</v>
      </c>
      <c r="F35" s="153" t="n">
        <f aca="false">+F29+F17</f>
        <v>148694</v>
      </c>
      <c r="G35" s="153" t="n">
        <f aca="false">+G29+G17</f>
        <v>147288.75</v>
      </c>
      <c r="H35" s="153" t="n">
        <f aca="false">+H29+H17</f>
        <v>145482</v>
      </c>
      <c r="I35" s="153" t="n">
        <f aca="false">+I29+I17</f>
        <v>143273.75</v>
      </c>
      <c r="J35" s="153" t="n">
        <f aca="false">+J29+J17</f>
        <v>141065.5</v>
      </c>
      <c r="K35" s="153" t="n">
        <f aca="false">+K29+K17</f>
        <v>138455.75</v>
      </c>
      <c r="L35" s="153" t="n">
        <f aca="false">+L29+L17</f>
        <v>135444.5</v>
      </c>
      <c r="M35" s="153" t="n">
        <f aca="false">+M29+M17</f>
        <v>132031.75</v>
      </c>
      <c r="N35" s="153" t="n">
        <f aca="false">+N29+N17</f>
        <v>128217.5</v>
      </c>
      <c r="O35" s="153" t="n">
        <f aca="false">+O29+O17</f>
        <v>119617.37</v>
      </c>
      <c r="P35" s="153" t="n">
        <f aca="false">+P29+P17</f>
        <v>109555.78</v>
      </c>
      <c r="Q35" s="153" t="n">
        <f aca="false">+Q29+Q17</f>
        <v>100184.77</v>
      </c>
      <c r="R35" s="153" t="n">
        <f aca="false">+R29+R17</f>
        <v>89432.6</v>
      </c>
      <c r="S35" s="153" t="n">
        <f aca="false">+S29+S17</f>
        <v>76945.95</v>
      </c>
      <c r="T35" s="153" t="n">
        <f aca="false">+T29+T17</f>
        <v>58500.12</v>
      </c>
      <c r="U35" s="153" t="n">
        <f aca="false">+U29+U17</f>
        <v>45900.12</v>
      </c>
      <c r="V35" s="153" t="n">
        <f aca="false">+V29+V17</f>
        <v>32100.04</v>
      </c>
      <c r="W35" s="153" t="n">
        <f aca="false">+W29+W17</f>
        <v>16800</v>
      </c>
      <c r="X35" s="153" t="n">
        <f aca="false">+X29+X17</f>
        <v>0</v>
      </c>
      <c r="Y35" s="153" t="n">
        <f aca="false">+Y29+Y17</f>
        <v>0</v>
      </c>
      <c r="Z35" s="153" t="n">
        <f aca="false">+Z29+Z17</f>
        <v>0</v>
      </c>
    </row>
    <row r="36" customFormat="false" ht="12.75" hidden="false" customHeight="false" outlineLevel="0" collapsed="false">
      <c r="A36" s="152" t="s">
        <v>87</v>
      </c>
      <c r="B36" s="104"/>
      <c r="C36" s="158" t="n">
        <v>91</v>
      </c>
      <c r="D36" s="153" t="n">
        <f aca="false">+D30+D18</f>
        <v>150300</v>
      </c>
      <c r="E36" s="153" t="n">
        <f aca="false">+E30+E18</f>
        <v>149446.8125</v>
      </c>
      <c r="F36" s="153" t="n">
        <f aca="false">+F30+F18</f>
        <v>148342.6875</v>
      </c>
      <c r="G36" s="153" t="n">
        <f aca="false">+G30+G18</f>
        <v>146837.0625</v>
      </c>
      <c r="H36" s="153" t="n">
        <f aca="false">+H30+H18</f>
        <v>144929.9375</v>
      </c>
      <c r="I36" s="153" t="n">
        <f aca="false">+I30+I18</f>
        <v>142721.6875</v>
      </c>
      <c r="J36" s="153" t="n">
        <f aca="false">+J30+J18</f>
        <v>140413.0625</v>
      </c>
      <c r="K36" s="153" t="n">
        <f aca="false">+K30+K18</f>
        <v>137702.9375</v>
      </c>
      <c r="L36" s="153" t="n">
        <f aca="false">+L30+L18</f>
        <v>134591.3125</v>
      </c>
      <c r="M36" s="153" t="n">
        <f aca="false">+M30+M18</f>
        <v>131078.1875</v>
      </c>
      <c r="N36" s="153" t="n">
        <f aca="false">+N30+N18</f>
        <v>126067.4675</v>
      </c>
      <c r="O36" s="153" t="n">
        <f aca="false">+O30+O18</f>
        <v>117101.9725</v>
      </c>
      <c r="P36" s="153" t="n">
        <f aca="false">+P30+P18</f>
        <v>107213.0275</v>
      </c>
      <c r="Q36" s="153" t="n">
        <f aca="false">+Q30+Q18</f>
        <v>97496.7275</v>
      </c>
      <c r="R36" s="153" t="n">
        <f aca="false">+R30+R18</f>
        <v>86310.9375</v>
      </c>
      <c r="S36" s="153" t="n">
        <f aca="false">+S30+S18</f>
        <v>73472.975</v>
      </c>
      <c r="T36" s="153" t="n">
        <f aca="false">+T30+T18</f>
        <v>55350.12</v>
      </c>
      <c r="U36" s="153" t="n">
        <f aca="false">+U30+U18</f>
        <v>42450.1</v>
      </c>
      <c r="V36" s="153" t="n">
        <f aca="false">+V30+V18</f>
        <v>28275.03</v>
      </c>
      <c r="W36" s="153" t="n">
        <f aca="false">+W30+W18</f>
        <v>12600</v>
      </c>
      <c r="X36" s="153" t="n">
        <f aca="false">+X30+X18</f>
        <v>0</v>
      </c>
      <c r="Y36" s="153" t="n">
        <f aca="false">+Y30+Y18</f>
        <v>0</v>
      </c>
      <c r="Z36" s="153" t="n">
        <f aca="false">+Z30+Z18</f>
        <v>0</v>
      </c>
    </row>
    <row r="37" customFormat="false" ht="12.75" hidden="false" customHeight="false" outlineLevel="0" collapsed="false">
      <c r="A37" s="152" t="s">
        <v>88</v>
      </c>
      <c r="B37" s="104"/>
      <c r="C37" s="158" t="n">
        <v>92</v>
      </c>
      <c r="D37" s="153" t="n">
        <f aca="false">+D31+D19</f>
        <v>150300</v>
      </c>
      <c r="E37" s="153" t="n">
        <f aca="false">+E31+E19</f>
        <v>149195.875</v>
      </c>
      <c r="F37" s="153" t="n">
        <f aca="false">+F31+F19</f>
        <v>147991.375</v>
      </c>
      <c r="G37" s="153" t="n">
        <f aca="false">+G31+G19</f>
        <v>146385.375</v>
      </c>
      <c r="H37" s="153" t="n">
        <f aca="false">+H31+H19</f>
        <v>144377.875</v>
      </c>
      <c r="I37" s="153" t="n">
        <f aca="false">+I31+I19</f>
        <v>142169.625</v>
      </c>
      <c r="J37" s="153" t="n">
        <f aca="false">+J31+J19</f>
        <v>139760.625</v>
      </c>
      <c r="K37" s="153" t="n">
        <f aca="false">+K31+K19</f>
        <v>136950.125</v>
      </c>
      <c r="L37" s="153" t="n">
        <f aca="false">+L31+L19</f>
        <v>133738.125</v>
      </c>
      <c r="M37" s="153" t="n">
        <f aca="false">+M31+M19</f>
        <v>130124.625</v>
      </c>
      <c r="N37" s="153" t="n">
        <f aca="false">+N31+N19</f>
        <v>123917.435</v>
      </c>
      <c r="O37" s="153" t="n">
        <f aca="false">+O31+O19</f>
        <v>114586.575</v>
      </c>
      <c r="P37" s="153" t="n">
        <f aca="false">+P31+P19</f>
        <v>104870.275</v>
      </c>
      <c r="Q37" s="153" t="n">
        <f aca="false">+Q31+Q19</f>
        <v>94808.685</v>
      </c>
      <c r="R37" s="153" t="n">
        <f aca="false">+R31+R19</f>
        <v>83189.275</v>
      </c>
      <c r="S37" s="153" t="n">
        <f aca="false">+S31+S19</f>
        <v>70000</v>
      </c>
      <c r="T37" s="153" t="n">
        <f aca="false">+T31+T19</f>
        <v>52200.12</v>
      </c>
      <c r="U37" s="153" t="n">
        <f aca="false">+U31+U19</f>
        <v>39000.08</v>
      </c>
      <c r="V37" s="153" t="n">
        <f aca="false">+V31+V19</f>
        <v>24450.02</v>
      </c>
      <c r="W37" s="153" t="n">
        <f aca="false">+W31+W19</f>
        <v>8399.99999999999</v>
      </c>
      <c r="X37" s="153" t="n">
        <f aca="false">+X31+X19</f>
        <v>0</v>
      </c>
      <c r="Y37" s="153" t="n">
        <f aca="false">+Y31+Y19</f>
        <v>0</v>
      </c>
      <c r="Z37" s="153" t="n">
        <f aca="false">+Z31+Z19</f>
        <v>0</v>
      </c>
    </row>
    <row r="38" customFormat="false" ht="12.75" hidden="false" customHeight="false" outlineLevel="0" collapsed="false">
      <c r="A38" s="152" t="s">
        <v>89</v>
      </c>
      <c r="B38" s="104"/>
      <c r="C38" s="159" t="n">
        <v>92</v>
      </c>
      <c r="D38" s="153" t="n">
        <f aca="false">+D32+D20</f>
        <v>149998.875</v>
      </c>
      <c r="E38" s="153" t="n">
        <f aca="false">+E32+E20</f>
        <v>148944.9375</v>
      </c>
      <c r="F38" s="153" t="n">
        <f aca="false">+F32+F20</f>
        <v>147640.0625</v>
      </c>
      <c r="G38" s="153" t="n">
        <f aca="false">+G32+G20</f>
        <v>145933.6875</v>
      </c>
      <c r="H38" s="153" t="n">
        <f aca="false">+H32+H20</f>
        <v>143825.8125</v>
      </c>
      <c r="I38" s="153" t="n">
        <f aca="false">+I32+I20</f>
        <v>141617.5625</v>
      </c>
      <c r="J38" s="153" t="n">
        <f aca="false">+J32+J20</f>
        <v>139108.1875</v>
      </c>
      <c r="K38" s="153" t="n">
        <f aca="false">+K32+K20</f>
        <v>136197.3125</v>
      </c>
      <c r="L38" s="153" t="n">
        <f aca="false">+L32+L20</f>
        <v>132884.9375</v>
      </c>
      <c r="M38" s="153" t="n">
        <f aca="false">+M32+M20</f>
        <v>129171.0625</v>
      </c>
      <c r="N38" s="153" t="n">
        <f aca="false">+N32+N20</f>
        <v>121767.4025</v>
      </c>
      <c r="O38" s="153" t="n">
        <f aca="false">+O32+O20</f>
        <v>112071.1775</v>
      </c>
      <c r="P38" s="153" t="n">
        <f aca="false">+P32+P20</f>
        <v>102527.5225</v>
      </c>
      <c r="Q38" s="153" t="n">
        <f aca="false">+Q32+Q20</f>
        <v>92120.6425</v>
      </c>
      <c r="R38" s="153" t="n">
        <f aca="false">+R32+R20</f>
        <v>80067.6125</v>
      </c>
      <c r="S38" s="153" t="n">
        <f aca="false">+S32+S20</f>
        <v>64250.06</v>
      </c>
      <c r="T38" s="153" t="n">
        <f aca="false">+T32+T20</f>
        <v>49050.12</v>
      </c>
      <c r="U38" s="153" t="n">
        <f aca="false">+U32+U20</f>
        <v>35550.06</v>
      </c>
      <c r="V38" s="153" t="n">
        <f aca="false">+V32+V20</f>
        <v>20625.01</v>
      </c>
      <c r="W38" s="153" t="n">
        <f aca="false">+W32+W20</f>
        <v>4199.99999999999</v>
      </c>
      <c r="X38" s="153" t="n">
        <f aca="false">+X32+X20</f>
        <v>0</v>
      </c>
      <c r="Y38" s="153" t="n">
        <f aca="false">+Y32+Y20</f>
        <v>0</v>
      </c>
      <c r="Z38" s="153" t="n">
        <f aca="false">+Z32+Z20</f>
        <v>0</v>
      </c>
    </row>
    <row r="39" customFormat="false" ht="12.75" hidden="false" customHeight="false" outlineLevel="0" collapsed="false">
      <c r="A39" s="152"/>
      <c r="B39" s="104"/>
      <c r="C39" s="158" t="n">
        <f aca="false">SUM(C35:C38)</f>
        <v>365</v>
      </c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</row>
    <row r="40" customFormat="false" ht="12.75" hidden="false" customHeight="false" outlineLevel="0" collapsed="false">
      <c r="A40" s="152"/>
      <c r="B40" s="104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</row>
    <row r="41" customFormat="false" ht="12.75" hidden="false" customHeight="false" outlineLevel="0" collapsed="false">
      <c r="A41" s="160" t="s">
        <v>93</v>
      </c>
      <c r="B41" s="101"/>
      <c r="D41" s="153" t="n">
        <f aca="false">+SUMPRODUCT($C$35:$C$38,D35:D38)/$C$39</f>
        <v>150224.1</v>
      </c>
      <c r="E41" s="153" t="n">
        <f aca="false">+SUMPRODUCT($C$35:$C$38,E35:E38)/$C$39</f>
        <v>149318.9375</v>
      </c>
      <c r="F41" s="153" t="n">
        <f aca="false">+SUMPRODUCT($C$35:$C$38,F35:F38)/$C$39</f>
        <v>148163.6625</v>
      </c>
      <c r="G41" s="153" t="n">
        <f aca="false">+SUMPRODUCT($C$35:$C$38,G35:G38)/$C$39</f>
        <v>146606.8875</v>
      </c>
      <c r="H41" s="153" t="n">
        <f aca="false">+SUMPRODUCT($C$35:$C$38,H35:H38)/$C$39</f>
        <v>144648.6125</v>
      </c>
      <c r="I41" s="153" t="n">
        <f aca="false">+SUMPRODUCT($C$35:$C$38,I35:I38)/$C$39</f>
        <v>142440.3625</v>
      </c>
      <c r="J41" s="153" t="n">
        <f aca="false">+SUMPRODUCT($C$35:$C$38,J35:J38)/$C$39</f>
        <v>140080.5875</v>
      </c>
      <c r="K41" s="153" t="n">
        <f aca="false">+SUMPRODUCT($C$35:$C$38,K35:K38)/$C$39</f>
        <v>137319.3125</v>
      </c>
      <c r="L41" s="153" t="n">
        <f aca="false">+SUMPRODUCT($C$35:$C$38,L35:L38)/$C$39</f>
        <v>134156.5375</v>
      </c>
      <c r="M41" s="153" t="n">
        <f aca="false">+SUMPRODUCT($C$35:$C$38,M35:M38)/$C$39</f>
        <v>130592.2625</v>
      </c>
      <c r="N41" s="153" t="n">
        <f aca="false">+SUMPRODUCT($C$35:$C$38,N35:N38)/$C$39</f>
        <v>124971.8345</v>
      </c>
      <c r="O41" s="153" t="n">
        <f aca="false">+SUMPRODUCT($C$35:$C$38,O35:O38)/$C$39</f>
        <v>115820.1535</v>
      </c>
      <c r="P41" s="153" t="n">
        <f aca="false">+SUMPRODUCT($C$35:$C$38,P35:P38)/$C$39</f>
        <v>106019.1865</v>
      </c>
      <c r="Q41" s="153" t="n">
        <f aca="false">+SUMPRODUCT($C$35:$C$38,Q35:Q38)/$C$39</f>
        <v>96126.9305</v>
      </c>
      <c r="R41" s="153" t="n">
        <f aca="false">+SUMPRODUCT($C$35:$C$38,R35:R38)/$C$39</f>
        <v>84720.1725</v>
      </c>
      <c r="S41" s="153" t="n">
        <f aca="false">+SUMPRODUCT($C$35:$C$38,S35:S38)/$C$39</f>
        <v>71129.2650547945</v>
      </c>
      <c r="T41" s="153" t="n">
        <f aca="false">+SUMPRODUCT($C$35:$C$38,T35:T38)/$C$39</f>
        <v>53744.9145205479</v>
      </c>
      <c r="U41" s="153" t="n">
        <f aca="false">+SUMPRODUCT($C$35:$C$38,U35:U38)/$C$39</f>
        <v>40692.0076164384</v>
      </c>
      <c r="V41" s="153" t="n">
        <f aca="false">+SUMPRODUCT($C$35:$C$38,V35:V38)/$C$39</f>
        <v>26325.8468219178</v>
      </c>
      <c r="W41" s="153" t="n">
        <f aca="false">+SUMPRODUCT($C$35:$C$38,W35:W38)/$C$39</f>
        <v>10459.7260273973</v>
      </c>
      <c r="X41" s="153" t="n">
        <f aca="false">+SUMPRODUCT($C$35:$C$38,X35:X38)/$C$39</f>
        <v>0</v>
      </c>
      <c r="Y41" s="153" t="n">
        <f aca="false">+SUMPRODUCT($C$35:$C$38,Y35:Y38)/$C$39</f>
        <v>0</v>
      </c>
      <c r="Z41" s="153" t="n">
        <f aca="false">+SUMPRODUCT($C$35:$C$38,Z35:Z38)/$C$39</f>
        <v>0</v>
      </c>
    </row>
    <row r="42" customFormat="false" ht="12.75" hidden="false" customHeight="false" outlineLevel="0" collapsed="false">
      <c r="A42" s="152"/>
      <c r="B42" s="104"/>
    </row>
    <row r="43" customFormat="false" ht="12.75" hidden="false" customHeight="false" outlineLevel="0" collapsed="false">
      <c r="A43" s="145" t="s">
        <v>64</v>
      </c>
      <c r="B43" s="146"/>
      <c r="C43" s="147"/>
    </row>
    <row r="44" customFormat="false" ht="12.75" hidden="false" customHeight="false" outlineLevel="0" collapsed="false">
      <c r="A44" s="160" t="s">
        <v>94</v>
      </c>
      <c r="B44" s="101"/>
      <c r="C44" s="98" t="s">
        <v>63</v>
      </c>
      <c r="D44" s="103" t="n">
        <f aca="false">+D41/$C$54*$C$55*($C$52-$C$53)</f>
        <v>0.810143910646388</v>
      </c>
      <c r="E44" s="103" t="n">
        <f aca="false">+E41/$C$54*$C$55*($C$52-$C$53)</f>
        <v>0.805262457620406</v>
      </c>
      <c r="F44" s="103" t="n">
        <f aca="false">+F41/$C$54*$C$55*($C$52-$C$53)</f>
        <v>0.799032172290875</v>
      </c>
      <c r="G44" s="103" t="n">
        <f aca="false">+G41/$C$54*$C$55*($C$52-$C$53)</f>
        <v>0.790636636644487</v>
      </c>
      <c r="H44" s="103" t="n">
        <f aca="false">+H41/$C$54*$C$55*($C$52-$C$53)</f>
        <v>0.780075850681242</v>
      </c>
      <c r="I44" s="103" t="n">
        <f aca="false">+I41/$C$54*$C$55*($C$52-$C$53)</f>
        <v>0.76816697393853</v>
      </c>
      <c r="J44" s="103" t="n">
        <f aca="false">+J41/$C$54*$C$55*($C$52-$C$53)</f>
        <v>0.755440937658429</v>
      </c>
      <c r="K44" s="103" t="n">
        <f aca="false">+K41/$C$54*$C$55*($C$52-$C$53)</f>
        <v>0.740549651061471</v>
      </c>
      <c r="L44" s="103" t="n">
        <f aca="false">+L41/$C$54*$C$55*($C$52-$C$53)</f>
        <v>0.723493114147656</v>
      </c>
      <c r="M44" s="103" t="n">
        <f aca="false">+M41/$C$54*$C$55*($C$52-$C$53)</f>
        <v>0.704271326916984</v>
      </c>
      <c r="N44" s="103" t="n">
        <f aca="false">+N41/$C$54*$C$55*($C$52-$C$53)</f>
        <v>0.673960907221166</v>
      </c>
      <c r="O44" s="103" t="n">
        <f aca="false">+O41/$C$54*$C$55*($C$52-$C$53)</f>
        <v>0.624606784717998</v>
      </c>
      <c r="P44" s="103" t="n">
        <f aca="false">+P41/$C$54*$C$55*($C$52-$C$53)</f>
        <v>0.571751126181876</v>
      </c>
      <c r="Q44" s="103" t="n">
        <f aca="false">+Q41/$C$54*$C$55*($C$52-$C$53)</f>
        <v>0.51840315497782</v>
      </c>
      <c r="R44" s="103" t="n">
        <f aca="false">+R41/$C$54*$C$55*($C$52-$C$53)</f>
        <v>0.456887622290875</v>
      </c>
      <c r="S44" s="103" t="n">
        <f aca="false">+S41/$C$54*$C$55*($C$52-$C$53)</f>
        <v>0.383593184801205</v>
      </c>
      <c r="T44" s="103" t="n">
        <f aca="false">+T41/$C$54*$C$55*($C$52-$C$53)</f>
        <v>0.289841078941612</v>
      </c>
      <c r="U44" s="103" t="n">
        <f aca="false">+U41/$C$54*$C$55*($C$52-$C$53)</f>
        <v>0.219448025865583</v>
      </c>
      <c r="V44" s="103" t="n">
        <f aca="false">+V41/$C$54*$C$55*($C$52-$C$53)</f>
        <v>0.141972722721496</v>
      </c>
      <c r="W44" s="103" t="n">
        <f aca="false">+W41/$C$54*$C$55*($C$52-$C$53)</f>
        <v>0.0564082816813375</v>
      </c>
      <c r="X44" s="103" t="n">
        <f aca="false">+X41/$C$54*$C$55*($C$52-$C$53)</f>
        <v>0</v>
      </c>
      <c r="Y44" s="103" t="n">
        <f aca="false">+Y41/$C$54*$C$55*($C$52-$C$53)</f>
        <v>0</v>
      </c>
      <c r="Z44" s="103" t="n">
        <f aca="false">+Z41/$C$54*$C$55*($C$52-$C$53)</f>
        <v>0</v>
      </c>
    </row>
    <row r="45" customFormat="false" ht="12.75" hidden="false" customHeight="false" outlineLevel="0" collapsed="false">
      <c r="A45" s="160" t="s">
        <v>105</v>
      </c>
      <c r="B45" s="101"/>
      <c r="C45" s="98" t="s">
        <v>63</v>
      </c>
      <c r="D45" s="105" t="n">
        <v>1.2</v>
      </c>
      <c r="E45" s="105" t="n">
        <v>1.19</v>
      </c>
      <c r="F45" s="105" t="n">
        <v>1.18</v>
      </c>
      <c r="G45" s="105" t="n">
        <v>1.17</v>
      </c>
      <c r="H45" s="105" t="n">
        <v>1.15</v>
      </c>
      <c r="I45" s="105" t="n">
        <v>1.13</v>
      </c>
      <c r="J45" s="105" t="n">
        <v>1.11</v>
      </c>
      <c r="K45" s="105" t="n">
        <v>1.09</v>
      </c>
      <c r="L45" s="105" t="n">
        <v>1.06</v>
      </c>
      <c r="M45" s="105" t="n">
        <v>1.03</v>
      </c>
      <c r="N45" s="105" t="n">
        <v>0.98</v>
      </c>
      <c r="O45" s="105" t="n">
        <v>0.9</v>
      </c>
      <c r="P45" s="105" t="n">
        <v>0.82</v>
      </c>
      <c r="Q45" s="105" t="n">
        <v>0.74</v>
      </c>
      <c r="R45" s="105" t="n">
        <v>0.64</v>
      </c>
      <c r="S45" s="105" t="n">
        <v>0.53</v>
      </c>
      <c r="T45" s="105" t="n">
        <v>0.4</v>
      </c>
      <c r="U45" s="105" t="n">
        <v>0.3</v>
      </c>
      <c r="V45" s="105" t="n">
        <v>0.19</v>
      </c>
      <c r="W45" s="105" t="n">
        <v>0.08</v>
      </c>
      <c r="X45" s="105" t="n">
        <v>0</v>
      </c>
      <c r="Y45" s="105" t="n">
        <v>0</v>
      </c>
      <c r="Z45" s="105" t="n">
        <v>0</v>
      </c>
    </row>
    <row r="46" customFormat="false" ht="12.75" hidden="false" customHeight="false" outlineLevel="0" collapsed="false">
      <c r="A46" s="160" t="s">
        <v>96</v>
      </c>
      <c r="B46" s="101"/>
      <c r="C46" s="98"/>
      <c r="D46" s="103" t="n">
        <f aca="false">+D44-D45</f>
        <v>-0.389856089353612</v>
      </c>
      <c r="E46" s="103" t="n">
        <f aca="false">+E44-E45</f>
        <v>-0.384737542379594</v>
      </c>
      <c r="F46" s="103" t="n">
        <f aca="false">+F44-F45</f>
        <v>-0.380967827709125</v>
      </c>
      <c r="G46" s="103" t="n">
        <f aca="false">+G44-G45</f>
        <v>-0.379363363355513</v>
      </c>
      <c r="H46" s="103" t="n">
        <f aca="false">+H44-H45</f>
        <v>-0.369924149318758</v>
      </c>
      <c r="I46" s="103" t="n">
        <f aca="false">+I44-I45</f>
        <v>-0.36183302606147</v>
      </c>
      <c r="J46" s="103" t="n">
        <f aca="false">+J44-J45</f>
        <v>-0.354559062341571</v>
      </c>
      <c r="K46" s="103" t="n">
        <f aca="false">+K44-K45</f>
        <v>-0.34945034893853</v>
      </c>
      <c r="L46" s="103" t="n">
        <f aca="false">+L44-L45</f>
        <v>-0.336506885852344</v>
      </c>
      <c r="M46" s="103" t="n">
        <f aca="false">+M44-M45</f>
        <v>-0.325728673083016</v>
      </c>
      <c r="N46" s="103" t="n">
        <f aca="false">+N44-N45</f>
        <v>-0.306039092778834</v>
      </c>
      <c r="O46" s="103" t="n">
        <f aca="false">+O44-O45</f>
        <v>-0.275393215282002</v>
      </c>
      <c r="P46" s="103" t="n">
        <f aca="false">+P44-P45</f>
        <v>-0.248248873818124</v>
      </c>
      <c r="Q46" s="103" t="n">
        <f aca="false">+Q44-Q45</f>
        <v>-0.22159684502218</v>
      </c>
      <c r="R46" s="103" t="n">
        <f aca="false">+R44-R45</f>
        <v>-0.183112377709125</v>
      </c>
      <c r="S46" s="103" t="n">
        <f aca="false">+S44-S45</f>
        <v>-0.146406815198795</v>
      </c>
      <c r="T46" s="103" t="n">
        <f aca="false">+T44-T45</f>
        <v>-0.110158921058388</v>
      </c>
      <c r="U46" s="103" t="n">
        <f aca="false">+U44-U45</f>
        <v>-0.0805519741344166</v>
      </c>
      <c r="V46" s="103" t="n">
        <f aca="false">+V44-V45</f>
        <v>-0.0480272772785041</v>
      </c>
      <c r="W46" s="103" t="n">
        <f aca="false">+W44-W45</f>
        <v>-0.0235917183186625</v>
      </c>
      <c r="X46" s="103" t="n">
        <f aca="false">+X44-X45</f>
        <v>0</v>
      </c>
      <c r="Y46" s="103" t="n">
        <f aca="false">+Y44-Y45</f>
        <v>0</v>
      </c>
      <c r="Z46" s="103" t="n">
        <f aca="false">+Z44-Z45</f>
        <v>0</v>
      </c>
    </row>
    <row r="47" customFormat="false" ht="12.75" hidden="false" customHeight="false" outlineLevel="0" collapsed="false">
      <c r="A47" s="104"/>
      <c r="B47" s="104"/>
    </row>
    <row r="48" customFormat="false" ht="13.5" hidden="false" customHeight="false" outlineLevel="0" collapsed="false">
      <c r="A48" s="104"/>
      <c r="B48" s="104"/>
    </row>
    <row r="49" customFormat="false" ht="13.5" hidden="false" customHeight="false" outlineLevel="0" collapsed="false">
      <c r="A49" s="161" t="s">
        <v>97</v>
      </c>
      <c r="B49" s="161"/>
      <c r="C49" s="161"/>
      <c r="D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customFormat="false" ht="12.75" hidden="false" customHeight="false" outlineLevel="0" collapsed="false">
      <c r="A50" s="162" t="s">
        <v>98</v>
      </c>
      <c r="B50" s="173"/>
      <c r="C50" s="164" t="n">
        <v>80300</v>
      </c>
      <c r="D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customFormat="false" ht="12.75" hidden="false" customHeight="false" outlineLevel="0" collapsed="false">
      <c r="A51" s="165" t="s">
        <v>99</v>
      </c>
      <c r="B51" s="6"/>
      <c r="C51" s="166" t="n">
        <v>70000</v>
      </c>
      <c r="D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customFormat="false" ht="12.75" hidden="false" customHeight="false" outlineLevel="0" collapsed="false">
      <c r="A52" s="165" t="s">
        <v>100</v>
      </c>
      <c r="B52" s="6"/>
      <c r="C52" s="167" t="n">
        <v>0.07802</v>
      </c>
      <c r="D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customFormat="false" ht="12.75" hidden="false" customHeight="false" outlineLevel="0" collapsed="false">
      <c r="A53" s="165" t="s">
        <v>101</v>
      </c>
      <c r="B53" s="6"/>
      <c r="C53" s="167" t="n">
        <v>0.061</v>
      </c>
      <c r="D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customFormat="false" ht="12.75" hidden="false" customHeight="false" outlineLevel="0" collapsed="false">
      <c r="A54" s="165" t="s">
        <v>102</v>
      </c>
      <c r="B54" s="174" t="n">
        <f aca="false">'Damage Calculations'!F8/1000</f>
        <v>263</v>
      </c>
      <c r="C54" s="169" t="n">
        <f aca="false">+B54*12</f>
        <v>3156</v>
      </c>
      <c r="D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customFormat="false" ht="13.5" hidden="false" customHeight="false" outlineLevel="0" collapsed="false">
      <c r="A55" s="170" t="s">
        <v>103</v>
      </c>
      <c r="B55" s="175"/>
      <c r="C55" s="172" t="n">
        <v>1</v>
      </c>
      <c r="D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customFormat="false" ht="12.75" hidden="false" customHeight="false" outlineLevel="0" collapsed="false">
      <c r="A56" s="104"/>
      <c r="B56" s="104"/>
    </row>
  </sheetData>
  <mergeCells count="5">
    <mergeCell ref="A1:Z1"/>
    <mergeCell ref="A2:Z2"/>
    <mergeCell ref="A3:Z3"/>
    <mergeCell ref="A5:Z5"/>
    <mergeCell ref="A49:C49"/>
  </mergeCells>
  <printOptions headings="false" gridLines="false" gridLinesSet="true" horizontalCentered="tru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K4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76" width="2.84"/>
    <col collapsed="false" customWidth="true" hidden="false" outlineLevel="0" max="2" min="2" style="176" width="5.71"/>
    <col collapsed="false" customWidth="true" hidden="false" outlineLevel="0" max="3" min="3" style="176" width="8.99"/>
    <col collapsed="false" customWidth="true" hidden="false" outlineLevel="0" max="4" min="4" style="176" width="36.99"/>
    <col collapsed="false" customWidth="true" hidden="false" outlineLevel="0" max="5" min="5" style="176" width="10.71"/>
    <col collapsed="false" customWidth="true" hidden="false" outlineLevel="0" max="6" min="6" style="176" width="20.41"/>
    <col collapsed="false" customWidth="true" hidden="false" outlineLevel="0" max="7" min="7" style="176" width="9.41"/>
    <col collapsed="false" customWidth="true" hidden="false" outlineLevel="0" max="8" min="8" style="176" width="20.41"/>
    <col collapsed="false" customWidth="true" hidden="false" outlineLevel="0" max="9" min="9" style="176" width="9.41"/>
    <col collapsed="false" customWidth="true" hidden="false" outlineLevel="0" max="10" min="10" style="176" width="20.28"/>
    <col collapsed="false" customWidth="true" hidden="false" outlineLevel="0" max="11" min="11" style="176" width="4.99"/>
    <col collapsed="false" customWidth="false" hidden="false" outlineLevel="0" max="257" min="12" style="176" width="9.14"/>
  </cols>
  <sheetData>
    <row r="1" customFormat="false" ht="22.5" hidden="false" customHeight="false" outlineLevel="0" collapsed="false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customFormat="false" ht="15" hidden="false" customHeight="false" outlineLevel="0" collapsed="false">
      <c r="A2" s="3" t="s">
        <v>106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Format="false" ht="15" hidden="false" customHeight="false" outlineLevel="0" collapsed="false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customFormat="false" ht="15.75" hidden="false" customHeight="false" outlineLevel="0" collapsed="false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customFormat="false" ht="15" hidden="false" customHeight="fals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customFormat="false" ht="18" hidden="false" customHeight="false" outlineLevel="0" collapsed="false">
      <c r="A6" s="177"/>
      <c r="B6" s="177"/>
      <c r="C6" s="177"/>
      <c r="D6" s="177"/>
      <c r="E6" s="177"/>
      <c r="F6" s="177"/>
      <c r="G6" s="177"/>
      <c r="H6" s="177"/>
      <c r="J6" s="177"/>
    </row>
    <row r="7" customFormat="false" ht="15" hidden="false" customHeight="false" outlineLevel="0" collapsed="false">
      <c r="A7" s="178" t="s">
        <v>107</v>
      </c>
      <c r="B7" s="178"/>
      <c r="C7" s="178"/>
      <c r="D7" s="178"/>
      <c r="E7" s="178"/>
      <c r="F7" s="178"/>
      <c r="G7" s="178"/>
      <c r="H7" s="178"/>
      <c r="I7" s="178"/>
      <c r="J7" s="178"/>
      <c r="K7" s="178"/>
    </row>
    <row r="8" customFormat="false" ht="15" hidden="false" customHeight="false" outlineLevel="0" collapsed="false">
      <c r="A8" s="179"/>
    </row>
    <row r="9" customFormat="false" ht="16.5" hidden="false" customHeight="false" outlineLevel="0" collapsed="false">
      <c r="A9" s="179"/>
      <c r="B9" s="180" t="s">
        <v>108</v>
      </c>
    </row>
    <row r="10" customFormat="false" ht="16.5" hidden="false" customHeight="false" outlineLevel="0" collapsed="false">
      <c r="B10" s="180"/>
      <c r="C10" s="176" t="str">
        <f aca="false">+[5]Valuation!B90</f>
        <v>DSCR Reserve</v>
      </c>
      <c r="F10" s="181" t="n">
        <v>7723.85548426643</v>
      </c>
      <c r="H10" s="176" t="s">
        <v>40</v>
      </c>
      <c r="J10" s="182" t="n">
        <v>0.0625</v>
      </c>
    </row>
    <row r="11" customFormat="false" ht="15.75" hidden="false" customHeight="false" outlineLevel="0" collapsed="false">
      <c r="B11" s="180"/>
      <c r="C11" s="176" t="str">
        <f aca="false">+[5]Valuation!B91</f>
        <v>Overhaul Reserve</v>
      </c>
      <c r="F11" s="183" t="n">
        <v>4110</v>
      </c>
      <c r="H11" s="176" t="s">
        <v>109</v>
      </c>
      <c r="J11" s="184" t="n">
        <f aca="false">1/(1+$J$10)^1</f>
        <v>0.941176470588235</v>
      </c>
    </row>
    <row r="12" customFormat="false" ht="15.75" hidden="false" customHeight="false" outlineLevel="0" collapsed="false">
      <c r="B12" s="180"/>
      <c r="C12" s="176" t="s">
        <v>110</v>
      </c>
      <c r="F12" s="185" t="n">
        <f aca="false">SUM(F10:F11)</f>
        <v>11833.8554842664</v>
      </c>
      <c r="H12" s="176" t="s">
        <v>111</v>
      </c>
      <c r="J12" s="184" t="n">
        <f aca="false">1/(1+$J$10)^0.5</f>
        <v>0.970142500145332</v>
      </c>
    </row>
    <row r="13" customFormat="false" ht="17.25" hidden="false" customHeight="false" outlineLevel="0" collapsed="false">
      <c r="B13" s="180"/>
      <c r="C13" s="176" t="str">
        <f aca="false">+[5]Valuation!B92</f>
        <v>COBANK Stock - Book Value</v>
      </c>
      <c r="F13" s="183" t="n">
        <v>1544</v>
      </c>
      <c r="H13" s="186"/>
      <c r="J13" s="186"/>
    </row>
    <row r="14" customFormat="false" ht="18" hidden="false" customHeight="false" outlineLevel="0" collapsed="false">
      <c r="B14" s="180"/>
      <c r="C14" s="176" t="s">
        <v>112</v>
      </c>
      <c r="F14" s="187" t="n">
        <f aca="false">SUM(F12:F13)</f>
        <v>13377.8554842664</v>
      </c>
      <c r="H14" s="186"/>
      <c r="J14" s="186"/>
    </row>
    <row r="15" customFormat="false" ht="16.5" hidden="false" customHeight="false" outlineLevel="0" collapsed="false">
      <c r="B15" s="180"/>
      <c r="F15" s="188"/>
      <c r="H15" s="188"/>
      <c r="J15" s="189"/>
    </row>
    <row r="16" customFormat="false" ht="15" hidden="false" customHeight="false" outlineLevel="0" collapsed="false">
      <c r="A16" s="178" t="s">
        <v>113</v>
      </c>
      <c r="B16" s="178"/>
      <c r="C16" s="178"/>
      <c r="D16" s="178"/>
      <c r="E16" s="178"/>
      <c r="F16" s="178"/>
      <c r="G16" s="178"/>
      <c r="H16" s="178"/>
      <c r="I16" s="178"/>
      <c r="J16" s="178"/>
      <c r="K16" s="178"/>
    </row>
    <row r="17" customFormat="false" ht="15.75" hidden="false" customHeight="false" outlineLevel="0" collapsed="false">
      <c r="B17" s="180"/>
      <c r="F17" s="188"/>
      <c r="H17" s="188"/>
      <c r="J17" s="189"/>
    </row>
    <row r="18" customFormat="false" ht="15.75" hidden="false" customHeight="false" outlineLevel="0" collapsed="false">
      <c r="B18" s="180"/>
      <c r="F18" s="189" t="s">
        <v>114</v>
      </c>
      <c r="H18" s="189" t="s">
        <v>115</v>
      </c>
      <c r="J18" s="189" t="s">
        <v>116</v>
      </c>
    </row>
    <row r="19" customFormat="false" ht="15.75" hidden="false" customHeight="false" outlineLevel="0" collapsed="false">
      <c r="B19" s="180" t="str">
        <f aca="false">"NPV "&amp;J10*100&amp;"%"</f>
        <v>NPV 6.25%</v>
      </c>
      <c r="F19" s="190" t="n">
        <v>36739</v>
      </c>
      <c r="H19" s="191" t="n">
        <v>36658</v>
      </c>
      <c r="J19" s="191" t="n">
        <v>36677</v>
      </c>
    </row>
    <row r="20" customFormat="false" ht="15.75" hidden="false" customHeight="false" outlineLevel="0" collapsed="false">
      <c r="F20" s="192"/>
      <c r="H20" s="192"/>
      <c r="J20" s="192"/>
    </row>
    <row r="21" customFormat="false" ht="12.75" hidden="false" customHeight="false" outlineLevel="0" collapsed="false">
      <c r="C21" s="193" t="s">
        <v>117</v>
      </c>
      <c r="F21" s="194" t="n">
        <v>36892</v>
      </c>
      <c r="H21" s="194" t="n">
        <v>37257</v>
      </c>
      <c r="J21" s="194" t="n">
        <v>36892</v>
      </c>
    </row>
    <row r="22" customFormat="false" ht="13.5" hidden="false" customHeight="false" outlineLevel="0" collapsed="false"/>
    <row r="23" customFormat="false" ht="13.5" hidden="false" customHeight="false" outlineLevel="0" collapsed="false">
      <c r="A23" s="112"/>
      <c r="B23" s="193"/>
      <c r="C23" s="112" t="s">
        <v>118</v>
      </c>
      <c r="D23" s="193"/>
      <c r="E23" s="193"/>
      <c r="F23" s="195" t="n">
        <v>259618</v>
      </c>
      <c r="G23" s="196"/>
      <c r="H23" s="195" t="n">
        <v>164705.882352941</v>
      </c>
      <c r="I23" s="196"/>
      <c r="J23" s="195" t="n">
        <v>189000</v>
      </c>
      <c r="K23" s="193"/>
      <c r="L23" s="193"/>
      <c r="M23" s="193"/>
      <c r="N23" s="193"/>
      <c r="O23" s="193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3"/>
      <c r="BF23" s="193"/>
      <c r="BG23" s="193"/>
      <c r="BH23" s="193"/>
      <c r="BI23" s="193"/>
      <c r="BJ23" s="193"/>
      <c r="BK23" s="193"/>
      <c r="BL23" s="193"/>
      <c r="BM23" s="193"/>
      <c r="BN23" s="193"/>
      <c r="BO23" s="193"/>
      <c r="BP23" s="193"/>
      <c r="BQ23" s="193"/>
      <c r="BR23" s="193"/>
      <c r="BS23" s="193"/>
      <c r="BT23" s="193"/>
      <c r="BU23" s="193"/>
      <c r="BV23" s="193"/>
      <c r="BW23" s="193"/>
      <c r="BX23" s="193"/>
      <c r="BY23" s="193"/>
      <c r="BZ23" s="193"/>
      <c r="CA23" s="193"/>
      <c r="CB23" s="193"/>
      <c r="CC23" s="193"/>
      <c r="CD23" s="193"/>
      <c r="CE23" s="193"/>
      <c r="CF23" s="193"/>
      <c r="CG23" s="193"/>
      <c r="CH23" s="193"/>
      <c r="CI23" s="193"/>
      <c r="CJ23" s="193"/>
      <c r="CK23" s="193"/>
      <c r="CL23" s="193"/>
      <c r="CM23" s="193"/>
      <c r="CN23" s="193"/>
      <c r="CO23" s="193"/>
      <c r="CP23" s="193"/>
      <c r="CQ23" s="193"/>
      <c r="CR23" s="193"/>
      <c r="CS23" s="193"/>
      <c r="CT23" s="193"/>
      <c r="CU23" s="193"/>
      <c r="CV23" s="193"/>
      <c r="CW23" s="193"/>
      <c r="CX23" s="193"/>
      <c r="CY23" s="193"/>
      <c r="CZ23" s="193"/>
      <c r="DA23" s="193"/>
      <c r="DB23" s="193"/>
      <c r="DC23" s="193"/>
      <c r="DD23" s="193"/>
      <c r="DE23" s="193"/>
      <c r="DF23" s="193"/>
      <c r="DG23" s="193"/>
      <c r="DH23" s="193"/>
      <c r="DI23" s="193"/>
      <c r="DJ23" s="193"/>
      <c r="DK23" s="193"/>
      <c r="DL23" s="193"/>
      <c r="DM23" s="193"/>
      <c r="DN23" s="193"/>
      <c r="DO23" s="193"/>
      <c r="DP23" s="193"/>
      <c r="DQ23" s="193"/>
      <c r="DR23" s="193"/>
      <c r="DS23" s="193"/>
      <c r="DT23" s="193"/>
      <c r="DU23" s="193"/>
      <c r="DV23" s="193"/>
      <c r="DW23" s="193"/>
      <c r="DX23" s="193"/>
      <c r="DY23" s="193"/>
      <c r="DZ23" s="193"/>
      <c r="EA23" s="193"/>
      <c r="EB23" s="193"/>
      <c r="EC23" s="193"/>
      <c r="ED23" s="193"/>
      <c r="EE23" s="193"/>
      <c r="EF23" s="193"/>
      <c r="EG23" s="193"/>
      <c r="EH23" s="193"/>
      <c r="EI23" s="193"/>
      <c r="EJ23" s="193"/>
      <c r="EK23" s="193"/>
      <c r="EL23" s="193"/>
      <c r="EM23" s="193"/>
      <c r="EN23" s="193"/>
      <c r="EO23" s="193"/>
      <c r="EP23" s="193"/>
      <c r="EQ23" s="193"/>
      <c r="ER23" s="193"/>
      <c r="ES23" s="193"/>
      <c r="ET23" s="193"/>
      <c r="EU23" s="193"/>
      <c r="EV23" s="193"/>
      <c r="EW23" s="193"/>
      <c r="EX23" s="193"/>
      <c r="EY23" s="193"/>
      <c r="EZ23" s="193"/>
      <c r="FA23" s="193"/>
      <c r="FB23" s="193"/>
      <c r="FC23" s="193"/>
      <c r="FD23" s="193"/>
      <c r="FE23" s="193"/>
      <c r="FF23" s="193"/>
      <c r="FG23" s="193"/>
      <c r="FH23" s="193"/>
      <c r="FI23" s="193"/>
      <c r="FJ23" s="193"/>
      <c r="FK23" s="193"/>
      <c r="FL23" s="193"/>
      <c r="FM23" s="193"/>
      <c r="FN23" s="193"/>
      <c r="FO23" s="193"/>
      <c r="FP23" s="193"/>
      <c r="FQ23" s="193"/>
      <c r="FR23" s="193"/>
      <c r="FS23" s="193"/>
      <c r="FT23" s="193"/>
      <c r="FU23" s="193"/>
      <c r="FV23" s="193"/>
      <c r="FW23" s="193"/>
      <c r="FX23" s="193"/>
      <c r="FY23" s="193"/>
      <c r="FZ23" s="193"/>
      <c r="GA23" s="193"/>
      <c r="GB23" s="193"/>
      <c r="GC23" s="193"/>
      <c r="GD23" s="193"/>
      <c r="GE23" s="193"/>
      <c r="GF23" s="193"/>
      <c r="GG23" s="193"/>
      <c r="GH23" s="193"/>
      <c r="GI23" s="193"/>
      <c r="GJ23" s="193"/>
      <c r="GK23" s="193"/>
      <c r="GL23" s="193"/>
      <c r="GM23" s="193"/>
      <c r="GN23" s="193"/>
      <c r="GO23" s="193"/>
      <c r="GP23" s="193"/>
      <c r="GQ23" s="193"/>
      <c r="GR23" s="193"/>
      <c r="GS23" s="193"/>
      <c r="GT23" s="193"/>
      <c r="GU23" s="193"/>
      <c r="GV23" s="193"/>
      <c r="GW23" s="193"/>
      <c r="GX23" s="193"/>
      <c r="GY23" s="193"/>
      <c r="GZ23" s="193"/>
      <c r="HA23" s="193"/>
      <c r="HB23" s="193"/>
      <c r="HC23" s="193"/>
      <c r="HD23" s="193"/>
      <c r="HE23" s="193"/>
      <c r="HF23" s="193"/>
      <c r="HG23" s="193"/>
      <c r="HH23" s="193"/>
      <c r="HI23" s="193"/>
      <c r="HJ23" s="193"/>
      <c r="HK23" s="193"/>
      <c r="HL23" s="193"/>
      <c r="HM23" s="193"/>
      <c r="HN23" s="193"/>
      <c r="HO23" s="193"/>
      <c r="HP23" s="193"/>
      <c r="HQ23" s="193"/>
      <c r="HR23" s="193"/>
      <c r="HS23" s="193"/>
      <c r="HT23" s="193"/>
      <c r="HU23" s="193"/>
      <c r="HV23" s="193"/>
      <c r="HW23" s="193"/>
      <c r="HX23" s="193"/>
      <c r="HY23" s="193"/>
      <c r="HZ23" s="193"/>
      <c r="IA23" s="193"/>
      <c r="IB23" s="193"/>
      <c r="IC23" s="193"/>
      <c r="ID23" s="193"/>
      <c r="IE23" s="193"/>
      <c r="IF23" s="193"/>
      <c r="IG23" s="193"/>
      <c r="IH23" s="193"/>
      <c r="II23" s="193"/>
      <c r="IJ23" s="193"/>
      <c r="IK23" s="193"/>
      <c r="IL23" s="193"/>
      <c r="IM23" s="193"/>
      <c r="IN23" s="193"/>
      <c r="IO23" s="193"/>
      <c r="IP23" s="193"/>
      <c r="IQ23" s="193"/>
      <c r="IR23" s="193"/>
      <c r="IS23" s="193"/>
      <c r="IT23" s="193"/>
      <c r="IU23" s="193"/>
      <c r="IV23" s="193"/>
      <c r="IW23" s="193"/>
    </row>
    <row r="24" customFormat="false" ht="12.75" hidden="false" customHeight="false" outlineLevel="0" collapsed="false">
      <c r="A24" s="112"/>
      <c r="B24" s="193"/>
      <c r="C24" s="112"/>
      <c r="D24" s="193"/>
      <c r="E24" s="193"/>
      <c r="F24" s="197"/>
      <c r="G24" s="196"/>
      <c r="H24" s="198"/>
      <c r="I24" s="196"/>
      <c r="J24" s="198"/>
      <c r="K24" s="193"/>
      <c r="L24" s="193"/>
      <c r="M24" s="193"/>
      <c r="N24" s="193"/>
      <c r="O24" s="193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93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3"/>
      <c r="BH24" s="193"/>
      <c r="BI24" s="193"/>
      <c r="BJ24" s="193"/>
      <c r="BK24" s="193"/>
      <c r="BL24" s="193"/>
      <c r="BM24" s="193"/>
      <c r="BN24" s="193"/>
      <c r="BO24" s="193"/>
      <c r="BP24" s="193"/>
      <c r="BQ24" s="193"/>
      <c r="BR24" s="193"/>
      <c r="BS24" s="193"/>
      <c r="BT24" s="193"/>
      <c r="BU24" s="193"/>
      <c r="BV24" s="193"/>
      <c r="BW24" s="193"/>
      <c r="BX24" s="193"/>
      <c r="BY24" s="193"/>
      <c r="BZ24" s="193"/>
      <c r="CA24" s="193"/>
      <c r="CB24" s="193"/>
      <c r="CC24" s="193"/>
      <c r="CD24" s="193"/>
      <c r="CE24" s="193"/>
      <c r="CF24" s="193"/>
      <c r="CG24" s="193"/>
      <c r="CH24" s="193"/>
      <c r="CI24" s="193"/>
      <c r="CJ24" s="193"/>
      <c r="CK24" s="193"/>
      <c r="CL24" s="193"/>
      <c r="CM24" s="193"/>
      <c r="CN24" s="193"/>
      <c r="CO24" s="193"/>
      <c r="CP24" s="193"/>
      <c r="CQ24" s="193"/>
      <c r="CR24" s="193"/>
      <c r="CS24" s="193"/>
      <c r="CT24" s="193"/>
      <c r="CU24" s="193"/>
      <c r="CV24" s="193"/>
      <c r="CW24" s="193"/>
      <c r="CX24" s="193"/>
      <c r="CY24" s="193"/>
      <c r="CZ24" s="193"/>
      <c r="DA24" s="193"/>
      <c r="DB24" s="193"/>
      <c r="DC24" s="193"/>
      <c r="DD24" s="193"/>
      <c r="DE24" s="193"/>
      <c r="DF24" s="193"/>
      <c r="DG24" s="193"/>
      <c r="DH24" s="193"/>
      <c r="DI24" s="193"/>
      <c r="DJ24" s="193"/>
      <c r="DK24" s="193"/>
      <c r="DL24" s="193"/>
      <c r="DM24" s="193"/>
      <c r="DN24" s="193"/>
      <c r="DO24" s="193"/>
      <c r="DP24" s="193"/>
      <c r="DQ24" s="193"/>
      <c r="DR24" s="193"/>
      <c r="DS24" s="193"/>
      <c r="DT24" s="193"/>
      <c r="DU24" s="193"/>
      <c r="DV24" s="193"/>
      <c r="DW24" s="193"/>
      <c r="DX24" s="193"/>
      <c r="DY24" s="193"/>
      <c r="DZ24" s="193"/>
      <c r="EA24" s="193"/>
      <c r="EB24" s="193"/>
      <c r="EC24" s="193"/>
      <c r="ED24" s="193"/>
      <c r="EE24" s="193"/>
      <c r="EF24" s="193"/>
      <c r="EG24" s="193"/>
      <c r="EH24" s="193"/>
      <c r="EI24" s="193"/>
      <c r="EJ24" s="193"/>
      <c r="EK24" s="193"/>
      <c r="EL24" s="193"/>
      <c r="EM24" s="193"/>
      <c r="EN24" s="193"/>
      <c r="EO24" s="193"/>
      <c r="EP24" s="193"/>
      <c r="EQ24" s="193"/>
      <c r="ER24" s="193"/>
      <c r="ES24" s="193"/>
      <c r="ET24" s="193"/>
      <c r="EU24" s="193"/>
      <c r="EV24" s="193"/>
      <c r="EW24" s="193"/>
      <c r="EX24" s="193"/>
      <c r="EY24" s="193"/>
      <c r="EZ24" s="193"/>
      <c r="FA24" s="193"/>
      <c r="FB24" s="193"/>
      <c r="FC24" s="193"/>
      <c r="FD24" s="193"/>
      <c r="FE24" s="193"/>
      <c r="FF24" s="193"/>
      <c r="FG24" s="193"/>
      <c r="FH24" s="193"/>
      <c r="FI24" s="193"/>
      <c r="FJ24" s="193"/>
      <c r="FK24" s="193"/>
      <c r="FL24" s="193"/>
      <c r="FM24" s="193"/>
      <c r="FN24" s="193"/>
      <c r="FO24" s="193"/>
      <c r="FP24" s="193"/>
      <c r="FQ24" s="193"/>
      <c r="FR24" s="193"/>
      <c r="FS24" s="193"/>
      <c r="FT24" s="193"/>
      <c r="FU24" s="193"/>
      <c r="FV24" s="193"/>
      <c r="FW24" s="193"/>
      <c r="FX24" s="193"/>
      <c r="FY24" s="193"/>
      <c r="FZ24" s="193"/>
      <c r="GA24" s="193"/>
      <c r="GB24" s="193"/>
      <c r="GC24" s="193"/>
      <c r="GD24" s="193"/>
      <c r="GE24" s="193"/>
      <c r="GF24" s="193"/>
      <c r="GG24" s="193"/>
      <c r="GH24" s="193"/>
      <c r="GI24" s="193"/>
      <c r="GJ24" s="193"/>
      <c r="GK24" s="193"/>
      <c r="GL24" s="193"/>
      <c r="GM24" s="193"/>
      <c r="GN24" s="193"/>
      <c r="GO24" s="193"/>
      <c r="GP24" s="193"/>
      <c r="GQ24" s="193"/>
      <c r="GR24" s="193"/>
      <c r="GS24" s="193"/>
      <c r="GT24" s="193"/>
      <c r="GU24" s="193"/>
      <c r="GV24" s="193"/>
      <c r="GW24" s="193"/>
      <c r="GX24" s="193"/>
      <c r="GY24" s="193"/>
      <c r="GZ24" s="193"/>
      <c r="HA24" s="193"/>
      <c r="HB24" s="193"/>
      <c r="HC24" s="193"/>
      <c r="HD24" s="193"/>
      <c r="HE24" s="193"/>
      <c r="HF24" s="193"/>
      <c r="HG24" s="193"/>
      <c r="HH24" s="193"/>
      <c r="HI24" s="193"/>
      <c r="HJ24" s="193"/>
      <c r="HK24" s="193"/>
      <c r="HL24" s="193"/>
      <c r="HM24" s="193"/>
      <c r="HN24" s="193"/>
      <c r="HO24" s="193"/>
      <c r="HP24" s="193"/>
      <c r="HQ24" s="193"/>
      <c r="HR24" s="193"/>
      <c r="HS24" s="193"/>
      <c r="HT24" s="193"/>
      <c r="HU24" s="193"/>
      <c r="HV24" s="193"/>
      <c r="HW24" s="193"/>
      <c r="HX24" s="193"/>
      <c r="HY24" s="193"/>
      <c r="HZ24" s="193"/>
      <c r="IA24" s="193"/>
      <c r="IB24" s="193"/>
      <c r="IC24" s="193"/>
      <c r="ID24" s="193"/>
      <c r="IE24" s="193"/>
      <c r="IF24" s="193"/>
      <c r="IG24" s="193"/>
      <c r="IH24" s="193"/>
      <c r="II24" s="193"/>
      <c r="IJ24" s="193"/>
      <c r="IK24" s="193"/>
      <c r="IL24" s="193"/>
      <c r="IM24" s="193"/>
      <c r="IN24" s="193"/>
      <c r="IO24" s="193"/>
      <c r="IP24" s="193"/>
      <c r="IQ24" s="193"/>
      <c r="IR24" s="193"/>
      <c r="IS24" s="193"/>
      <c r="IT24" s="193"/>
      <c r="IU24" s="193"/>
      <c r="IV24" s="193"/>
      <c r="IW24" s="193"/>
    </row>
    <row r="25" customFormat="false" ht="12.75" hidden="false" customHeight="false" outlineLevel="0" collapsed="false">
      <c r="A25" s="153"/>
      <c r="B25" s="153"/>
      <c r="C25" s="101" t="s">
        <v>119</v>
      </c>
      <c r="D25" s="153"/>
      <c r="E25" s="153"/>
      <c r="F25" s="199" t="n">
        <v>0</v>
      </c>
      <c r="G25" s="200"/>
      <c r="H25" s="199" t="n">
        <v>14117.6470588235</v>
      </c>
      <c r="I25" s="200"/>
      <c r="J25" s="199" t="n">
        <v>15000</v>
      </c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  <c r="BL25" s="153"/>
      <c r="BM25" s="153"/>
      <c r="BN25" s="153"/>
      <c r="BO25" s="153"/>
      <c r="BP25" s="153"/>
      <c r="BQ25" s="153"/>
      <c r="BR25" s="153"/>
      <c r="BS25" s="153"/>
      <c r="BT25" s="153"/>
      <c r="BU25" s="153"/>
      <c r="BV25" s="153"/>
      <c r="BW25" s="153"/>
      <c r="BX25" s="153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53"/>
      <c r="DY25" s="153"/>
      <c r="DZ25" s="153"/>
      <c r="EA25" s="153"/>
      <c r="EB25" s="153"/>
      <c r="EC25" s="153"/>
      <c r="ED25" s="153"/>
      <c r="EE25" s="153"/>
      <c r="EF25" s="153"/>
      <c r="EG25" s="153"/>
      <c r="EH25" s="153"/>
      <c r="EI25" s="153"/>
      <c r="EJ25" s="153"/>
      <c r="EK25" s="153"/>
      <c r="EL25" s="153"/>
      <c r="EM25" s="153"/>
      <c r="EN25" s="153"/>
      <c r="EO25" s="153"/>
      <c r="EP25" s="153"/>
      <c r="EQ25" s="153"/>
      <c r="ER25" s="153"/>
      <c r="ES25" s="153"/>
      <c r="ET25" s="153"/>
      <c r="EU25" s="153"/>
      <c r="EV25" s="153"/>
      <c r="EW25" s="153"/>
      <c r="EX25" s="153"/>
      <c r="EY25" s="153"/>
      <c r="EZ25" s="153"/>
      <c r="FA25" s="153"/>
      <c r="FB25" s="153"/>
      <c r="FC25" s="153"/>
      <c r="FD25" s="153"/>
      <c r="FE25" s="153"/>
      <c r="FF25" s="153"/>
      <c r="FG25" s="153"/>
      <c r="FH25" s="153"/>
      <c r="FI25" s="153"/>
      <c r="FJ25" s="153"/>
      <c r="FK25" s="153"/>
      <c r="FL25" s="153"/>
      <c r="FM25" s="153"/>
      <c r="FN25" s="153"/>
      <c r="FO25" s="153"/>
      <c r="FP25" s="153"/>
      <c r="FQ25" s="153"/>
      <c r="FR25" s="153"/>
      <c r="FS25" s="153"/>
      <c r="FT25" s="153"/>
      <c r="FU25" s="153"/>
      <c r="FV25" s="153"/>
      <c r="FW25" s="153"/>
      <c r="FX25" s="153"/>
      <c r="FY25" s="153"/>
      <c r="FZ25" s="153"/>
      <c r="GA25" s="153"/>
      <c r="GB25" s="153"/>
      <c r="GC25" s="153"/>
      <c r="GD25" s="153"/>
      <c r="GE25" s="153"/>
      <c r="GF25" s="153"/>
      <c r="GG25" s="153"/>
      <c r="GH25" s="153"/>
      <c r="GI25" s="153"/>
      <c r="GJ25" s="153"/>
      <c r="GK25" s="153"/>
      <c r="GL25" s="153"/>
      <c r="GM25" s="153"/>
      <c r="GN25" s="153"/>
      <c r="GO25" s="153"/>
      <c r="GP25" s="153"/>
      <c r="GQ25" s="153"/>
      <c r="GR25" s="153"/>
      <c r="GS25" s="153"/>
      <c r="GT25" s="153"/>
      <c r="GU25" s="153"/>
      <c r="GV25" s="153"/>
      <c r="GW25" s="153"/>
      <c r="GX25" s="153"/>
      <c r="GY25" s="153"/>
      <c r="GZ25" s="153"/>
      <c r="HA25" s="153"/>
      <c r="HB25" s="153"/>
      <c r="HC25" s="153"/>
      <c r="HD25" s="153"/>
      <c r="HE25" s="153"/>
      <c r="HF25" s="153"/>
      <c r="HG25" s="153"/>
      <c r="HH25" s="153"/>
      <c r="HI25" s="153"/>
      <c r="HJ25" s="153"/>
      <c r="HK25" s="153"/>
      <c r="HL25" s="153"/>
      <c r="HM25" s="153"/>
      <c r="HN25" s="153"/>
      <c r="HO25" s="153"/>
      <c r="HP25" s="153"/>
      <c r="HQ25" s="153"/>
      <c r="HR25" s="153"/>
      <c r="HS25" s="153"/>
      <c r="HT25" s="153"/>
      <c r="HU25" s="153"/>
      <c r="HV25" s="153"/>
      <c r="HW25" s="153"/>
      <c r="HX25" s="153"/>
      <c r="HY25" s="153"/>
      <c r="HZ25" s="153"/>
      <c r="IA25" s="153"/>
      <c r="IB25" s="153"/>
      <c r="IC25" s="153"/>
      <c r="ID25" s="153"/>
      <c r="IE25" s="153"/>
      <c r="IF25" s="153"/>
      <c r="IG25" s="153"/>
      <c r="IH25" s="153"/>
      <c r="II25" s="153"/>
      <c r="IJ25" s="153"/>
      <c r="IK25" s="153"/>
      <c r="IL25" s="153"/>
      <c r="IM25" s="153"/>
      <c r="IN25" s="153"/>
      <c r="IO25" s="153"/>
      <c r="IP25" s="153"/>
      <c r="IQ25" s="153"/>
      <c r="IR25" s="153"/>
      <c r="IS25" s="153"/>
      <c r="IT25" s="153"/>
      <c r="IU25" s="153"/>
      <c r="IV25" s="153"/>
      <c r="IW25" s="153"/>
    </row>
    <row r="26" customFormat="false" ht="12.75" hidden="false" customHeight="false" outlineLevel="0" collapsed="false">
      <c r="A26" s="104"/>
      <c r="C26" s="101"/>
      <c r="F26" s="199"/>
      <c r="G26" s="200"/>
      <c r="H26" s="199"/>
      <c r="I26" s="200"/>
      <c r="J26" s="199"/>
    </row>
    <row r="27" customFormat="false" ht="12.75" hidden="false" customHeight="false" outlineLevel="0" collapsed="false">
      <c r="A27" s="104"/>
      <c r="C27" s="101" t="s">
        <v>120</v>
      </c>
      <c r="F27" s="199" t="s">
        <v>121</v>
      </c>
      <c r="G27" s="200"/>
      <c r="H27" s="199" t="n">
        <v>1443.40988761725</v>
      </c>
      <c r="I27" s="200"/>
      <c r="J27" s="199" t="n">
        <v>531.385691666667</v>
      </c>
    </row>
    <row r="28" customFormat="false" ht="12.75" hidden="false" customHeight="false" outlineLevel="0" collapsed="false">
      <c r="A28" s="104"/>
      <c r="C28" s="101" t="s">
        <v>122</v>
      </c>
      <c r="F28" s="199" t="s">
        <v>121</v>
      </c>
      <c r="G28" s="200"/>
      <c r="H28" s="201" t="n">
        <v>10502.5935656096</v>
      </c>
      <c r="I28" s="200"/>
      <c r="J28" s="199" t="s">
        <v>121</v>
      </c>
    </row>
    <row r="29" customFormat="false" ht="12.75" hidden="false" customHeight="false" outlineLevel="0" collapsed="false">
      <c r="A29" s="104"/>
      <c r="C29" s="101" t="s">
        <v>123</v>
      </c>
      <c r="F29" s="199" t="s">
        <v>121</v>
      </c>
      <c r="G29" s="200"/>
      <c r="H29" s="199" t="n">
        <v>14613.8567432205</v>
      </c>
      <c r="I29" s="200"/>
      <c r="J29" s="199" t="s">
        <v>121</v>
      </c>
    </row>
    <row r="30" customFormat="false" ht="12.75" hidden="false" customHeight="false" outlineLevel="0" collapsed="false">
      <c r="A30" s="104"/>
      <c r="C30" s="101" t="s">
        <v>124</v>
      </c>
      <c r="F30" s="199" t="n">
        <v>0</v>
      </c>
      <c r="G30" s="200"/>
      <c r="H30" s="199" t="n">
        <v>11137.7463381331</v>
      </c>
      <c r="I30" s="199"/>
      <c r="J30" s="199" t="n">
        <v>11833.8554842664</v>
      </c>
    </row>
    <row r="31" customFormat="false" ht="12.75" hidden="false" customHeight="false" outlineLevel="0" collapsed="false">
      <c r="A31" s="104"/>
      <c r="F31" s="200"/>
      <c r="G31" s="200"/>
      <c r="H31" s="200"/>
      <c r="I31" s="200"/>
      <c r="J31" s="200"/>
    </row>
    <row r="32" customFormat="false" ht="12.75" hidden="false" customHeight="false" outlineLevel="0" collapsed="false">
      <c r="C32" s="101" t="s">
        <v>125</v>
      </c>
      <c r="F32" s="199" t="n">
        <v>-14979.2336506283</v>
      </c>
      <c r="G32" s="200"/>
      <c r="H32" s="199" t="n">
        <v>-12360.3668025659</v>
      </c>
      <c r="I32" s="200"/>
      <c r="J32" s="199" t="n">
        <v>-8867.69551543608</v>
      </c>
    </row>
    <row r="33" customFormat="false" ht="12.75" hidden="false" customHeight="false" outlineLevel="0" collapsed="false">
      <c r="A33" s="153"/>
      <c r="B33" s="153"/>
      <c r="C33" s="101" t="str">
        <f aca="false">+C14</f>
        <v>Value of Assets NOT Included In Offer</v>
      </c>
      <c r="D33" s="153"/>
      <c r="E33" s="153"/>
      <c r="F33" s="199" t="n">
        <v>-13377.8554842664</v>
      </c>
      <c r="G33" s="200"/>
      <c r="H33" s="199" t="n">
        <v>0</v>
      </c>
      <c r="I33" s="200"/>
      <c r="J33" s="199" t="n">
        <v>0</v>
      </c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3"/>
      <c r="BS33" s="153"/>
      <c r="BT33" s="153"/>
      <c r="BU33" s="153"/>
      <c r="BV33" s="153"/>
      <c r="BW33" s="153"/>
      <c r="BX33" s="153"/>
      <c r="BY33" s="153"/>
      <c r="BZ33" s="153"/>
      <c r="CA33" s="153"/>
      <c r="CB33" s="153"/>
      <c r="CC33" s="153"/>
      <c r="CD33" s="153"/>
      <c r="CE33" s="153"/>
      <c r="CF33" s="153"/>
      <c r="CG33" s="153"/>
      <c r="CH33" s="153"/>
      <c r="CI33" s="153"/>
      <c r="CJ33" s="153"/>
      <c r="CK33" s="153"/>
      <c r="CL33" s="153"/>
      <c r="CM33" s="153"/>
      <c r="CN33" s="153"/>
      <c r="CO33" s="153"/>
      <c r="CP33" s="153"/>
      <c r="CQ33" s="153"/>
      <c r="CR33" s="153"/>
      <c r="CS33" s="153"/>
      <c r="CT33" s="153"/>
      <c r="CU33" s="153"/>
      <c r="CV33" s="153"/>
      <c r="CW33" s="153"/>
      <c r="CX33" s="153"/>
      <c r="CY33" s="153"/>
      <c r="CZ33" s="153"/>
      <c r="DA33" s="153"/>
      <c r="DB33" s="153"/>
      <c r="DC33" s="153"/>
      <c r="DD33" s="153"/>
      <c r="DE33" s="153"/>
      <c r="DF33" s="153"/>
      <c r="DG33" s="153"/>
      <c r="DH33" s="153"/>
      <c r="DI33" s="153"/>
      <c r="DJ33" s="153"/>
      <c r="DK33" s="153"/>
      <c r="DL33" s="153"/>
      <c r="DM33" s="153"/>
      <c r="DN33" s="153"/>
      <c r="DO33" s="153"/>
      <c r="DP33" s="153"/>
      <c r="DQ33" s="153"/>
      <c r="DR33" s="153"/>
      <c r="DS33" s="153"/>
      <c r="DT33" s="153"/>
      <c r="DU33" s="153"/>
      <c r="DV33" s="153"/>
      <c r="DW33" s="153"/>
      <c r="DX33" s="153"/>
      <c r="DY33" s="153"/>
      <c r="DZ33" s="153"/>
      <c r="EA33" s="153"/>
      <c r="EB33" s="153"/>
      <c r="EC33" s="153"/>
      <c r="ED33" s="153"/>
      <c r="EE33" s="153"/>
      <c r="EF33" s="153"/>
      <c r="EG33" s="153"/>
      <c r="EH33" s="153"/>
      <c r="EI33" s="153"/>
      <c r="EJ33" s="153"/>
      <c r="EK33" s="153"/>
      <c r="EL33" s="153"/>
      <c r="EM33" s="153"/>
      <c r="EN33" s="153"/>
      <c r="EO33" s="153"/>
      <c r="EP33" s="153"/>
      <c r="EQ33" s="153"/>
      <c r="ER33" s="153"/>
      <c r="ES33" s="153"/>
      <c r="ET33" s="153"/>
      <c r="EU33" s="153"/>
      <c r="EV33" s="153"/>
      <c r="EW33" s="153"/>
      <c r="EX33" s="153"/>
      <c r="EY33" s="153"/>
      <c r="EZ33" s="153"/>
      <c r="FA33" s="153"/>
      <c r="FB33" s="153"/>
      <c r="FC33" s="153"/>
      <c r="FD33" s="153"/>
      <c r="FE33" s="153"/>
      <c r="FF33" s="153"/>
      <c r="FG33" s="153"/>
      <c r="FH33" s="153"/>
      <c r="FI33" s="153"/>
      <c r="FJ33" s="153"/>
      <c r="FK33" s="153"/>
      <c r="FL33" s="153"/>
      <c r="FM33" s="153"/>
      <c r="FN33" s="153"/>
      <c r="FO33" s="153"/>
      <c r="FP33" s="153"/>
      <c r="FQ33" s="153"/>
      <c r="FR33" s="153"/>
      <c r="FS33" s="153"/>
      <c r="FT33" s="153"/>
      <c r="FU33" s="153"/>
      <c r="FV33" s="153"/>
      <c r="FW33" s="153"/>
      <c r="FX33" s="153"/>
      <c r="FY33" s="153"/>
      <c r="FZ33" s="153"/>
      <c r="GA33" s="153"/>
      <c r="GB33" s="153"/>
      <c r="GC33" s="153"/>
      <c r="GD33" s="153"/>
      <c r="GE33" s="153"/>
      <c r="GF33" s="153"/>
      <c r="GG33" s="153"/>
      <c r="GH33" s="153"/>
      <c r="GI33" s="153"/>
      <c r="GJ33" s="153"/>
      <c r="GK33" s="153"/>
      <c r="GL33" s="153"/>
      <c r="GM33" s="153"/>
      <c r="GN33" s="153"/>
      <c r="GO33" s="153"/>
      <c r="GP33" s="153"/>
      <c r="GQ33" s="153"/>
      <c r="GR33" s="153"/>
      <c r="GS33" s="153"/>
      <c r="GT33" s="153"/>
      <c r="GU33" s="153"/>
      <c r="GV33" s="153"/>
      <c r="GW33" s="153"/>
      <c r="GX33" s="153"/>
      <c r="GY33" s="153"/>
      <c r="GZ33" s="153"/>
      <c r="HA33" s="153"/>
      <c r="HB33" s="153"/>
      <c r="HC33" s="153"/>
      <c r="HD33" s="153"/>
      <c r="HE33" s="153"/>
      <c r="HF33" s="153"/>
      <c r="HG33" s="153"/>
      <c r="HH33" s="153"/>
      <c r="HI33" s="153"/>
      <c r="HJ33" s="153"/>
      <c r="HK33" s="153"/>
      <c r="HL33" s="153"/>
      <c r="HM33" s="153"/>
      <c r="HN33" s="153"/>
      <c r="HO33" s="153"/>
      <c r="HP33" s="153"/>
      <c r="HQ33" s="153"/>
      <c r="HR33" s="153"/>
      <c r="HS33" s="153"/>
      <c r="HT33" s="153"/>
      <c r="HU33" s="153"/>
      <c r="HV33" s="153"/>
      <c r="HW33" s="153"/>
      <c r="HX33" s="153"/>
      <c r="HY33" s="153"/>
      <c r="HZ33" s="153"/>
      <c r="IA33" s="153"/>
      <c r="IB33" s="153"/>
      <c r="IC33" s="153"/>
      <c r="ID33" s="153"/>
      <c r="IE33" s="153"/>
      <c r="IF33" s="153"/>
      <c r="IG33" s="153"/>
      <c r="IH33" s="153"/>
      <c r="II33" s="153"/>
      <c r="IJ33" s="153"/>
      <c r="IK33" s="153"/>
      <c r="IL33" s="153"/>
      <c r="IM33" s="153"/>
      <c r="IN33" s="153"/>
      <c r="IO33" s="153"/>
      <c r="IP33" s="153"/>
      <c r="IQ33" s="153"/>
      <c r="IR33" s="153"/>
      <c r="IS33" s="153"/>
      <c r="IT33" s="153"/>
      <c r="IU33" s="153"/>
      <c r="IV33" s="153"/>
      <c r="IW33" s="153"/>
    </row>
    <row r="34" customFormat="false" ht="12.75" hidden="false" customHeight="false" outlineLevel="0" collapsed="false">
      <c r="A34" s="153"/>
      <c r="B34" s="153"/>
      <c r="C34" s="101"/>
      <c r="D34" s="153"/>
      <c r="E34" s="153"/>
      <c r="F34" s="199"/>
      <c r="G34" s="200"/>
      <c r="H34" s="199"/>
      <c r="I34" s="200"/>
      <c r="J34" s="199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  <c r="CC34" s="153"/>
      <c r="CD34" s="153"/>
      <c r="CE34" s="153"/>
      <c r="CF34" s="153"/>
      <c r="CG34" s="153"/>
      <c r="CH34" s="153"/>
      <c r="CI34" s="153"/>
      <c r="CJ34" s="153"/>
      <c r="CK34" s="153"/>
      <c r="CL34" s="153"/>
      <c r="CM34" s="153"/>
      <c r="CN34" s="153"/>
      <c r="CO34" s="153"/>
      <c r="CP34" s="153"/>
      <c r="CQ34" s="153"/>
      <c r="CR34" s="153"/>
      <c r="CS34" s="153"/>
      <c r="CT34" s="153"/>
      <c r="CU34" s="153"/>
      <c r="CV34" s="153"/>
      <c r="CW34" s="153"/>
      <c r="CX34" s="153"/>
      <c r="CY34" s="153"/>
      <c r="CZ34" s="153"/>
      <c r="DA34" s="153"/>
      <c r="DB34" s="153"/>
      <c r="DC34" s="153"/>
      <c r="DD34" s="153"/>
      <c r="DE34" s="153"/>
      <c r="DF34" s="153"/>
      <c r="DG34" s="153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153"/>
      <c r="DT34" s="153"/>
      <c r="DU34" s="153"/>
      <c r="DV34" s="153"/>
      <c r="DW34" s="153"/>
      <c r="DX34" s="153"/>
      <c r="DY34" s="153"/>
      <c r="DZ34" s="153"/>
      <c r="EA34" s="153"/>
      <c r="EB34" s="153"/>
      <c r="EC34" s="153"/>
      <c r="ED34" s="153"/>
      <c r="EE34" s="153"/>
      <c r="EF34" s="153"/>
      <c r="EG34" s="153"/>
      <c r="EH34" s="153"/>
      <c r="EI34" s="153"/>
      <c r="EJ34" s="153"/>
      <c r="EK34" s="153"/>
      <c r="EL34" s="153"/>
      <c r="EM34" s="153"/>
      <c r="EN34" s="153"/>
      <c r="EO34" s="153"/>
      <c r="EP34" s="153"/>
      <c r="EQ34" s="153"/>
      <c r="ER34" s="153"/>
      <c r="ES34" s="153"/>
      <c r="ET34" s="153"/>
      <c r="EU34" s="153"/>
      <c r="EV34" s="153"/>
      <c r="EW34" s="153"/>
      <c r="EX34" s="153"/>
      <c r="EY34" s="153"/>
      <c r="EZ34" s="153"/>
      <c r="FA34" s="153"/>
      <c r="FB34" s="153"/>
      <c r="FC34" s="153"/>
      <c r="FD34" s="153"/>
      <c r="FE34" s="153"/>
      <c r="FF34" s="153"/>
      <c r="FG34" s="153"/>
      <c r="FH34" s="153"/>
      <c r="FI34" s="153"/>
      <c r="FJ34" s="153"/>
      <c r="FK34" s="153"/>
      <c r="FL34" s="153"/>
      <c r="FM34" s="153"/>
      <c r="FN34" s="153"/>
      <c r="FO34" s="153"/>
      <c r="FP34" s="153"/>
      <c r="FQ34" s="153"/>
      <c r="FR34" s="153"/>
      <c r="FS34" s="153"/>
      <c r="FT34" s="153"/>
      <c r="FU34" s="153"/>
      <c r="FV34" s="153"/>
      <c r="FW34" s="153"/>
      <c r="FX34" s="153"/>
      <c r="FY34" s="153"/>
      <c r="FZ34" s="153"/>
      <c r="GA34" s="153"/>
      <c r="GB34" s="153"/>
      <c r="GC34" s="153"/>
      <c r="GD34" s="153"/>
      <c r="GE34" s="153"/>
      <c r="GF34" s="153"/>
      <c r="GG34" s="153"/>
      <c r="GH34" s="153"/>
      <c r="GI34" s="153"/>
      <c r="GJ34" s="153"/>
      <c r="GK34" s="153"/>
      <c r="GL34" s="153"/>
      <c r="GM34" s="153"/>
      <c r="GN34" s="153"/>
      <c r="GO34" s="153"/>
      <c r="GP34" s="153"/>
      <c r="GQ34" s="153"/>
      <c r="GR34" s="153"/>
      <c r="GS34" s="153"/>
      <c r="GT34" s="153"/>
      <c r="GU34" s="153"/>
      <c r="GV34" s="153"/>
      <c r="GW34" s="153"/>
      <c r="GX34" s="153"/>
      <c r="GY34" s="153"/>
      <c r="GZ34" s="153"/>
      <c r="HA34" s="153"/>
      <c r="HB34" s="153"/>
      <c r="HC34" s="153"/>
      <c r="HD34" s="153"/>
      <c r="HE34" s="153"/>
      <c r="HF34" s="153"/>
      <c r="HG34" s="153"/>
      <c r="HH34" s="153"/>
      <c r="HI34" s="153"/>
      <c r="HJ34" s="153"/>
      <c r="HK34" s="153"/>
      <c r="HL34" s="153"/>
      <c r="HM34" s="153"/>
      <c r="HN34" s="153"/>
      <c r="HO34" s="153"/>
      <c r="HP34" s="153"/>
      <c r="HQ34" s="153"/>
      <c r="HR34" s="153"/>
      <c r="HS34" s="153"/>
      <c r="HT34" s="153"/>
      <c r="HU34" s="153"/>
      <c r="HV34" s="153"/>
      <c r="HW34" s="153"/>
      <c r="HX34" s="153"/>
      <c r="HY34" s="153"/>
      <c r="HZ34" s="153"/>
      <c r="IA34" s="153"/>
      <c r="IB34" s="153"/>
      <c r="IC34" s="153"/>
      <c r="ID34" s="153"/>
      <c r="IE34" s="153"/>
      <c r="IF34" s="153"/>
      <c r="IG34" s="153"/>
      <c r="IH34" s="153"/>
      <c r="II34" s="153"/>
      <c r="IJ34" s="153"/>
      <c r="IK34" s="153"/>
      <c r="IL34" s="153"/>
      <c r="IM34" s="153"/>
      <c r="IN34" s="153"/>
      <c r="IO34" s="153"/>
      <c r="IP34" s="153"/>
      <c r="IQ34" s="153"/>
      <c r="IR34" s="153"/>
      <c r="IS34" s="153"/>
      <c r="IT34" s="153"/>
      <c r="IU34" s="153"/>
      <c r="IV34" s="153"/>
      <c r="IW34" s="153"/>
    </row>
    <row r="35" customFormat="false" ht="12.75" hidden="false" customHeight="false" outlineLevel="0" collapsed="false">
      <c r="A35" s="153"/>
      <c r="B35" s="153"/>
      <c r="C35" s="101" t="s">
        <v>126</v>
      </c>
      <c r="D35" s="153"/>
      <c r="E35" s="153"/>
      <c r="F35" s="199" t="n">
        <v>-12510.9320115159</v>
      </c>
      <c r="G35" s="200"/>
      <c r="H35" s="199" t="n">
        <v>-12510.9320115159</v>
      </c>
      <c r="I35" s="200"/>
      <c r="J35" s="199" t="n">
        <v>-12510.9320115159</v>
      </c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  <c r="BJ35" s="153"/>
      <c r="BK35" s="153"/>
      <c r="BL35" s="153"/>
      <c r="BM35" s="153"/>
      <c r="BN35" s="153"/>
      <c r="BO35" s="153"/>
      <c r="BP35" s="153"/>
      <c r="BQ35" s="153"/>
      <c r="BR35" s="153"/>
      <c r="BS35" s="153"/>
      <c r="BT35" s="153"/>
      <c r="BU35" s="153"/>
      <c r="BV35" s="153"/>
      <c r="BW35" s="153"/>
      <c r="BX35" s="153"/>
      <c r="BY35" s="153"/>
      <c r="BZ35" s="153"/>
      <c r="CA35" s="153"/>
      <c r="CB35" s="153"/>
      <c r="CC35" s="153"/>
      <c r="CD35" s="153"/>
      <c r="CE35" s="153"/>
      <c r="CF35" s="153"/>
      <c r="CG35" s="153"/>
      <c r="CH35" s="153"/>
      <c r="CI35" s="153"/>
      <c r="CJ35" s="153"/>
      <c r="CK35" s="153"/>
      <c r="CL35" s="153"/>
      <c r="CM35" s="153"/>
      <c r="CN35" s="153"/>
      <c r="CO35" s="153"/>
      <c r="CP35" s="153"/>
      <c r="CQ35" s="153"/>
      <c r="CR35" s="153"/>
      <c r="CS35" s="153"/>
      <c r="CT35" s="153"/>
      <c r="CU35" s="153"/>
      <c r="CV35" s="153"/>
      <c r="CW35" s="153"/>
      <c r="CX35" s="153"/>
      <c r="CY35" s="153"/>
      <c r="CZ35" s="153"/>
      <c r="DA35" s="153"/>
      <c r="DB35" s="153"/>
      <c r="DC35" s="153"/>
      <c r="DD35" s="153"/>
      <c r="DE35" s="153"/>
      <c r="DF35" s="153"/>
      <c r="DG35" s="153"/>
      <c r="DH35" s="153"/>
      <c r="DI35" s="153"/>
      <c r="DJ35" s="153"/>
      <c r="DK35" s="153"/>
      <c r="DL35" s="153"/>
      <c r="DM35" s="153"/>
      <c r="DN35" s="153"/>
      <c r="DO35" s="153"/>
      <c r="DP35" s="153"/>
      <c r="DQ35" s="153"/>
      <c r="DR35" s="153"/>
      <c r="DS35" s="153"/>
      <c r="DT35" s="153"/>
      <c r="DU35" s="153"/>
      <c r="DV35" s="153"/>
      <c r="DW35" s="153"/>
      <c r="DX35" s="153"/>
      <c r="DY35" s="153"/>
      <c r="DZ35" s="153"/>
      <c r="EA35" s="153"/>
      <c r="EB35" s="153"/>
      <c r="EC35" s="153"/>
      <c r="ED35" s="153"/>
      <c r="EE35" s="153"/>
      <c r="EF35" s="153"/>
      <c r="EG35" s="153"/>
      <c r="EH35" s="153"/>
      <c r="EI35" s="153"/>
      <c r="EJ35" s="153"/>
      <c r="EK35" s="153"/>
      <c r="EL35" s="153"/>
      <c r="EM35" s="153"/>
      <c r="EN35" s="153"/>
      <c r="EO35" s="153"/>
      <c r="EP35" s="153"/>
      <c r="EQ35" s="153"/>
      <c r="ER35" s="153"/>
      <c r="ES35" s="153"/>
      <c r="ET35" s="153"/>
      <c r="EU35" s="153"/>
      <c r="EV35" s="153"/>
      <c r="EW35" s="153"/>
      <c r="EX35" s="153"/>
      <c r="EY35" s="153"/>
      <c r="EZ35" s="153"/>
      <c r="FA35" s="153"/>
      <c r="FB35" s="153"/>
      <c r="FC35" s="153"/>
      <c r="FD35" s="153"/>
      <c r="FE35" s="153"/>
      <c r="FF35" s="153"/>
      <c r="FG35" s="153"/>
      <c r="FH35" s="153"/>
      <c r="FI35" s="153"/>
      <c r="FJ35" s="153"/>
      <c r="FK35" s="153"/>
      <c r="FL35" s="153"/>
      <c r="FM35" s="153"/>
      <c r="FN35" s="153"/>
      <c r="FO35" s="153"/>
      <c r="FP35" s="153"/>
      <c r="FQ35" s="153"/>
      <c r="FR35" s="153"/>
      <c r="FS35" s="153"/>
      <c r="FT35" s="153"/>
      <c r="FU35" s="153"/>
      <c r="FV35" s="153"/>
      <c r="FW35" s="153"/>
      <c r="FX35" s="153"/>
      <c r="FY35" s="153"/>
      <c r="FZ35" s="153"/>
      <c r="GA35" s="153"/>
      <c r="GB35" s="153"/>
      <c r="GC35" s="153"/>
      <c r="GD35" s="153"/>
      <c r="GE35" s="153"/>
      <c r="GF35" s="153"/>
      <c r="GG35" s="153"/>
      <c r="GH35" s="153"/>
      <c r="GI35" s="153"/>
      <c r="GJ35" s="153"/>
      <c r="GK35" s="153"/>
      <c r="GL35" s="153"/>
      <c r="GM35" s="153"/>
      <c r="GN35" s="153"/>
      <c r="GO35" s="153"/>
      <c r="GP35" s="153"/>
      <c r="GQ35" s="153"/>
      <c r="GR35" s="153"/>
      <c r="GS35" s="153"/>
      <c r="GT35" s="153"/>
      <c r="GU35" s="153"/>
      <c r="GV35" s="153"/>
      <c r="GW35" s="153"/>
      <c r="GX35" s="153"/>
      <c r="GY35" s="153"/>
      <c r="GZ35" s="153"/>
      <c r="HA35" s="153"/>
      <c r="HB35" s="153"/>
      <c r="HC35" s="153"/>
      <c r="HD35" s="153"/>
      <c r="HE35" s="153"/>
      <c r="HF35" s="153"/>
      <c r="HG35" s="153"/>
      <c r="HH35" s="153"/>
      <c r="HI35" s="153"/>
      <c r="HJ35" s="153"/>
      <c r="HK35" s="153"/>
      <c r="HL35" s="153"/>
      <c r="HM35" s="153"/>
      <c r="HN35" s="153"/>
      <c r="HO35" s="153"/>
      <c r="HP35" s="153"/>
      <c r="HQ35" s="153"/>
      <c r="HR35" s="153"/>
      <c r="HS35" s="153"/>
      <c r="HT35" s="153"/>
      <c r="HU35" s="153"/>
      <c r="HV35" s="153"/>
      <c r="HW35" s="153"/>
      <c r="HX35" s="153"/>
      <c r="HY35" s="153"/>
      <c r="HZ35" s="153"/>
      <c r="IA35" s="153"/>
      <c r="IB35" s="153"/>
      <c r="IC35" s="153"/>
      <c r="ID35" s="153"/>
      <c r="IE35" s="153"/>
      <c r="IF35" s="153"/>
      <c r="IG35" s="153"/>
      <c r="IH35" s="153"/>
      <c r="II35" s="153"/>
      <c r="IJ35" s="153"/>
      <c r="IK35" s="153"/>
      <c r="IL35" s="153"/>
      <c r="IM35" s="153"/>
      <c r="IN35" s="153"/>
      <c r="IO35" s="153"/>
      <c r="IP35" s="153"/>
      <c r="IQ35" s="153"/>
      <c r="IR35" s="153"/>
      <c r="IS35" s="153"/>
      <c r="IT35" s="153"/>
      <c r="IU35" s="153"/>
      <c r="IV35" s="153"/>
      <c r="IW35" s="153"/>
    </row>
    <row r="36" customFormat="false" ht="12.75" hidden="false" customHeight="false" outlineLevel="0" collapsed="false">
      <c r="A36" s="153"/>
      <c r="B36" s="153"/>
      <c r="C36" s="101" t="s">
        <v>127</v>
      </c>
      <c r="D36" s="153"/>
      <c r="E36" s="153"/>
      <c r="F36" s="199" t="n">
        <v>-6888</v>
      </c>
      <c r="G36" s="200"/>
      <c r="H36" s="199" t="n">
        <v>-6888</v>
      </c>
      <c r="I36" s="200"/>
      <c r="J36" s="199" t="n">
        <v>-6888</v>
      </c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3"/>
      <c r="BS36" s="153"/>
      <c r="BT36" s="153"/>
      <c r="BU36" s="153"/>
      <c r="BV36" s="153"/>
      <c r="BW36" s="153"/>
      <c r="BX36" s="153"/>
      <c r="BY36" s="153"/>
      <c r="BZ36" s="153"/>
      <c r="CA36" s="153"/>
      <c r="CB36" s="153"/>
      <c r="CC36" s="153"/>
      <c r="CD36" s="153"/>
      <c r="CE36" s="153"/>
      <c r="CF36" s="153"/>
      <c r="CG36" s="153"/>
      <c r="CH36" s="153"/>
      <c r="CI36" s="153"/>
      <c r="CJ36" s="153"/>
      <c r="CK36" s="153"/>
      <c r="CL36" s="153"/>
      <c r="CM36" s="153"/>
      <c r="CN36" s="153"/>
      <c r="CO36" s="153"/>
      <c r="CP36" s="153"/>
      <c r="CQ36" s="153"/>
      <c r="CR36" s="153"/>
      <c r="CS36" s="153"/>
      <c r="CT36" s="153"/>
      <c r="CU36" s="153"/>
      <c r="CV36" s="153"/>
      <c r="CW36" s="153"/>
      <c r="CX36" s="153"/>
      <c r="CY36" s="153"/>
      <c r="CZ36" s="153"/>
      <c r="DA36" s="153"/>
      <c r="DB36" s="153"/>
      <c r="DC36" s="153"/>
      <c r="DD36" s="153"/>
      <c r="DE36" s="153"/>
      <c r="DF36" s="153"/>
      <c r="DG36" s="153"/>
      <c r="DH36" s="153"/>
      <c r="DI36" s="153"/>
      <c r="DJ36" s="153"/>
      <c r="DK36" s="153"/>
      <c r="DL36" s="153"/>
      <c r="DM36" s="153"/>
      <c r="DN36" s="153"/>
      <c r="DO36" s="153"/>
      <c r="DP36" s="153"/>
      <c r="DQ36" s="153"/>
      <c r="DR36" s="153"/>
      <c r="DS36" s="153"/>
      <c r="DT36" s="153"/>
      <c r="DU36" s="153"/>
      <c r="DV36" s="153"/>
      <c r="DW36" s="153"/>
      <c r="DX36" s="153"/>
      <c r="DY36" s="153"/>
      <c r="DZ36" s="153"/>
      <c r="EA36" s="153"/>
      <c r="EB36" s="153"/>
      <c r="EC36" s="153"/>
      <c r="ED36" s="153"/>
      <c r="EE36" s="153"/>
      <c r="EF36" s="153"/>
      <c r="EG36" s="153"/>
      <c r="EH36" s="153"/>
      <c r="EI36" s="153"/>
      <c r="EJ36" s="153"/>
      <c r="EK36" s="153"/>
      <c r="EL36" s="153"/>
      <c r="EM36" s="153"/>
      <c r="EN36" s="153"/>
      <c r="EO36" s="153"/>
      <c r="EP36" s="153"/>
      <c r="EQ36" s="153"/>
      <c r="ER36" s="153"/>
      <c r="ES36" s="153"/>
      <c r="ET36" s="153"/>
      <c r="EU36" s="153"/>
      <c r="EV36" s="153"/>
      <c r="EW36" s="153"/>
      <c r="EX36" s="153"/>
      <c r="EY36" s="153"/>
      <c r="EZ36" s="153"/>
      <c r="FA36" s="153"/>
      <c r="FB36" s="153"/>
      <c r="FC36" s="153"/>
      <c r="FD36" s="153"/>
      <c r="FE36" s="153"/>
      <c r="FF36" s="153"/>
      <c r="FG36" s="153"/>
      <c r="FH36" s="153"/>
      <c r="FI36" s="153"/>
      <c r="FJ36" s="153"/>
      <c r="FK36" s="153"/>
      <c r="FL36" s="153"/>
      <c r="FM36" s="153"/>
      <c r="FN36" s="153"/>
      <c r="FO36" s="153"/>
      <c r="FP36" s="153"/>
      <c r="FQ36" s="153"/>
      <c r="FR36" s="153"/>
      <c r="FS36" s="153"/>
      <c r="FT36" s="153"/>
      <c r="FU36" s="153"/>
      <c r="FV36" s="153"/>
      <c r="FW36" s="153"/>
      <c r="FX36" s="153"/>
      <c r="FY36" s="153"/>
      <c r="FZ36" s="153"/>
      <c r="GA36" s="153"/>
      <c r="GB36" s="153"/>
      <c r="GC36" s="153"/>
      <c r="GD36" s="153"/>
      <c r="GE36" s="153"/>
      <c r="GF36" s="153"/>
      <c r="GG36" s="153"/>
      <c r="GH36" s="153"/>
      <c r="GI36" s="153"/>
      <c r="GJ36" s="153"/>
      <c r="GK36" s="153"/>
      <c r="GL36" s="153"/>
      <c r="GM36" s="153"/>
      <c r="GN36" s="153"/>
      <c r="GO36" s="153"/>
      <c r="GP36" s="153"/>
      <c r="GQ36" s="153"/>
      <c r="GR36" s="153"/>
      <c r="GS36" s="153"/>
      <c r="GT36" s="153"/>
      <c r="GU36" s="153"/>
      <c r="GV36" s="153"/>
      <c r="GW36" s="153"/>
      <c r="GX36" s="153"/>
      <c r="GY36" s="153"/>
      <c r="GZ36" s="153"/>
      <c r="HA36" s="153"/>
      <c r="HB36" s="153"/>
      <c r="HC36" s="153"/>
      <c r="HD36" s="153"/>
      <c r="HE36" s="153"/>
      <c r="HF36" s="153"/>
      <c r="HG36" s="153"/>
      <c r="HH36" s="153"/>
      <c r="HI36" s="153"/>
      <c r="HJ36" s="153"/>
      <c r="HK36" s="153"/>
      <c r="HL36" s="153"/>
      <c r="HM36" s="153"/>
      <c r="HN36" s="153"/>
      <c r="HO36" s="153"/>
      <c r="HP36" s="153"/>
      <c r="HQ36" s="153"/>
      <c r="HR36" s="153"/>
      <c r="HS36" s="153"/>
      <c r="HT36" s="153"/>
      <c r="HU36" s="153"/>
      <c r="HV36" s="153"/>
      <c r="HW36" s="153"/>
      <c r="HX36" s="153"/>
      <c r="HY36" s="153"/>
      <c r="HZ36" s="153"/>
      <c r="IA36" s="153"/>
      <c r="IB36" s="153"/>
      <c r="IC36" s="153"/>
      <c r="ID36" s="153"/>
      <c r="IE36" s="153"/>
      <c r="IF36" s="153"/>
      <c r="IG36" s="153"/>
      <c r="IH36" s="153"/>
      <c r="II36" s="153"/>
      <c r="IJ36" s="153"/>
      <c r="IK36" s="153"/>
      <c r="IL36" s="153"/>
      <c r="IM36" s="153"/>
      <c r="IN36" s="153"/>
      <c r="IO36" s="153"/>
      <c r="IP36" s="153"/>
      <c r="IQ36" s="153"/>
      <c r="IR36" s="153"/>
      <c r="IS36" s="153"/>
      <c r="IT36" s="153"/>
      <c r="IU36" s="153"/>
      <c r="IV36" s="153"/>
      <c r="IW36" s="153"/>
    </row>
    <row r="37" customFormat="false" ht="12.75" hidden="false" customHeight="false" outlineLevel="0" collapsed="false">
      <c r="F37" s="202"/>
      <c r="G37" s="153"/>
      <c r="H37" s="202"/>
      <c r="I37" s="153"/>
      <c r="J37" s="202"/>
    </row>
    <row r="38" customFormat="false" ht="13.5" hidden="false" customHeight="false" outlineLevel="0" collapsed="false">
      <c r="A38" s="193"/>
      <c r="B38" s="193"/>
      <c r="C38" s="193" t="s">
        <v>128</v>
      </c>
      <c r="D38" s="193"/>
      <c r="E38" s="193"/>
      <c r="F38" s="203" t="n">
        <f aca="false">SUM(F23:F36)</f>
        <v>211861.978853589</v>
      </c>
      <c r="G38" s="193"/>
      <c r="H38" s="203" t="n">
        <f aca="false">SUM(H23:H36)</f>
        <v>184761.837132263</v>
      </c>
      <c r="I38" s="193"/>
      <c r="J38" s="203" t="n">
        <f aca="false">SUM(J23:J36)</f>
        <v>188098.613648981</v>
      </c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  <c r="AY38" s="193"/>
      <c r="AZ38" s="193"/>
      <c r="BA38" s="193"/>
      <c r="BB38" s="193"/>
      <c r="BC38" s="193"/>
      <c r="BD38" s="193"/>
      <c r="BE38" s="193"/>
      <c r="BF38" s="193"/>
      <c r="BG38" s="193"/>
      <c r="BH38" s="193"/>
      <c r="BI38" s="193"/>
      <c r="BJ38" s="193"/>
      <c r="BK38" s="193"/>
      <c r="BL38" s="193"/>
      <c r="BM38" s="193"/>
      <c r="BN38" s="193"/>
      <c r="BO38" s="193"/>
      <c r="BP38" s="193"/>
      <c r="BQ38" s="193"/>
      <c r="BR38" s="193"/>
      <c r="BS38" s="193"/>
      <c r="BT38" s="193"/>
      <c r="BU38" s="193"/>
      <c r="BV38" s="193"/>
      <c r="BW38" s="193"/>
      <c r="BX38" s="193"/>
      <c r="BY38" s="193"/>
      <c r="BZ38" s="193"/>
      <c r="CA38" s="193"/>
      <c r="CB38" s="193"/>
      <c r="CC38" s="193"/>
      <c r="CD38" s="193"/>
      <c r="CE38" s="193"/>
      <c r="CF38" s="193"/>
      <c r="CG38" s="193"/>
      <c r="CH38" s="193"/>
      <c r="CI38" s="193"/>
      <c r="CJ38" s="193"/>
      <c r="CK38" s="193"/>
      <c r="CL38" s="193"/>
      <c r="CM38" s="193"/>
      <c r="CN38" s="193"/>
      <c r="CO38" s="193"/>
      <c r="CP38" s="193"/>
      <c r="CQ38" s="193"/>
      <c r="CR38" s="193"/>
      <c r="CS38" s="193"/>
      <c r="CT38" s="193"/>
      <c r="CU38" s="193"/>
      <c r="CV38" s="193"/>
      <c r="CW38" s="193"/>
      <c r="CX38" s="193"/>
      <c r="CY38" s="193"/>
      <c r="CZ38" s="193"/>
      <c r="DA38" s="193"/>
      <c r="DB38" s="193"/>
      <c r="DC38" s="193"/>
      <c r="DD38" s="193"/>
      <c r="DE38" s="193"/>
      <c r="DF38" s="193"/>
      <c r="DG38" s="193"/>
      <c r="DH38" s="193"/>
      <c r="DI38" s="193"/>
      <c r="DJ38" s="193"/>
      <c r="DK38" s="193"/>
      <c r="DL38" s="193"/>
      <c r="DM38" s="193"/>
      <c r="DN38" s="193"/>
      <c r="DO38" s="193"/>
      <c r="DP38" s="193"/>
      <c r="DQ38" s="193"/>
      <c r="DR38" s="193"/>
      <c r="DS38" s="193"/>
      <c r="DT38" s="193"/>
      <c r="DU38" s="193"/>
      <c r="DV38" s="193"/>
      <c r="DW38" s="193"/>
      <c r="DX38" s="193"/>
      <c r="DY38" s="193"/>
      <c r="DZ38" s="193"/>
      <c r="EA38" s="193"/>
      <c r="EB38" s="193"/>
      <c r="EC38" s="193"/>
      <c r="ED38" s="193"/>
      <c r="EE38" s="193"/>
      <c r="EF38" s="193"/>
      <c r="EG38" s="193"/>
      <c r="EH38" s="193"/>
      <c r="EI38" s="193"/>
      <c r="EJ38" s="193"/>
      <c r="EK38" s="193"/>
      <c r="EL38" s="193"/>
      <c r="EM38" s="193"/>
      <c r="EN38" s="193"/>
      <c r="EO38" s="193"/>
      <c r="EP38" s="193"/>
      <c r="EQ38" s="193"/>
      <c r="ER38" s="193"/>
      <c r="ES38" s="193"/>
      <c r="ET38" s="193"/>
      <c r="EU38" s="193"/>
      <c r="EV38" s="193"/>
      <c r="EW38" s="193"/>
      <c r="EX38" s="193"/>
      <c r="EY38" s="193"/>
      <c r="EZ38" s="193"/>
      <c r="FA38" s="193"/>
      <c r="FB38" s="193"/>
      <c r="FC38" s="193"/>
      <c r="FD38" s="193"/>
      <c r="FE38" s="193"/>
      <c r="FF38" s="193"/>
      <c r="FG38" s="193"/>
      <c r="FH38" s="193"/>
      <c r="FI38" s="193"/>
      <c r="FJ38" s="193"/>
      <c r="FK38" s="193"/>
      <c r="FL38" s="193"/>
      <c r="FM38" s="193"/>
      <c r="FN38" s="193"/>
      <c r="FO38" s="193"/>
      <c r="FP38" s="193"/>
      <c r="FQ38" s="193"/>
      <c r="FR38" s="193"/>
      <c r="FS38" s="193"/>
      <c r="FT38" s="193"/>
      <c r="FU38" s="193"/>
      <c r="FV38" s="193"/>
      <c r="FW38" s="193"/>
      <c r="FX38" s="193"/>
      <c r="FY38" s="193"/>
      <c r="FZ38" s="193"/>
      <c r="GA38" s="193"/>
      <c r="GB38" s="193"/>
      <c r="GC38" s="193"/>
      <c r="GD38" s="193"/>
      <c r="GE38" s="193"/>
      <c r="GF38" s="193"/>
      <c r="GG38" s="193"/>
      <c r="GH38" s="193"/>
      <c r="GI38" s="193"/>
      <c r="GJ38" s="193"/>
      <c r="GK38" s="193"/>
      <c r="GL38" s="193"/>
      <c r="GM38" s="193"/>
      <c r="GN38" s="193"/>
      <c r="GO38" s="193"/>
      <c r="GP38" s="193"/>
      <c r="GQ38" s="193"/>
      <c r="GR38" s="193"/>
      <c r="GS38" s="193"/>
      <c r="GT38" s="193"/>
      <c r="GU38" s="193"/>
      <c r="GV38" s="193"/>
      <c r="GW38" s="193"/>
      <c r="GX38" s="193"/>
      <c r="GY38" s="193"/>
      <c r="GZ38" s="193"/>
      <c r="HA38" s="193"/>
      <c r="HB38" s="193"/>
      <c r="HC38" s="193"/>
      <c r="HD38" s="193"/>
      <c r="HE38" s="193"/>
      <c r="HF38" s="193"/>
      <c r="HG38" s="193"/>
      <c r="HH38" s="193"/>
      <c r="HI38" s="193"/>
      <c r="HJ38" s="193"/>
      <c r="HK38" s="193"/>
      <c r="HL38" s="193"/>
      <c r="HM38" s="193"/>
      <c r="HN38" s="193"/>
      <c r="HO38" s="193"/>
      <c r="HP38" s="193"/>
      <c r="HQ38" s="193"/>
      <c r="HR38" s="193"/>
      <c r="HS38" s="193"/>
      <c r="HT38" s="193"/>
      <c r="HU38" s="193"/>
      <c r="HV38" s="193"/>
      <c r="HW38" s="193"/>
      <c r="HX38" s="193"/>
      <c r="HY38" s="193"/>
      <c r="HZ38" s="193"/>
      <c r="IA38" s="193"/>
      <c r="IB38" s="193"/>
      <c r="IC38" s="193"/>
      <c r="ID38" s="193"/>
      <c r="IE38" s="193"/>
      <c r="IF38" s="193"/>
      <c r="IG38" s="193"/>
      <c r="IH38" s="193"/>
      <c r="II38" s="193"/>
      <c r="IJ38" s="193"/>
      <c r="IK38" s="193"/>
      <c r="IL38" s="193"/>
      <c r="IM38" s="193"/>
      <c r="IN38" s="193"/>
      <c r="IO38" s="193"/>
      <c r="IP38" s="193"/>
      <c r="IQ38" s="193"/>
      <c r="IR38" s="193"/>
      <c r="IS38" s="193"/>
      <c r="IT38" s="193"/>
      <c r="IU38" s="193"/>
      <c r="IV38" s="193"/>
      <c r="IW38" s="193"/>
    </row>
    <row r="39" customFormat="false" ht="13.5" hidden="false" customHeight="false" outlineLevel="0" collapsed="false">
      <c r="F39" s="204"/>
      <c r="H39" s="204"/>
      <c r="J39" s="204"/>
    </row>
    <row r="40" customFormat="false" ht="12.75" hidden="false" customHeight="false" outlineLevel="0" collapsed="false">
      <c r="A40" s="193"/>
      <c r="B40" s="193"/>
      <c r="C40" s="193" t="s">
        <v>96</v>
      </c>
      <c r="D40" s="193"/>
      <c r="E40" s="193"/>
      <c r="F40" s="205"/>
      <c r="G40" s="193"/>
      <c r="H40" s="206" t="n">
        <f aca="false">+H38-$F$38</f>
        <v>-27100.141721326</v>
      </c>
      <c r="I40" s="193"/>
      <c r="J40" s="206" t="n">
        <f aca="false">+J38-$F$38</f>
        <v>-23763.3652046083</v>
      </c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  <c r="AY40" s="193"/>
      <c r="AZ40" s="193"/>
      <c r="BA40" s="193"/>
      <c r="BB40" s="193"/>
      <c r="BC40" s="193"/>
      <c r="BD40" s="193"/>
      <c r="BE40" s="193"/>
      <c r="BF40" s="193"/>
      <c r="BG40" s="193"/>
      <c r="BH40" s="193"/>
      <c r="BI40" s="193"/>
      <c r="BJ40" s="193"/>
      <c r="BK40" s="193"/>
      <c r="BL40" s="193"/>
      <c r="BM40" s="193"/>
      <c r="BN40" s="193"/>
      <c r="BO40" s="193"/>
      <c r="BP40" s="193"/>
      <c r="BQ40" s="193"/>
      <c r="BR40" s="193"/>
      <c r="BS40" s="193"/>
      <c r="BT40" s="193"/>
      <c r="BU40" s="193"/>
      <c r="BV40" s="193"/>
      <c r="BW40" s="193"/>
      <c r="BX40" s="193"/>
      <c r="BY40" s="193"/>
      <c r="BZ40" s="193"/>
      <c r="CA40" s="193"/>
      <c r="CB40" s="193"/>
      <c r="CC40" s="193"/>
      <c r="CD40" s="193"/>
      <c r="CE40" s="193"/>
      <c r="CF40" s="193"/>
      <c r="CG40" s="193"/>
      <c r="CH40" s="193"/>
      <c r="CI40" s="193"/>
      <c r="CJ40" s="193"/>
      <c r="CK40" s="193"/>
      <c r="CL40" s="193"/>
      <c r="CM40" s="193"/>
      <c r="CN40" s="193"/>
      <c r="CO40" s="193"/>
      <c r="CP40" s="193"/>
      <c r="CQ40" s="193"/>
      <c r="CR40" s="193"/>
      <c r="CS40" s="193"/>
      <c r="CT40" s="193"/>
      <c r="CU40" s="193"/>
      <c r="CV40" s="193"/>
      <c r="CW40" s="193"/>
      <c r="CX40" s="193"/>
      <c r="CY40" s="193"/>
      <c r="CZ40" s="193"/>
      <c r="DA40" s="193"/>
      <c r="DB40" s="193"/>
      <c r="DC40" s="193"/>
      <c r="DD40" s="193"/>
      <c r="DE40" s="193"/>
      <c r="DF40" s="193"/>
      <c r="DG40" s="193"/>
      <c r="DH40" s="193"/>
      <c r="DI40" s="193"/>
      <c r="DJ40" s="193"/>
      <c r="DK40" s="193"/>
      <c r="DL40" s="193"/>
      <c r="DM40" s="193"/>
      <c r="DN40" s="193"/>
      <c r="DO40" s="193"/>
      <c r="DP40" s="193"/>
      <c r="DQ40" s="193"/>
      <c r="DR40" s="193"/>
      <c r="DS40" s="193"/>
      <c r="DT40" s="193"/>
      <c r="DU40" s="193"/>
      <c r="DV40" s="193"/>
      <c r="DW40" s="193"/>
      <c r="DX40" s="193"/>
      <c r="DY40" s="193"/>
      <c r="DZ40" s="193"/>
      <c r="EA40" s="193"/>
      <c r="EB40" s="193"/>
      <c r="EC40" s="193"/>
      <c r="ED40" s="193"/>
      <c r="EE40" s="193"/>
      <c r="EF40" s="193"/>
      <c r="EG40" s="193"/>
      <c r="EH40" s="193"/>
      <c r="EI40" s="193"/>
      <c r="EJ40" s="193"/>
      <c r="EK40" s="193"/>
      <c r="EL40" s="193"/>
      <c r="EM40" s="193"/>
      <c r="EN40" s="193"/>
      <c r="EO40" s="193"/>
      <c r="EP40" s="193"/>
      <c r="EQ40" s="193"/>
      <c r="ER40" s="193"/>
      <c r="ES40" s="193"/>
      <c r="ET40" s="193"/>
      <c r="EU40" s="193"/>
      <c r="EV40" s="193"/>
      <c r="EW40" s="193"/>
      <c r="EX40" s="193"/>
      <c r="EY40" s="193"/>
      <c r="EZ40" s="193"/>
      <c r="FA40" s="193"/>
      <c r="FB40" s="193"/>
      <c r="FC40" s="193"/>
      <c r="FD40" s="193"/>
      <c r="FE40" s="193"/>
      <c r="FF40" s="193"/>
      <c r="FG40" s="193"/>
      <c r="FH40" s="193"/>
      <c r="FI40" s="193"/>
      <c r="FJ40" s="193"/>
      <c r="FK40" s="193"/>
      <c r="FL40" s="193"/>
      <c r="FM40" s="193"/>
      <c r="FN40" s="193"/>
      <c r="FO40" s="193"/>
      <c r="FP40" s="193"/>
      <c r="FQ40" s="193"/>
      <c r="FR40" s="193"/>
      <c r="FS40" s="193"/>
      <c r="FT40" s="193"/>
      <c r="FU40" s="193"/>
      <c r="FV40" s="193"/>
      <c r="FW40" s="193"/>
      <c r="FX40" s="193"/>
      <c r="FY40" s="193"/>
      <c r="FZ40" s="193"/>
      <c r="GA40" s="193"/>
      <c r="GB40" s="193"/>
      <c r="GC40" s="193"/>
      <c r="GD40" s="193"/>
      <c r="GE40" s="193"/>
      <c r="GF40" s="193"/>
      <c r="GG40" s="193"/>
      <c r="GH40" s="193"/>
      <c r="GI40" s="193"/>
      <c r="GJ40" s="193"/>
      <c r="GK40" s="193"/>
      <c r="GL40" s="193"/>
      <c r="GM40" s="193"/>
      <c r="GN40" s="193"/>
      <c r="GO40" s="193"/>
      <c r="GP40" s="193"/>
      <c r="GQ40" s="193"/>
      <c r="GR40" s="193"/>
      <c r="GS40" s="193"/>
      <c r="GT40" s="193"/>
      <c r="GU40" s="193"/>
      <c r="GV40" s="193"/>
      <c r="GW40" s="193"/>
      <c r="GX40" s="193"/>
      <c r="GY40" s="193"/>
      <c r="GZ40" s="193"/>
      <c r="HA40" s="193"/>
      <c r="HB40" s="193"/>
      <c r="HC40" s="193"/>
      <c r="HD40" s="193"/>
      <c r="HE40" s="193"/>
      <c r="HF40" s="193"/>
      <c r="HG40" s="193"/>
      <c r="HH40" s="193"/>
      <c r="HI40" s="193"/>
      <c r="HJ40" s="193"/>
      <c r="HK40" s="193"/>
      <c r="HL40" s="193"/>
      <c r="HM40" s="193"/>
      <c r="HN40" s="193"/>
      <c r="HO40" s="193"/>
      <c r="HP40" s="193"/>
      <c r="HQ40" s="193"/>
      <c r="HR40" s="193"/>
      <c r="HS40" s="193"/>
      <c r="HT40" s="193"/>
      <c r="HU40" s="193"/>
      <c r="HV40" s="193"/>
      <c r="HW40" s="193"/>
      <c r="HX40" s="193"/>
      <c r="HY40" s="193"/>
      <c r="HZ40" s="193"/>
      <c r="IA40" s="193"/>
      <c r="IB40" s="193"/>
      <c r="IC40" s="193"/>
      <c r="ID40" s="193"/>
      <c r="IE40" s="193"/>
      <c r="IF40" s="193"/>
      <c r="IG40" s="193"/>
      <c r="IH40" s="193"/>
      <c r="II40" s="193"/>
      <c r="IJ40" s="193"/>
      <c r="IK40" s="193"/>
      <c r="IL40" s="193"/>
      <c r="IM40" s="193"/>
      <c r="IN40" s="193"/>
      <c r="IO40" s="193"/>
      <c r="IP40" s="193"/>
      <c r="IQ40" s="193"/>
      <c r="IR40" s="193"/>
      <c r="IS40" s="193"/>
      <c r="IT40" s="193"/>
      <c r="IU40" s="193"/>
      <c r="IV40" s="193"/>
      <c r="IW40" s="193"/>
    </row>
    <row r="41" customFormat="false" ht="12.75" hidden="false" customHeight="false" outlineLevel="0" collapsed="false">
      <c r="A41" s="193"/>
      <c r="B41" s="193"/>
      <c r="C41" s="193"/>
      <c r="D41" s="193"/>
      <c r="E41" s="193"/>
      <c r="F41" s="205"/>
      <c r="G41" s="193"/>
      <c r="H41" s="205"/>
      <c r="I41" s="193"/>
      <c r="J41" s="205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  <c r="AY41" s="193"/>
      <c r="AZ41" s="193"/>
      <c r="BA41" s="193"/>
      <c r="BB41" s="193"/>
      <c r="BC41" s="193"/>
      <c r="BD41" s="193"/>
      <c r="BE41" s="193"/>
      <c r="BF41" s="193"/>
      <c r="BG41" s="193"/>
      <c r="BH41" s="193"/>
      <c r="BI41" s="193"/>
      <c r="BJ41" s="193"/>
      <c r="BK41" s="193"/>
      <c r="BL41" s="193"/>
      <c r="BM41" s="193"/>
      <c r="BN41" s="193"/>
      <c r="BO41" s="193"/>
      <c r="BP41" s="193"/>
      <c r="BQ41" s="193"/>
      <c r="BR41" s="193"/>
      <c r="BS41" s="193"/>
      <c r="BT41" s="193"/>
      <c r="BU41" s="193"/>
      <c r="BV41" s="193"/>
      <c r="BW41" s="193"/>
      <c r="BX41" s="193"/>
      <c r="BY41" s="193"/>
      <c r="BZ41" s="193"/>
      <c r="CA41" s="193"/>
      <c r="CB41" s="193"/>
      <c r="CC41" s="193"/>
      <c r="CD41" s="193"/>
      <c r="CE41" s="193"/>
      <c r="CF41" s="193"/>
      <c r="CG41" s="193"/>
      <c r="CH41" s="193"/>
      <c r="CI41" s="193"/>
      <c r="CJ41" s="193"/>
      <c r="CK41" s="193"/>
      <c r="CL41" s="193"/>
      <c r="CM41" s="193"/>
      <c r="CN41" s="193"/>
      <c r="CO41" s="193"/>
      <c r="CP41" s="193"/>
      <c r="CQ41" s="193"/>
      <c r="CR41" s="193"/>
      <c r="CS41" s="193"/>
      <c r="CT41" s="193"/>
      <c r="CU41" s="193"/>
      <c r="CV41" s="193"/>
      <c r="CW41" s="193"/>
      <c r="CX41" s="193"/>
      <c r="CY41" s="193"/>
      <c r="CZ41" s="193"/>
      <c r="DA41" s="193"/>
      <c r="DB41" s="193"/>
      <c r="DC41" s="193"/>
      <c r="DD41" s="193"/>
      <c r="DE41" s="193"/>
      <c r="DF41" s="193"/>
      <c r="DG41" s="193"/>
      <c r="DH41" s="193"/>
      <c r="DI41" s="193"/>
      <c r="DJ41" s="193"/>
      <c r="DK41" s="193"/>
      <c r="DL41" s="193"/>
      <c r="DM41" s="193"/>
      <c r="DN41" s="193"/>
      <c r="DO41" s="193"/>
      <c r="DP41" s="193"/>
      <c r="DQ41" s="193"/>
      <c r="DR41" s="193"/>
      <c r="DS41" s="193"/>
      <c r="DT41" s="193"/>
      <c r="DU41" s="193"/>
      <c r="DV41" s="193"/>
      <c r="DW41" s="193"/>
      <c r="DX41" s="193"/>
      <c r="DY41" s="193"/>
      <c r="DZ41" s="193"/>
      <c r="EA41" s="193"/>
      <c r="EB41" s="193"/>
      <c r="EC41" s="193"/>
      <c r="ED41" s="193"/>
      <c r="EE41" s="193"/>
      <c r="EF41" s="193"/>
      <c r="EG41" s="193"/>
      <c r="EH41" s="193"/>
      <c r="EI41" s="193"/>
      <c r="EJ41" s="193"/>
      <c r="EK41" s="193"/>
      <c r="EL41" s="193"/>
      <c r="EM41" s="193"/>
      <c r="EN41" s="193"/>
      <c r="EO41" s="193"/>
      <c r="EP41" s="193"/>
      <c r="EQ41" s="193"/>
      <c r="ER41" s="193"/>
      <c r="ES41" s="193"/>
      <c r="ET41" s="193"/>
      <c r="EU41" s="193"/>
      <c r="EV41" s="193"/>
      <c r="EW41" s="193"/>
      <c r="EX41" s="193"/>
      <c r="EY41" s="193"/>
      <c r="EZ41" s="193"/>
      <c r="FA41" s="193"/>
      <c r="FB41" s="193"/>
      <c r="FC41" s="193"/>
      <c r="FD41" s="193"/>
      <c r="FE41" s="193"/>
      <c r="FF41" s="193"/>
      <c r="FG41" s="193"/>
      <c r="FH41" s="193"/>
      <c r="FI41" s="193"/>
      <c r="FJ41" s="193"/>
      <c r="FK41" s="193"/>
      <c r="FL41" s="193"/>
      <c r="FM41" s="193"/>
      <c r="FN41" s="193"/>
      <c r="FO41" s="193"/>
      <c r="FP41" s="193"/>
      <c r="FQ41" s="193"/>
      <c r="FR41" s="193"/>
      <c r="FS41" s="193"/>
      <c r="FT41" s="193"/>
      <c r="FU41" s="193"/>
      <c r="FV41" s="193"/>
      <c r="FW41" s="193"/>
      <c r="FX41" s="193"/>
      <c r="FY41" s="193"/>
      <c r="FZ41" s="193"/>
      <c r="GA41" s="193"/>
      <c r="GB41" s="193"/>
      <c r="GC41" s="193"/>
      <c r="GD41" s="193"/>
      <c r="GE41" s="193"/>
      <c r="GF41" s="193"/>
      <c r="GG41" s="193"/>
      <c r="GH41" s="193"/>
      <c r="GI41" s="193"/>
      <c r="GJ41" s="193"/>
      <c r="GK41" s="193"/>
      <c r="GL41" s="193"/>
      <c r="GM41" s="193"/>
      <c r="GN41" s="193"/>
      <c r="GO41" s="193"/>
      <c r="GP41" s="193"/>
      <c r="GQ41" s="193"/>
      <c r="GR41" s="193"/>
      <c r="GS41" s="193"/>
      <c r="GT41" s="193"/>
      <c r="GU41" s="193"/>
      <c r="GV41" s="193"/>
      <c r="GW41" s="193"/>
      <c r="GX41" s="193"/>
      <c r="GY41" s="193"/>
      <c r="GZ41" s="193"/>
      <c r="HA41" s="193"/>
      <c r="HB41" s="193"/>
      <c r="HC41" s="193"/>
      <c r="HD41" s="193"/>
      <c r="HE41" s="193"/>
      <c r="HF41" s="193"/>
      <c r="HG41" s="193"/>
      <c r="HH41" s="193"/>
      <c r="HI41" s="193"/>
      <c r="HJ41" s="193"/>
      <c r="HK41" s="193"/>
      <c r="HL41" s="193"/>
      <c r="HM41" s="193"/>
      <c r="HN41" s="193"/>
      <c r="HO41" s="193"/>
      <c r="HP41" s="193"/>
      <c r="HQ41" s="193"/>
      <c r="HR41" s="193"/>
      <c r="HS41" s="193"/>
      <c r="HT41" s="193"/>
      <c r="HU41" s="193"/>
      <c r="HV41" s="193"/>
      <c r="HW41" s="193"/>
      <c r="HX41" s="193"/>
      <c r="HY41" s="193"/>
      <c r="HZ41" s="193"/>
      <c r="IA41" s="193"/>
      <c r="IB41" s="193"/>
      <c r="IC41" s="193"/>
      <c r="ID41" s="193"/>
      <c r="IE41" s="193"/>
      <c r="IF41" s="193"/>
      <c r="IG41" s="193"/>
      <c r="IH41" s="193"/>
      <c r="II41" s="193"/>
      <c r="IJ41" s="193"/>
      <c r="IK41" s="193"/>
      <c r="IL41" s="193"/>
      <c r="IM41" s="193"/>
      <c r="IN41" s="193"/>
      <c r="IO41" s="193"/>
      <c r="IP41" s="193"/>
      <c r="IQ41" s="193"/>
      <c r="IR41" s="193"/>
      <c r="IS41" s="193"/>
      <c r="IT41" s="193"/>
      <c r="IU41" s="193"/>
      <c r="IV41" s="193"/>
      <c r="IW41" s="193"/>
    </row>
    <row r="42" customFormat="false" ht="12.75" hidden="false" customHeight="false" outlineLevel="0" collapsed="false">
      <c r="A42" s="193"/>
      <c r="B42" s="193"/>
      <c r="C42" s="193" t="s">
        <v>129</v>
      </c>
      <c r="D42" s="193"/>
      <c r="E42" s="193"/>
      <c r="F42" s="205"/>
      <c r="G42" s="193"/>
      <c r="H42" s="207" t="n">
        <f aca="false">-H40/$F$38</f>
        <v>0.127914134796475</v>
      </c>
      <c r="I42" s="193"/>
      <c r="J42" s="207" t="n">
        <f aca="false">-J40/$F$38</f>
        <v>0.112164369148229</v>
      </c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3"/>
      <c r="AT42" s="193"/>
      <c r="AU42" s="193"/>
      <c r="AV42" s="193"/>
      <c r="AW42" s="193"/>
      <c r="AX42" s="193"/>
      <c r="AY42" s="193"/>
      <c r="AZ42" s="193"/>
      <c r="BA42" s="193"/>
      <c r="BB42" s="193"/>
      <c r="BC42" s="193"/>
      <c r="BD42" s="193"/>
      <c r="BE42" s="193"/>
      <c r="BF42" s="193"/>
      <c r="BG42" s="193"/>
      <c r="BH42" s="193"/>
      <c r="BI42" s="193"/>
      <c r="BJ42" s="193"/>
      <c r="BK42" s="193"/>
      <c r="BL42" s="193"/>
      <c r="BM42" s="193"/>
      <c r="BN42" s="193"/>
      <c r="BO42" s="193"/>
      <c r="BP42" s="193"/>
      <c r="BQ42" s="193"/>
      <c r="BR42" s="193"/>
      <c r="BS42" s="193"/>
      <c r="BT42" s="193"/>
      <c r="BU42" s="193"/>
      <c r="BV42" s="193"/>
      <c r="BW42" s="193"/>
      <c r="BX42" s="193"/>
      <c r="BY42" s="193"/>
      <c r="BZ42" s="193"/>
      <c r="CA42" s="193"/>
      <c r="CB42" s="193"/>
      <c r="CC42" s="193"/>
      <c r="CD42" s="193"/>
      <c r="CE42" s="193"/>
      <c r="CF42" s="193"/>
      <c r="CG42" s="193"/>
      <c r="CH42" s="193"/>
      <c r="CI42" s="193"/>
      <c r="CJ42" s="193"/>
      <c r="CK42" s="193"/>
      <c r="CL42" s="193"/>
      <c r="CM42" s="193"/>
      <c r="CN42" s="193"/>
      <c r="CO42" s="193"/>
      <c r="CP42" s="193"/>
      <c r="CQ42" s="193"/>
      <c r="CR42" s="193"/>
      <c r="CS42" s="193"/>
      <c r="CT42" s="193"/>
      <c r="CU42" s="193"/>
      <c r="CV42" s="193"/>
      <c r="CW42" s="193"/>
      <c r="CX42" s="193"/>
      <c r="CY42" s="193"/>
      <c r="CZ42" s="193"/>
      <c r="DA42" s="193"/>
      <c r="DB42" s="193"/>
      <c r="DC42" s="193"/>
      <c r="DD42" s="193"/>
      <c r="DE42" s="193"/>
      <c r="DF42" s="193"/>
      <c r="DG42" s="193"/>
      <c r="DH42" s="193"/>
      <c r="DI42" s="193"/>
      <c r="DJ42" s="193"/>
      <c r="DK42" s="193"/>
      <c r="DL42" s="193"/>
      <c r="DM42" s="193"/>
      <c r="DN42" s="193"/>
      <c r="DO42" s="193"/>
      <c r="DP42" s="193"/>
      <c r="DQ42" s="193"/>
      <c r="DR42" s="193"/>
      <c r="DS42" s="193"/>
      <c r="DT42" s="193"/>
      <c r="DU42" s="193"/>
      <c r="DV42" s="193"/>
      <c r="DW42" s="193"/>
      <c r="DX42" s="193"/>
      <c r="DY42" s="193"/>
      <c r="DZ42" s="193"/>
      <c r="EA42" s="193"/>
      <c r="EB42" s="193"/>
      <c r="EC42" s="193"/>
      <c r="ED42" s="193"/>
      <c r="EE42" s="193"/>
      <c r="EF42" s="193"/>
      <c r="EG42" s="193"/>
      <c r="EH42" s="193"/>
      <c r="EI42" s="193"/>
      <c r="EJ42" s="193"/>
      <c r="EK42" s="193"/>
      <c r="EL42" s="193"/>
      <c r="EM42" s="193"/>
      <c r="EN42" s="193"/>
      <c r="EO42" s="193"/>
      <c r="EP42" s="193"/>
      <c r="EQ42" s="193"/>
      <c r="ER42" s="193"/>
      <c r="ES42" s="193"/>
      <c r="ET42" s="193"/>
      <c r="EU42" s="193"/>
      <c r="EV42" s="193"/>
      <c r="EW42" s="193"/>
      <c r="EX42" s="193"/>
      <c r="EY42" s="193"/>
      <c r="EZ42" s="193"/>
      <c r="FA42" s="193"/>
      <c r="FB42" s="193"/>
      <c r="FC42" s="193"/>
      <c r="FD42" s="193"/>
      <c r="FE42" s="193"/>
      <c r="FF42" s="193"/>
      <c r="FG42" s="193"/>
      <c r="FH42" s="193"/>
      <c r="FI42" s="193"/>
      <c r="FJ42" s="193"/>
      <c r="FK42" s="193"/>
      <c r="FL42" s="193"/>
      <c r="FM42" s="193"/>
      <c r="FN42" s="193"/>
      <c r="FO42" s="193"/>
      <c r="FP42" s="193"/>
      <c r="FQ42" s="193"/>
      <c r="FR42" s="193"/>
      <c r="FS42" s="193"/>
      <c r="FT42" s="193"/>
      <c r="FU42" s="193"/>
      <c r="FV42" s="193"/>
      <c r="FW42" s="193"/>
      <c r="FX42" s="193"/>
      <c r="FY42" s="193"/>
      <c r="FZ42" s="193"/>
      <c r="GA42" s="193"/>
      <c r="GB42" s="193"/>
      <c r="GC42" s="193"/>
      <c r="GD42" s="193"/>
      <c r="GE42" s="193"/>
      <c r="GF42" s="193"/>
      <c r="GG42" s="193"/>
      <c r="GH42" s="193"/>
      <c r="GI42" s="193"/>
      <c r="GJ42" s="193"/>
      <c r="GK42" s="193"/>
      <c r="GL42" s="193"/>
      <c r="GM42" s="193"/>
      <c r="GN42" s="193"/>
      <c r="GO42" s="193"/>
      <c r="GP42" s="193"/>
      <c r="GQ42" s="193"/>
      <c r="GR42" s="193"/>
      <c r="GS42" s="193"/>
      <c r="GT42" s="193"/>
      <c r="GU42" s="193"/>
      <c r="GV42" s="193"/>
      <c r="GW42" s="193"/>
      <c r="GX42" s="193"/>
      <c r="GY42" s="193"/>
      <c r="GZ42" s="193"/>
      <c r="HA42" s="193"/>
      <c r="HB42" s="193"/>
      <c r="HC42" s="193"/>
      <c r="HD42" s="193"/>
      <c r="HE42" s="193"/>
      <c r="HF42" s="193"/>
      <c r="HG42" s="193"/>
      <c r="HH42" s="193"/>
      <c r="HI42" s="193"/>
      <c r="HJ42" s="193"/>
      <c r="HK42" s="193"/>
      <c r="HL42" s="193"/>
      <c r="HM42" s="193"/>
      <c r="HN42" s="193"/>
      <c r="HO42" s="193"/>
      <c r="HP42" s="193"/>
      <c r="HQ42" s="193"/>
      <c r="HR42" s="193"/>
      <c r="HS42" s="193"/>
      <c r="HT42" s="193"/>
      <c r="HU42" s="193"/>
      <c r="HV42" s="193"/>
      <c r="HW42" s="193"/>
      <c r="HX42" s="193"/>
      <c r="HY42" s="193"/>
      <c r="HZ42" s="193"/>
      <c r="IA42" s="193"/>
      <c r="IB42" s="193"/>
      <c r="IC42" s="193"/>
      <c r="ID42" s="193"/>
      <c r="IE42" s="193"/>
      <c r="IF42" s="193"/>
      <c r="IG42" s="193"/>
      <c r="IH42" s="193"/>
      <c r="II42" s="193"/>
      <c r="IJ42" s="193"/>
      <c r="IK42" s="193"/>
      <c r="IL42" s="193"/>
      <c r="IM42" s="193"/>
      <c r="IN42" s="193"/>
      <c r="IO42" s="193"/>
      <c r="IP42" s="193"/>
      <c r="IQ42" s="193"/>
      <c r="IR42" s="193"/>
      <c r="IS42" s="193"/>
      <c r="IT42" s="193"/>
      <c r="IU42" s="193"/>
      <c r="IV42" s="193"/>
      <c r="IW42" s="193"/>
    </row>
  </sheetData>
  <mergeCells count="6">
    <mergeCell ref="A1:K1"/>
    <mergeCell ref="A2:K2"/>
    <mergeCell ref="A3:K3"/>
    <mergeCell ref="A5:K5"/>
    <mergeCell ref="A7:K7"/>
    <mergeCell ref="A16:K16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&amp;L&amp;F, &amp;A&amp;R&amp;D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4" activeCellId="0" sqref="F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71"/>
    <col collapsed="false" customWidth="true" hidden="false" outlineLevel="0" max="2" min="2" style="1" width="8.85"/>
    <col collapsed="false" customWidth="true" hidden="false" outlineLevel="0" max="3" min="3" style="1" width="7.7"/>
    <col collapsed="false" customWidth="true" hidden="false" outlineLevel="0" max="4" min="4" style="1" width="12.28"/>
    <col collapsed="false" customWidth="true" hidden="false" outlineLevel="0" max="5" min="5" style="1" width="7.7"/>
    <col collapsed="false" customWidth="true" hidden="false" outlineLevel="0" max="7" min="6" style="1" width="12.28"/>
    <col collapsed="false" customWidth="true" hidden="false" outlineLevel="0" max="8" min="8" style="1" width="7.7"/>
    <col collapsed="false" customWidth="true" hidden="false" outlineLevel="0" max="9" min="9" style="1" width="12.28"/>
    <col collapsed="false" customWidth="true" hidden="false" outlineLevel="0" max="10" min="10" style="1" width="11.28"/>
    <col collapsed="false" customWidth="false" hidden="false" outlineLevel="0" max="257" min="11" style="1" width="9.14"/>
  </cols>
  <sheetData>
    <row r="1" customFormat="false" ht="22.5" hidden="false" customHeight="false" outlineLevel="0" collapsed="false">
      <c r="A1" s="2" t="s">
        <v>130</v>
      </c>
      <c r="B1" s="2"/>
      <c r="C1" s="2"/>
      <c r="D1" s="2"/>
      <c r="E1" s="2"/>
      <c r="F1" s="2"/>
      <c r="G1" s="2"/>
      <c r="H1" s="2"/>
      <c r="I1" s="2"/>
      <c r="J1" s="2"/>
    </row>
    <row r="2" customFormat="false" ht="12.75" hidden="false" customHeight="false" outlineLevel="0" collapsed="false">
      <c r="A2" s="208" t="s">
        <v>131</v>
      </c>
      <c r="B2" s="208"/>
      <c r="C2" s="208"/>
      <c r="D2" s="208"/>
      <c r="E2" s="208"/>
      <c r="F2" s="208"/>
      <c r="G2" s="208"/>
      <c r="H2" s="208"/>
      <c r="I2" s="208"/>
      <c r="J2" s="208"/>
    </row>
    <row r="4" customFormat="false" ht="13.5" hidden="false" customHeight="false" outlineLevel="0" collapsed="false"/>
    <row r="5" customFormat="false" ht="12.75" hidden="false" customHeight="false" outlineLevel="0" collapsed="false">
      <c r="C5" s="209"/>
      <c r="D5" s="173"/>
      <c r="E5" s="173"/>
      <c r="F5" s="173"/>
      <c r="G5" s="173"/>
      <c r="H5" s="210"/>
    </row>
    <row r="6" customFormat="false" ht="12.75" hidden="false" customHeight="false" outlineLevel="0" collapsed="false">
      <c r="C6" s="211"/>
      <c r="D6" s="22" t="s">
        <v>40</v>
      </c>
      <c r="E6" s="6"/>
      <c r="F6" s="6"/>
      <c r="G6" s="212" t="n">
        <v>0.0912547011851398</v>
      </c>
      <c r="H6" s="213"/>
    </row>
    <row r="7" customFormat="false" ht="12.75" hidden="false" customHeight="false" outlineLevel="0" collapsed="false">
      <c r="C7" s="211"/>
      <c r="D7" s="23"/>
      <c r="E7" s="6"/>
      <c r="F7" s="6"/>
      <c r="G7" s="6"/>
      <c r="H7" s="213"/>
    </row>
    <row r="8" customFormat="false" ht="15" hidden="false" customHeight="false" outlineLevel="0" collapsed="false">
      <c r="C8" s="211"/>
      <c r="D8" s="6"/>
      <c r="E8" s="6"/>
      <c r="F8" s="6"/>
      <c r="G8" s="48" t="s">
        <v>132</v>
      </c>
      <c r="H8" s="213"/>
    </row>
    <row r="9" customFormat="false" ht="12.75" hidden="false" customHeight="false" outlineLevel="0" collapsed="false">
      <c r="C9" s="211"/>
      <c r="D9" s="22"/>
      <c r="E9" s="6"/>
      <c r="F9" s="6"/>
      <c r="G9" s="214"/>
      <c r="H9" s="213"/>
    </row>
    <row r="10" customFormat="false" ht="12.75" hidden="false" customHeight="false" outlineLevel="0" collapsed="false">
      <c r="C10" s="211"/>
      <c r="D10" s="22" t="s">
        <v>133</v>
      </c>
      <c r="E10" s="6"/>
      <c r="F10" s="6"/>
      <c r="G10" s="214" t="n">
        <f aca="false">NPV($G$6,D24:D37)</f>
        <v>534342514.476041</v>
      </c>
      <c r="H10" s="213"/>
    </row>
    <row r="11" customFormat="false" ht="12.75" hidden="false" customHeight="false" outlineLevel="0" collapsed="false">
      <c r="C11" s="211"/>
      <c r="D11" s="22" t="s">
        <v>134</v>
      </c>
      <c r="E11" s="6"/>
      <c r="F11" s="6"/>
      <c r="G11" s="215" t="n">
        <f aca="false">NPV($G$6,F24:F37)</f>
        <v>179481356.537344</v>
      </c>
      <c r="H11" s="213"/>
    </row>
    <row r="12" customFormat="false" ht="12.75" hidden="false" customHeight="false" outlineLevel="0" collapsed="false">
      <c r="C12" s="211"/>
      <c r="D12" s="22" t="s">
        <v>135</v>
      </c>
      <c r="E12" s="6"/>
      <c r="F12" s="6"/>
      <c r="G12" s="214" t="n">
        <f aca="false">+G10-G11</f>
        <v>354861157.938696</v>
      </c>
      <c r="H12" s="213"/>
    </row>
    <row r="13" customFormat="false" ht="12.75" hidden="false" customHeight="false" outlineLevel="0" collapsed="false">
      <c r="C13" s="211"/>
      <c r="D13" s="22"/>
      <c r="E13" s="6"/>
      <c r="F13" s="6"/>
      <c r="G13" s="214"/>
      <c r="H13" s="213"/>
    </row>
    <row r="14" customFormat="false" ht="12.75" hidden="false" customHeight="false" outlineLevel="0" collapsed="false">
      <c r="C14" s="211"/>
      <c r="D14" s="22" t="s">
        <v>133</v>
      </c>
      <c r="E14" s="6"/>
      <c r="F14" s="6"/>
      <c r="G14" s="214" t="n">
        <f aca="false">+G10</f>
        <v>534342514.476041</v>
      </c>
      <c r="H14" s="213"/>
    </row>
    <row r="15" customFormat="false" ht="12.75" hidden="false" customHeight="false" outlineLevel="0" collapsed="false">
      <c r="C15" s="211"/>
      <c r="D15" s="22" t="s">
        <v>136</v>
      </c>
      <c r="E15" s="6"/>
      <c r="F15" s="6"/>
      <c r="G15" s="215" t="n">
        <f aca="false">NPV($G$6,I24:I37)</f>
        <v>494342514.475425</v>
      </c>
      <c r="H15" s="213"/>
    </row>
    <row r="16" customFormat="false" ht="12.75" hidden="false" customHeight="false" outlineLevel="0" collapsed="false">
      <c r="C16" s="211"/>
      <c r="D16" s="22" t="s">
        <v>137</v>
      </c>
      <c r="E16" s="6"/>
      <c r="F16" s="6"/>
      <c r="G16" s="214" t="n">
        <f aca="false">+G14-G15</f>
        <v>40000000.0006155</v>
      </c>
      <c r="H16" s="213"/>
    </row>
    <row r="17" customFormat="false" ht="12.75" hidden="false" customHeight="false" outlineLevel="0" collapsed="false">
      <c r="C17" s="211"/>
      <c r="D17" s="22"/>
      <c r="E17" s="6"/>
      <c r="F17" s="6"/>
      <c r="G17" s="214"/>
      <c r="H17" s="213"/>
    </row>
    <row r="18" customFormat="false" ht="12.75" hidden="false" customHeight="false" outlineLevel="0" collapsed="false">
      <c r="C18" s="211"/>
      <c r="D18" s="22" t="s">
        <v>138</v>
      </c>
      <c r="E18" s="6"/>
      <c r="F18" s="6"/>
      <c r="G18" s="216" t="n">
        <f aca="false">+G16/G10</f>
        <v>0.0748583519315102</v>
      </c>
      <c r="H18" s="213"/>
    </row>
    <row r="19" customFormat="false" ht="12.75" hidden="false" customHeight="false" outlineLevel="0" collapsed="false">
      <c r="C19" s="211"/>
      <c r="D19" s="22" t="s">
        <v>139</v>
      </c>
      <c r="E19" s="6"/>
      <c r="F19" s="6"/>
      <c r="G19" s="216" t="n">
        <f aca="false">+G16/G12</f>
        <v>0.112720141682922</v>
      </c>
      <c r="H19" s="213"/>
    </row>
    <row r="20" customFormat="false" ht="13.5" hidden="false" customHeight="false" outlineLevel="0" collapsed="false">
      <c r="C20" s="217"/>
      <c r="D20" s="218"/>
      <c r="E20" s="175"/>
      <c r="F20" s="175"/>
      <c r="G20" s="219"/>
      <c r="H20" s="220"/>
    </row>
    <row r="21" customFormat="false" ht="12.75" hidden="false" customHeight="false" outlineLevel="0" collapsed="false">
      <c r="D21" s="22"/>
      <c r="G21" s="216"/>
    </row>
    <row r="22" customFormat="false" ht="12.75" hidden="false" customHeight="false" outlineLevel="0" collapsed="false">
      <c r="G22" s="216"/>
    </row>
    <row r="23" customFormat="false" ht="12.75" hidden="false" customHeight="false" outlineLevel="0" collapsed="false">
      <c r="A23" s="17" t="s">
        <v>140</v>
      </c>
      <c r="B23" s="17" t="s">
        <v>141</v>
      </c>
      <c r="C23" s="17" t="s">
        <v>133</v>
      </c>
      <c r="D23" s="17"/>
      <c r="E23" s="17" t="s">
        <v>134</v>
      </c>
      <c r="F23" s="17"/>
      <c r="G23" s="17" t="s">
        <v>142</v>
      </c>
      <c r="H23" s="17" t="s">
        <v>136</v>
      </c>
      <c r="I23" s="17"/>
      <c r="J23" s="17" t="s">
        <v>143</v>
      </c>
    </row>
    <row r="24" customFormat="false" ht="12.75" hidden="false" customHeight="false" outlineLevel="0" collapsed="false">
      <c r="A24" s="221" t="n">
        <v>2000</v>
      </c>
      <c r="B24" s="222" t="n">
        <v>788954</v>
      </c>
      <c r="C24" s="223" t="n">
        <v>76.48</v>
      </c>
      <c r="D24" s="224" t="n">
        <f aca="false">+B24*C24</f>
        <v>60339201.92</v>
      </c>
      <c r="E24" s="223" t="n">
        <v>23.03</v>
      </c>
      <c r="F24" s="224" t="n">
        <f aca="false">+B24*E24</f>
        <v>18169610.62</v>
      </c>
      <c r="G24" s="225" t="n">
        <f aca="false">+D24-F24</f>
        <v>42169591.3</v>
      </c>
      <c r="H24" s="223" t="n">
        <v>70.74</v>
      </c>
      <c r="I24" s="224" t="n">
        <f aca="false">+B24*H24</f>
        <v>55810605.96</v>
      </c>
      <c r="J24" s="226" t="n">
        <f aca="false">+D24-I24</f>
        <v>4528595.96000001</v>
      </c>
    </row>
    <row r="25" customFormat="false" ht="12.75" hidden="false" customHeight="false" outlineLevel="0" collapsed="false">
      <c r="A25" s="36" t="n">
        <f aca="false">+A24+1</f>
        <v>2001</v>
      </c>
      <c r="B25" s="227" t="n">
        <v>788954</v>
      </c>
      <c r="C25" s="228" t="n">
        <v>78.03</v>
      </c>
      <c r="D25" s="229" t="n">
        <f aca="false">+B25*C25</f>
        <v>61562080.62</v>
      </c>
      <c r="E25" s="228" t="n">
        <v>29.71</v>
      </c>
      <c r="F25" s="229" t="n">
        <f aca="false">+B25*E25</f>
        <v>23439823.34</v>
      </c>
      <c r="G25" s="230" t="n">
        <f aca="false">+D25-F25</f>
        <v>38122257.28</v>
      </c>
      <c r="H25" s="228" t="n">
        <v>72.17</v>
      </c>
      <c r="I25" s="229" t="n">
        <f aca="false">+B25*H25</f>
        <v>56938810.18</v>
      </c>
      <c r="J25" s="39" t="n">
        <f aca="false">+D25-I25</f>
        <v>4623270.44</v>
      </c>
    </row>
    <row r="26" customFormat="false" ht="12.75" hidden="false" customHeight="false" outlineLevel="0" collapsed="false">
      <c r="A26" s="36" t="n">
        <f aca="false">+A25+1</f>
        <v>2002</v>
      </c>
      <c r="B26" s="227" t="n">
        <v>788954</v>
      </c>
      <c r="C26" s="228" t="n">
        <v>79.5</v>
      </c>
      <c r="D26" s="229" t="n">
        <f aca="false">+B26*C26</f>
        <v>62721843</v>
      </c>
      <c r="E26" s="228" t="n">
        <v>29.7</v>
      </c>
      <c r="F26" s="229" t="n">
        <f aca="false">+B26*E26</f>
        <v>23431933.8</v>
      </c>
      <c r="G26" s="230" t="n">
        <f aca="false">+D26-F26</f>
        <v>39289909.2</v>
      </c>
      <c r="H26" s="228" t="n">
        <v>73.53</v>
      </c>
      <c r="I26" s="229" t="n">
        <f aca="false">+B26*H26</f>
        <v>58011787.62</v>
      </c>
      <c r="J26" s="39" t="n">
        <f aca="false">+D26-I26</f>
        <v>4710055.38</v>
      </c>
    </row>
    <row r="27" customFormat="false" ht="12.75" hidden="false" customHeight="false" outlineLevel="0" collapsed="false">
      <c r="A27" s="36" t="n">
        <f aca="false">+A26+1</f>
        <v>2003</v>
      </c>
      <c r="B27" s="227" t="n">
        <v>811229</v>
      </c>
      <c r="C27" s="228" t="n">
        <v>80.69</v>
      </c>
      <c r="D27" s="229" t="n">
        <f aca="false">+B27*C27</f>
        <v>65458068.01</v>
      </c>
      <c r="E27" s="228" t="n">
        <v>28.56</v>
      </c>
      <c r="F27" s="229" t="n">
        <f aca="false">+B27*E27</f>
        <v>23168700.24</v>
      </c>
      <c r="G27" s="230" t="n">
        <f aca="false">+D27-F27</f>
        <v>42289367.77</v>
      </c>
      <c r="H27" s="228" t="n">
        <v>74.64</v>
      </c>
      <c r="I27" s="229" t="n">
        <f aca="false">+B27*H27</f>
        <v>60550132.56</v>
      </c>
      <c r="J27" s="39" t="n">
        <f aca="false">+D27-I27</f>
        <v>4907935.45</v>
      </c>
    </row>
    <row r="28" customFormat="false" ht="12.75" hidden="false" customHeight="false" outlineLevel="0" collapsed="false">
      <c r="A28" s="36" t="n">
        <f aca="false">+A27+1</f>
        <v>2004</v>
      </c>
      <c r="B28" s="227" t="n">
        <v>855779</v>
      </c>
      <c r="C28" s="228" t="n">
        <v>81.56</v>
      </c>
      <c r="D28" s="229" t="n">
        <f aca="false">+B28*C28</f>
        <v>69797335.24</v>
      </c>
      <c r="E28" s="228" t="n">
        <v>27.94</v>
      </c>
      <c r="F28" s="229" t="n">
        <f aca="false">+B28*E28</f>
        <v>23910465.26</v>
      </c>
      <c r="G28" s="230" t="n">
        <f aca="false">+D28-F28</f>
        <v>45886869.98</v>
      </c>
      <c r="H28" s="228" t="n">
        <v>75.44</v>
      </c>
      <c r="I28" s="229" t="n">
        <f aca="false">+B28*H28</f>
        <v>64559967.76</v>
      </c>
      <c r="J28" s="39" t="n">
        <f aca="false">+D28-I28</f>
        <v>5237367.48</v>
      </c>
    </row>
    <row r="29" customFormat="false" ht="12.75" hidden="false" customHeight="false" outlineLevel="0" collapsed="false">
      <c r="A29" s="36" t="n">
        <f aca="false">+A28+1</f>
        <v>2005</v>
      </c>
      <c r="B29" s="227" t="n">
        <v>855779</v>
      </c>
      <c r="C29" s="228" t="n">
        <v>83.2</v>
      </c>
      <c r="D29" s="229" t="n">
        <f aca="false">+B29*C29</f>
        <v>71200812.8</v>
      </c>
      <c r="E29" s="228" t="n">
        <v>28.07</v>
      </c>
      <c r="F29" s="229" t="n">
        <f aca="false">+B29*E29</f>
        <v>24021716.53</v>
      </c>
      <c r="G29" s="230" t="n">
        <f aca="false">+D29-F29</f>
        <v>47179096.27</v>
      </c>
      <c r="H29" s="228" t="n">
        <v>76.96</v>
      </c>
      <c r="I29" s="229" t="n">
        <f aca="false">+B29*H29</f>
        <v>65860751.84</v>
      </c>
      <c r="J29" s="39" t="n">
        <f aca="false">+D29-I29</f>
        <v>5340060.96</v>
      </c>
    </row>
    <row r="30" customFormat="false" ht="12.75" hidden="false" customHeight="false" outlineLevel="0" collapsed="false">
      <c r="A30" s="36" t="n">
        <f aca="false">+A29+1</f>
        <v>2006</v>
      </c>
      <c r="B30" s="227" t="n">
        <v>855779</v>
      </c>
      <c r="C30" s="228" t="n">
        <v>85.13</v>
      </c>
      <c r="D30" s="229" t="n">
        <f aca="false">+B30*C30</f>
        <v>72852466.27</v>
      </c>
      <c r="E30" s="228" t="n">
        <v>28.26</v>
      </c>
      <c r="F30" s="229" t="n">
        <f aca="false">+B30*E30</f>
        <v>24184314.54</v>
      </c>
      <c r="G30" s="230" t="n">
        <f aca="false">+D30-F30</f>
        <v>48668151.73</v>
      </c>
      <c r="H30" s="228" t="n">
        <v>78.74</v>
      </c>
      <c r="I30" s="229" t="n">
        <f aca="false">+B30*H30</f>
        <v>67384038.46</v>
      </c>
      <c r="J30" s="39" t="n">
        <f aca="false">+D30-I30</f>
        <v>5468427.81</v>
      </c>
    </row>
    <row r="31" customFormat="false" ht="12.75" hidden="false" customHeight="false" outlineLevel="0" collapsed="false">
      <c r="A31" s="36" t="n">
        <f aca="false">+A30+1</f>
        <v>2007</v>
      </c>
      <c r="B31" s="227" t="n">
        <v>855779</v>
      </c>
      <c r="C31" s="228" t="n">
        <v>86.86</v>
      </c>
      <c r="D31" s="229" t="n">
        <f aca="false">+B31*C31</f>
        <v>74332963.94</v>
      </c>
      <c r="E31" s="228" t="n">
        <v>28.26</v>
      </c>
      <c r="F31" s="229" t="n">
        <f aca="false">+B31*E31</f>
        <v>24184314.54</v>
      </c>
      <c r="G31" s="230" t="n">
        <f aca="false">+D31-F31</f>
        <v>50148649.4</v>
      </c>
      <c r="H31" s="228" t="n">
        <v>80.34</v>
      </c>
      <c r="I31" s="229" t="n">
        <f aca="false">+B31*H31</f>
        <v>68753284.86</v>
      </c>
      <c r="J31" s="39" t="n">
        <f aca="false">+D31-I31</f>
        <v>5579679.08</v>
      </c>
    </row>
    <row r="32" customFormat="false" ht="12.75" hidden="false" customHeight="false" outlineLevel="0" collapsed="false">
      <c r="A32" s="36" t="n">
        <f aca="false">+A31+1</f>
        <v>2008</v>
      </c>
      <c r="B32" s="227" t="n">
        <v>855779</v>
      </c>
      <c r="C32" s="228" t="n">
        <v>88.79</v>
      </c>
      <c r="D32" s="229" t="n">
        <f aca="false">+B32*C32</f>
        <v>75984617.41</v>
      </c>
      <c r="E32" s="228" t="n">
        <v>28.8</v>
      </c>
      <c r="F32" s="229" t="n">
        <f aca="false">+B32*E32</f>
        <v>24646435.2</v>
      </c>
      <c r="G32" s="230" t="n">
        <f aca="false">+D32-F32</f>
        <v>51338182.21</v>
      </c>
      <c r="H32" s="228" t="n">
        <v>82.13</v>
      </c>
      <c r="I32" s="229" t="n">
        <f aca="false">+B32*H32</f>
        <v>70285129.27</v>
      </c>
      <c r="J32" s="39" t="n">
        <f aca="false">+D32-I32</f>
        <v>5699488.14000002</v>
      </c>
    </row>
    <row r="33" customFormat="false" ht="12.75" hidden="false" customHeight="false" outlineLevel="0" collapsed="false">
      <c r="A33" s="36" t="n">
        <f aca="false">+A32+1</f>
        <v>2009</v>
      </c>
      <c r="B33" s="227" t="n">
        <v>855779</v>
      </c>
      <c r="C33" s="228" t="n">
        <v>90.69</v>
      </c>
      <c r="D33" s="229" t="n">
        <f aca="false">+B33*C33</f>
        <v>77610597.51</v>
      </c>
      <c r="E33" s="228" t="n">
        <v>29.08</v>
      </c>
      <c r="F33" s="229" t="n">
        <f aca="false">+B33*E33</f>
        <v>24886053.32</v>
      </c>
      <c r="G33" s="230" t="n">
        <f aca="false">+D33-F33</f>
        <v>52724544.19</v>
      </c>
      <c r="H33" s="228" t="n">
        <v>83.88</v>
      </c>
      <c r="I33" s="229" t="n">
        <f aca="false">+B33*H33</f>
        <v>71782742.52</v>
      </c>
      <c r="J33" s="39" t="n">
        <f aca="false">+D33-I33</f>
        <v>5827854.99000001</v>
      </c>
    </row>
    <row r="34" customFormat="false" ht="12.75" hidden="false" customHeight="false" outlineLevel="0" collapsed="false">
      <c r="A34" s="36" t="n">
        <f aca="false">+A33+1</f>
        <v>2010</v>
      </c>
      <c r="B34" s="227" t="n">
        <v>855779</v>
      </c>
      <c r="C34" s="228" t="n">
        <v>92.71</v>
      </c>
      <c r="D34" s="229" t="n">
        <f aca="false">+B34*C34</f>
        <v>79339271.09</v>
      </c>
      <c r="E34" s="228" t="n">
        <v>29.36</v>
      </c>
      <c r="F34" s="229" t="n">
        <f aca="false">+B34*E34</f>
        <v>25125671.44</v>
      </c>
      <c r="G34" s="230" t="n">
        <f aca="false">+D34-F34</f>
        <v>54213599.65</v>
      </c>
      <c r="H34" s="228" t="n">
        <v>85.76</v>
      </c>
      <c r="I34" s="229" t="n">
        <f aca="false">+B34*H34</f>
        <v>73391607.04</v>
      </c>
      <c r="J34" s="39" t="n">
        <f aca="false">+D34-I34</f>
        <v>5947664.04999998</v>
      </c>
    </row>
    <row r="35" customFormat="false" ht="12.75" hidden="false" customHeight="false" outlineLevel="0" collapsed="false">
      <c r="A35" s="36" t="n">
        <f aca="false">+A34+1</f>
        <v>2011</v>
      </c>
      <c r="B35" s="227" t="n">
        <v>855779</v>
      </c>
      <c r="C35" s="228" t="n">
        <v>94.78</v>
      </c>
      <c r="D35" s="229" t="n">
        <f aca="false">+B35*C35</f>
        <v>81110733.62</v>
      </c>
      <c r="E35" s="228" t="n">
        <v>29.64</v>
      </c>
      <c r="F35" s="229" t="n">
        <f aca="false">+B35*E35</f>
        <v>25365289.56</v>
      </c>
      <c r="G35" s="230" t="n">
        <f aca="false">+D35-F35</f>
        <v>55745444.06</v>
      </c>
      <c r="H35" s="228" t="n">
        <v>87.67</v>
      </c>
      <c r="I35" s="229" t="n">
        <f aca="false">+B35*H35</f>
        <v>75026144.93</v>
      </c>
      <c r="J35" s="39" t="n">
        <f aca="false">+D35-I35</f>
        <v>6084588.69</v>
      </c>
    </row>
    <row r="36" customFormat="false" ht="12.75" hidden="false" customHeight="false" outlineLevel="0" collapsed="false">
      <c r="A36" s="36" t="n">
        <f aca="false">+A35+1</f>
        <v>2012</v>
      </c>
      <c r="B36" s="227" t="n">
        <v>855779</v>
      </c>
      <c r="C36" s="228" t="n">
        <v>96.9</v>
      </c>
      <c r="D36" s="229" t="n">
        <f aca="false">+B36*C36</f>
        <v>82924985.1</v>
      </c>
      <c r="E36" s="228" t="n">
        <v>29.64</v>
      </c>
      <c r="F36" s="229" t="n">
        <f aca="false">+B36*E36</f>
        <v>25365289.56</v>
      </c>
      <c r="G36" s="230" t="n">
        <f aca="false">+D36-F36</f>
        <v>57559695.54</v>
      </c>
      <c r="H36" s="228" t="n">
        <v>89.63</v>
      </c>
      <c r="I36" s="229" t="n">
        <f aca="false">+B36*H36</f>
        <v>76703471.77</v>
      </c>
      <c r="J36" s="39" t="n">
        <f aca="false">+D36-I36</f>
        <v>6221513.33000001</v>
      </c>
    </row>
    <row r="37" customFormat="false" ht="12.75" hidden="false" customHeight="false" outlineLevel="0" collapsed="false">
      <c r="A37" s="231" t="n">
        <f aca="false">+A36+1</f>
        <v>2013</v>
      </c>
      <c r="B37" s="232" t="n">
        <v>570519</v>
      </c>
      <c r="C37" s="233" t="n">
        <v>99.3</v>
      </c>
      <c r="D37" s="234" t="n">
        <f aca="false">+B37*C37</f>
        <v>56652536.7</v>
      </c>
      <c r="E37" s="233" t="n">
        <v>33.75</v>
      </c>
      <c r="F37" s="234" t="n">
        <f aca="false">+B37*E37</f>
        <v>19255016.25</v>
      </c>
      <c r="G37" s="235" t="n">
        <f aca="false">+D37-F37</f>
        <v>37397520.45</v>
      </c>
      <c r="H37" s="233" t="n">
        <v>92.43</v>
      </c>
      <c r="I37" s="234" t="n">
        <f aca="false">+B37*H37</f>
        <v>52733071.17</v>
      </c>
      <c r="J37" s="236" t="n">
        <f aca="false">+D37-I37</f>
        <v>3919465.52999999</v>
      </c>
    </row>
    <row r="42" customFormat="false" ht="12.75" hidden="false" customHeight="false" outlineLevel="0" collapsed="false">
      <c r="A42" s="1" t="s">
        <v>144</v>
      </c>
    </row>
  </sheetData>
  <mergeCells count="5">
    <mergeCell ref="A1:J1"/>
    <mergeCell ref="A2:J2"/>
    <mergeCell ref="C23:D23"/>
    <mergeCell ref="E23:F23"/>
    <mergeCell ref="H23:I23"/>
  </mergeCells>
  <printOptions headings="false" gridLines="false" gridLinesSet="true" horizontalCentered="tru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2000-06-02T20:03:54Z</dcterms:created>
  <dc:creator>clandry</dc:creator>
  <dc:description/>
  <dc:language>en-US</dc:language>
  <cp:lastModifiedBy>Rick Hill</cp:lastModifiedBy>
  <cp:lastPrinted>2000-11-14T23:25:02Z</cp:lastPrinted>
  <cp:revision>0</cp:revision>
  <dc:subject/>
  <dc:title/>
</cp:coreProperties>
</file>