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xas - Trading" sheetId="1" state="visible" r:id="rId3"/>
    <sheet name="Texas - Trading w-o AA" sheetId="2" state="visible" r:id="rId4"/>
    <sheet name="Texas - Trading AA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'Texas - Trading'!$B$1:$L$34</definedName>
    <definedName function="false" hidden="false" localSheetId="2" name="_xlnm.Print_Area" vbProcedure="false">'Texas - Trading AA'!$B$1:$L$34</definedName>
    <definedName function="false" hidden="false" localSheetId="1" name="_xlnm.Print_Area" vbProcedure="false">'Texas - Trading w-o AA'!$B$1:$L$34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<sst xmlns="http://schemas.openxmlformats.org/spreadsheetml/2006/main" count="249" uniqueCount="75">
  <si>
    <t xml:space="preserve">Texas - Trading</t>
  </si>
  <si>
    <t xml:space="preserve">2002 Plan</t>
  </si>
  <si>
    <t xml:space="preserve">Per HC</t>
  </si>
  <si>
    <t xml:space="preserve">New HC</t>
  </si>
  <si>
    <t xml:space="preserve">Adjust Comp</t>
  </si>
  <si>
    <t xml:space="preserve">Revised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</si>
  <si>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</si>
  <si>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</si>
  <si>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</si>
  <si>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</si>
  <si>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</si>
  <si>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</si>
  <si>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</si>
  <si>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</si>
  <si>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</si>
  <si>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</si>
  <si>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</si>
  <si>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Bass, Eric P</t>
  </si>
  <si>
    <t xml:space="preserve">ASSOCIATE</t>
  </si>
  <si>
    <t xml:space="preserve">ENA NG TEXAS REGION G&amp;A</t>
  </si>
  <si>
    <t xml:space="preserve">ENABENTX</t>
  </si>
  <si>
    <t xml:space="preserve">Benefits &amp; Payroll Taxes</t>
  </si>
  <si>
    <t xml:space="preserve">Other</t>
  </si>
  <si>
    <t xml:space="preserve">Weldon, V. Charles </t>
  </si>
  <si>
    <t xml:space="preserve">ENAEMPEX</t>
  </si>
  <si>
    <t xml:space="preserve">Employee Expense</t>
  </si>
  <si>
    <t xml:space="preserve">Martin, Thomas A</t>
  </si>
  <si>
    <t xml:space="preserve">VICE PRESIDENT</t>
  </si>
  <si>
    <t xml:space="preserve">ENAT&amp;EEX</t>
  </si>
  <si>
    <t xml:space="preserve">Travel &amp; Entertainment Expense</t>
  </si>
  <si>
    <t xml:space="preserve">Total</t>
  </si>
  <si>
    <t xml:space="preserve">Schwieger, James E</t>
  </si>
  <si>
    <t xml:space="preserve">ENAOUTSV</t>
  </si>
  <si>
    <t xml:space="preserve">Outside Services</t>
  </si>
  <si>
    <t xml:space="preserve">Baumbach, David R</t>
  </si>
  <si>
    <t xml:space="preserve">MANAGER</t>
  </si>
  <si>
    <t xml:space="preserve">ENW-ENERGY OPS TEXAS RISK MGMT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</si>
  <si>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</si>
  <si>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</si>
  <si>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</si>
  <si>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</si>
  <si>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</si>
  <si>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</si>
  <si>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</si>
  <si>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</si>
  <si>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</si>
  <si>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</si>
  <si>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</si>
  <si>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</si>
  <si>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</si>
  <si>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</si>
  <si>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</si>
  <si>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</si>
  <si>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</si>
  <si>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</si>
  <si>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</si>
  <si>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</si>
  <si>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</si>
  <si>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</si>
  <si>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</si>
  <si>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</si>
  <si>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</si>
  <si>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</si>
  <si>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</si>
  <si>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Headcount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</si>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</sst>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  <numFmt numFmtId="168" formatCode="[$-409]mmm\-yy"/>
    <numFmt numFmtId="169" formatCode="@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sz val="9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SAPLocked" xfId="21"/>
    <cellStyle name="SAPOutput" xfId="22"/>
    <cellStyle name="SAPUnLocked" xfId="23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TEAMRPT/Expense%20Project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AES/TEAMRPT/Expense%20Project/Natural%20Gas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7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false" outlineLevel="0" max="15" min="14" style="0" width="9.85"/>
    <col collapsed="false" customWidth="true" hidden="false" outlineLevel="0" max="16" min="16" style="0" width="16.84"/>
    <col collapsed="false" customWidth="true" hidden="false" outlineLevel="0" max="17" min="17" style="0" width="17.7"/>
    <col collapsed="false" customWidth="true" hidden="false" outlineLevel="0" max="18" min="18" style="0" width="10.28"/>
    <col collapsed="false" customWidth="true" hidden="false" outlineLevel="0" max="19" min="19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  <c r="N5" s="12" t="s">
        <v>5</v>
      </c>
    </row>
    <row r="6" customFormat="false" ht="12.75" hidden="false" customHeight="false" outlineLevel="0" collapsed="false">
      <c r="C6" s="12" t="n">
        <v>37135</v>
      </c>
      <c r="E6" s="12" t="s">
        <v>6</v>
      </c>
      <c r="G6" s="12" t="s">
        <v>7</v>
      </c>
      <c r="H6" s="12" t="s">
        <v>8</v>
      </c>
      <c r="I6" s="10"/>
      <c r="L6" s="11"/>
      <c r="N6" s="12" t="s">
        <v>8</v>
      </c>
      <c r="S6" s="12"/>
    </row>
    <row r="7" customFormat="false" ht="12.75" hidden="false" customHeight="false" outlineLevel="0" collapsed="false">
      <c r="C7" s="13" t="s">
        <v>9</v>
      </c>
      <c r="E7" s="13" t="s">
        <v>10</v>
      </c>
      <c r="G7" s="13" t="s">
        <v>11</v>
      </c>
      <c r="H7" s="13" t="s">
        <v>12</v>
      </c>
      <c r="I7" s="10"/>
      <c r="L7" s="11"/>
      <c r="N7" s="13" t="s">
        <v>12</v>
      </c>
      <c r="S7" s="13"/>
    </row>
    <row r="8" customFormat="false" ht="12.75" hidden="false" customHeight="false" outlineLevel="0" collapsed="false">
      <c r="A8" s="14" t="s">
        <v>13</v>
      </c>
      <c r="B8" s="15" t="s">
        <v>14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642840</v>
      </c>
      <c r="I8" s="10" t="s">
        <v>14</v>
      </c>
      <c r="J8" s="1" t="n">
        <v>0</v>
      </c>
      <c r="L8" s="11" t="n">
        <f aca="false">L30</f>
        <v>985248</v>
      </c>
      <c r="N8" s="16" t="n">
        <f aca="false">M8+H8</f>
        <v>642840</v>
      </c>
      <c r="O8" s="18"/>
      <c r="S8" s="16"/>
    </row>
    <row r="9" customFormat="false" ht="12.75" hidden="true" customHeight="false" outlineLevel="0" collapsed="false">
      <c r="A9" s="14"/>
      <c r="B9" s="15" t="s">
        <v>15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N9" s="16"/>
      <c r="S9" s="16"/>
    </row>
    <row r="10" customFormat="false" ht="12.75" hidden="false" customHeight="false" outlineLevel="0" collapsed="false">
      <c r="A10" s="14"/>
      <c r="B10" s="15" t="s">
        <v>16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178200</v>
      </c>
      <c r="I10" s="10"/>
      <c r="L10" s="11"/>
      <c r="N10" s="16" t="n">
        <f aca="false">M10+H10</f>
        <v>178200</v>
      </c>
      <c r="O10" s="18"/>
      <c r="P10" s="19" t="s">
        <v>17</v>
      </c>
      <c r="Q10" s="19" t="s">
        <v>18</v>
      </c>
      <c r="R10" s="19" t="s">
        <v>19</v>
      </c>
      <c r="S10" s="16"/>
    </row>
    <row r="11" customFormat="false" ht="12.75" hidden="false" customHeight="false" outlineLevel="0" collapsed="false">
      <c r="A11" s="14" t="s">
        <v>20</v>
      </c>
      <c r="B11" s="15" t="s">
        <v>21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164208</v>
      </c>
      <c r="I11" s="10" t="s">
        <v>22</v>
      </c>
      <c r="J11" s="1" t="n">
        <f aca="false">(E12+E13+E14+E15+E16+E17+E18+E19+E20+E21+E22)/E29</f>
        <v>48270.18125</v>
      </c>
      <c r="K11" s="1" t="n">
        <f aca="false">K28</f>
        <v>5</v>
      </c>
      <c r="L11" s="11" t="n">
        <f aca="false">J11*K11</f>
        <v>241350.90625</v>
      </c>
      <c r="N11" s="16" t="n">
        <f aca="false">M11+H11</f>
        <v>164208</v>
      </c>
      <c r="O11" s="18"/>
      <c r="P11" s="19" t="s">
        <v>23</v>
      </c>
      <c r="Q11" s="19" t="s">
        <v>18</v>
      </c>
      <c r="R11" s="19" t="s">
        <v>19</v>
      </c>
      <c r="S11" s="16"/>
    </row>
    <row r="12" customFormat="false" ht="12.75" hidden="false" customHeight="false" outlineLevel="0" collapsed="false">
      <c r="A12" s="14" t="s">
        <v>24</v>
      </c>
      <c r="B12" s="15" t="s">
        <v>25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20" t="n">
        <f aca="false">((C12/9)*12)-500000</f>
        <v>985995.8</v>
      </c>
      <c r="G12" s="17" t="n">
        <f aca="false">E12/$E$23</f>
        <v>0.0452169880506265</v>
      </c>
      <c r="H12" s="16" t="n">
        <v>50000</v>
      </c>
      <c r="I12" s="10"/>
      <c r="L12" s="11"/>
      <c r="M12" s="16" t="n">
        <v>-25000</v>
      </c>
      <c r="N12" s="16" t="n">
        <f aca="false">M12+H12</f>
        <v>25000</v>
      </c>
      <c r="O12" s="18"/>
      <c r="P12" s="19" t="s">
        <v>26</v>
      </c>
      <c r="Q12" s="19" t="s">
        <v>27</v>
      </c>
      <c r="R12" s="19" t="s">
        <v>19</v>
      </c>
      <c r="S12" s="16"/>
    </row>
    <row r="13" customFormat="false" ht="13.5" hidden="false" customHeight="false" outlineLevel="0" collapsed="false">
      <c r="A13" s="14" t="s">
        <v>28</v>
      </c>
      <c r="B13" s="15" t="s">
        <v>29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20" t="n">
        <f aca="false">((C13/9)*12)-500000-500000</f>
        <v>877593.106666667</v>
      </c>
      <c r="G13" s="17" t="n">
        <f aca="false">E13/$E$23</f>
        <v>0.0402457262165406</v>
      </c>
      <c r="H13" s="16" t="n">
        <v>35000</v>
      </c>
      <c r="I13" s="21" t="s">
        <v>30</v>
      </c>
      <c r="J13" s="22"/>
      <c r="K13" s="22"/>
      <c r="L13" s="23" t="n">
        <f aca="false">L8+L11</f>
        <v>1226598.90625</v>
      </c>
      <c r="M13" s="16"/>
      <c r="N13" s="16" t="n">
        <f aca="false">M13+H13</f>
        <v>35000</v>
      </c>
      <c r="O13" s="18"/>
      <c r="P13" s="19" t="s">
        <v>31</v>
      </c>
      <c r="Q13" s="19" t="s">
        <v>27</v>
      </c>
      <c r="R13" s="19" t="s">
        <v>19</v>
      </c>
      <c r="S13" s="16"/>
    </row>
    <row r="14" customFormat="false" ht="12.75" hidden="false" customHeight="false" outlineLevel="0" collapsed="false">
      <c r="A14" s="14" t="s">
        <v>32</v>
      </c>
      <c r="B14" s="15" t="s">
        <v>33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20" t="n">
        <f aca="false">(C14/9)*12</f>
        <v>0.320000000026387</v>
      </c>
      <c r="G14" s="17" t="n">
        <f aca="false">E14/$E$23</f>
        <v>1.46749470711677E-008</v>
      </c>
      <c r="H14" s="16" t="n">
        <v>25000</v>
      </c>
      <c r="M14" s="16" t="n">
        <v>-20000</v>
      </c>
      <c r="N14" s="16" t="n">
        <f aca="false">M14+H14</f>
        <v>5000</v>
      </c>
      <c r="O14" s="18"/>
      <c r="P14" s="19" t="s">
        <v>34</v>
      </c>
      <c r="Q14" s="19" t="s">
        <v>35</v>
      </c>
      <c r="R14" s="19" t="s">
        <v>36</v>
      </c>
      <c r="S14" s="16"/>
    </row>
    <row r="15" customFormat="false" ht="12.75" hidden="false" customHeight="false" outlineLevel="0" collapsed="false">
      <c r="A15" s="14" t="s">
        <v>37</v>
      </c>
      <c r="B15" s="15" t="s">
        <v>38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20" t="n">
        <f aca="false">((C15/9)*12)-75000</f>
        <v>139417.333333333</v>
      </c>
      <c r="G15" s="17" t="n">
        <f aca="false">E15/$E$23</f>
        <v>0.00639356871031657</v>
      </c>
      <c r="H15" s="16" t="n">
        <v>20000</v>
      </c>
      <c r="M15" s="16"/>
      <c r="N15" s="16" t="n">
        <f aca="false">M15+H15</f>
        <v>20000</v>
      </c>
      <c r="O15" s="18"/>
      <c r="S15" s="16"/>
    </row>
    <row r="16" customFormat="false" ht="12.75" hidden="false" customHeight="false" outlineLevel="0" collapsed="false">
      <c r="A16" s="14" t="s">
        <v>39</v>
      </c>
      <c r="B16" s="15" t="s">
        <v>40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20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41</v>
      </c>
      <c r="J16" s="1" t="n">
        <v>33000</v>
      </c>
      <c r="K16" s="1" t="n">
        <f aca="false">1-1</f>
        <v>0</v>
      </c>
      <c r="L16" s="1" t="n">
        <f aca="false">J16*K16</f>
        <v>0</v>
      </c>
      <c r="M16" s="16"/>
      <c r="N16" s="16" t="n">
        <f aca="false">M16+H16</f>
        <v>0</v>
      </c>
      <c r="O16" s="18"/>
      <c r="S16" s="16"/>
    </row>
    <row r="17" customFormat="false" ht="12.75" hidden="false" customHeight="false" outlineLevel="0" collapsed="false">
      <c r="A17" s="14" t="s">
        <v>42</v>
      </c>
      <c r="B17" s="15" t="s">
        <v>43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20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245.833333333333</v>
      </c>
      <c r="I17" s="1" t="s">
        <v>44</v>
      </c>
      <c r="J17" s="1" t="n">
        <v>48400</v>
      </c>
      <c r="K17" s="1" t="n">
        <v>0</v>
      </c>
      <c r="L17" s="1" t="n">
        <f aca="false">J17*K17</f>
        <v>0</v>
      </c>
      <c r="M17" s="16"/>
      <c r="N17" s="16" t="n">
        <f aca="false">M17+H17</f>
        <v>245.833333333333</v>
      </c>
      <c r="O17" s="18"/>
      <c r="S17" s="16"/>
    </row>
    <row r="18" customFormat="false" ht="12.75" hidden="false" customHeight="false" outlineLevel="0" collapsed="false">
      <c r="A18" s="14" t="s">
        <v>45</v>
      </c>
      <c r="B18" s="15" t="s">
        <v>46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20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4464.78833333333</v>
      </c>
      <c r="I18" s="1" t="s">
        <v>47</v>
      </c>
      <c r="J18" s="1" t="n">
        <v>49500</v>
      </c>
      <c r="K18" s="1" t="n">
        <v>0</v>
      </c>
      <c r="L18" s="1" t="n">
        <f aca="false">J18*K18</f>
        <v>0</v>
      </c>
      <c r="M18" s="16" t="n">
        <v>-4465</v>
      </c>
      <c r="N18" s="16" t="n">
        <f aca="false">M18+H18</f>
        <v>-0.211666666666133</v>
      </c>
      <c r="O18" s="18"/>
      <c r="S18" s="16"/>
    </row>
    <row r="19" customFormat="false" ht="12.75" hidden="false" customHeight="false" outlineLevel="0" collapsed="false">
      <c r="A19" s="14" t="s">
        <v>48</v>
      </c>
      <c r="B19" s="15" t="s">
        <v>49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20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4550.43</v>
      </c>
      <c r="I19" s="1" t="s">
        <v>50</v>
      </c>
      <c r="J19" s="1" t="n">
        <v>57750</v>
      </c>
      <c r="K19" s="1" t="n">
        <v>0</v>
      </c>
      <c r="L19" s="1" t="n">
        <f aca="false">J19*K19</f>
        <v>0</v>
      </c>
      <c r="M19" s="16"/>
      <c r="N19" s="16" t="n">
        <f aca="false">M19+H19</f>
        <v>4550.43</v>
      </c>
      <c r="O19" s="18"/>
      <c r="S19" s="16"/>
    </row>
    <row r="20" customFormat="false" ht="12.75" hidden="false" customHeight="false" outlineLevel="0" collapsed="false">
      <c r="A20" s="14" t="s">
        <v>51</v>
      </c>
      <c r="B20" s="15" t="s">
        <v>52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20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0.666666666666667</v>
      </c>
      <c r="I20" s="1" t="s">
        <v>53</v>
      </c>
      <c r="J20" s="1" t="n">
        <v>71500</v>
      </c>
      <c r="K20" s="1" t="n">
        <v>0</v>
      </c>
      <c r="L20" s="1" t="n">
        <f aca="false">J20*K20</f>
        <v>0</v>
      </c>
      <c r="N20" s="16" t="n">
        <f aca="false">M20+H20</f>
        <v>0.666666666666667</v>
      </c>
      <c r="O20" s="18"/>
      <c r="S20" s="16"/>
    </row>
    <row r="21" customFormat="false" ht="12.75" hidden="false" customHeight="false" outlineLevel="0" collapsed="false">
      <c r="A21" s="14" t="s">
        <v>54</v>
      </c>
      <c r="B21" s="15" t="s">
        <v>55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20" t="n">
        <f aca="false">((C21/9)*12)-75000</f>
        <v>181051.88</v>
      </c>
      <c r="G21" s="17" t="n">
        <f aca="false">E21/$E$23</f>
        <v>0.00830289611223848</v>
      </c>
      <c r="H21" s="16" t="n">
        <v>6000</v>
      </c>
      <c r="I21" s="1" t="s">
        <v>56</v>
      </c>
      <c r="J21" s="1" t="n">
        <v>60500</v>
      </c>
      <c r="K21" s="1" t="n">
        <v>0</v>
      </c>
      <c r="L21" s="1" t="n">
        <f aca="false">J21*K21</f>
        <v>0</v>
      </c>
      <c r="N21" s="16" t="n">
        <f aca="false">M21+H21</f>
        <v>6000</v>
      </c>
      <c r="O21" s="18"/>
      <c r="R21" s="24"/>
      <c r="S21" s="16"/>
    </row>
    <row r="22" customFormat="false" ht="12.75" hidden="false" customHeight="false" outlineLevel="0" collapsed="false">
      <c r="A22" s="14" t="s">
        <v>57</v>
      </c>
      <c r="B22" s="15" t="s">
        <v>58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20" t="n">
        <f aca="false">((C22/9)*12)-1000000-100000</f>
        <v>5242795.57333334</v>
      </c>
      <c r="G22" s="17" t="n">
        <f aca="false">E22/$E$23</f>
        <v>0.240430461053984</v>
      </c>
      <c r="H22" s="16" t="n">
        <v>0</v>
      </c>
      <c r="I22" s="1" t="s">
        <v>59</v>
      </c>
      <c r="J22" s="1" t="n">
        <v>89100</v>
      </c>
      <c r="K22" s="1" t="n">
        <v>2</v>
      </c>
      <c r="L22" s="1" t="n">
        <f aca="false">J22*K22</f>
        <v>178200</v>
      </c>
      <c r="N22" s="18" t="n">
        <f aca="false">M22+H22</f>
        <v>0</v>
      </c>
      <c r="O22" s="18"/>
      <c r="R22" s="24"/>
      <c r="S22" s="16"/>
    </row>
    <row r="23" customFormat="false" ht="12.75" hidden="false" customHeight="false" outlineLevel="0" collapsed="false">
      <c r="A23" s="25" t="s">
        <v>60</v>
      </c>
      <c r="B23" s="26" t="s">
        <v>61</v>
      </c>
      <c r="C23" s="27" t="n">
        <f aca="false">SUM(C8:C22)</f>
        <v>23348090.12</v>
      </c>
      <c r="E23" s="27" t="n">
        <f aca="false">SUM(E8:E22)</f>
        <v>21805870.8133333</v>
      </c>
      <c r="G23" s="28" t="n">
        <f aca="false">E23/$E$23</f>
        <v>1</v>
      </c>
      <c r="H23" s="27" t="n">
        <f aca="false">SUM(H8:H22)</f>
        <v>1130509.71833333</v>
      </c>
      <c r="I23" s="1" t="s">
        <v>62</v>
      </c>
      <c r="J23" s="1" t="n">
        <v>110000</v>
      </c>
      <c r="K23" s="1" t="n">
        <v>1</v>
      </c>
      <c r="L23" s="1" t="n">
        <f aca="false">J23*K23</f>
        <v>110000</v>
      </c>
      <c r="N23" s="27" t="n">
        <f aca="false">SUM(N8:N22)</f>
        <v>1081044.71833333</v>
      </c>
      <c r="O23" s="29"/>
      <c r="R23" s="24"/>
      <c r="S23" s="29"/>
    </row>
    <row r="24" customFormat="false" ht="12.75" hidden="false" customHeight="false" outlineLevel="0" collapsed="false">
      <c r="I24" s="1" t="s">
        <v>63</v>
      </c>
      <c r="J24" s="1" t="n">
        <v>143000</v>
      </c>
      <c r="K24" s="1" t="n">
        <v>0</v>
      </c>
      <c r="L24" s="1" t="n">
        <f aca="false">J24*K24</f>
        <v>0</v>
      </c>
      <c r="R24" s="24"/>
      <c r="S24" s="24"/>
    </row>
    <row r="25" customFormat="false" ht="12.75" hidden="false" customHeight="false" outlineLevel="0" collapsed="false">
      <c r="B25" s="26" t="s">
        <v>64</v>
      </c>
      <c r="C25" s="16"/>
      <c r="E25" s="30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30" t="n">
        <f aca="false">+K16+K17+K18+K19+K20+K23+K24+K25+K26+K27</f>
        <v>3</v>
      </c>
      <c r="I25" s="1" t="s">
        <v>65</v>
      </c>
      <c r="J25" s="1" t="n">
        <v>165000</v>
      </c>
      <c r="K25" s="1" t="n">
        <v>0</v>
      </c>
      <c r="L25" s="1" t="n">
        <f aca="false">J25*K25</f>
        <v>0</v>
      </c>
      <c r="R25" s="24"/>
      <c r="S25" s="16"/>
    </row>
    <row r="26" customFormat="false" ht="12.75" hidden="false" customHeight="false" outlineLevel="0" collapsed="false">
      <c r="C26" s="16"/>
      <c r="E26" s="16"/>
      <c r="H26" s="16"/>
      <c r="I26" s="1" t="s">
        <v>66</v>
      </c>
      <c r="J26" s="1" t="n">
        <v>198000</v>
      </c>
      <c r="K26" s="1" t="n">
        <v>2</v>
      </c>
      <c r="L26" s="1" t="n">
        <f aca="false">J26*K26</f>
        <v>396000</v>
      </c>
      <c r="R26" s="24"/>
      <c r="S26" s="16"/>
    </row>
    <row r="27" customFormat="false" ht="12.75" hidden="false" customHeight="false" outlineLevel="0" collapsed="false">
      <c r="B27" s="26" t="s">
        <v>67</v>
      </c>
      <c r="C27" s="16"/>
      <c r="E27" s="30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30" t="n">
        <f aca="false">+K21+K22</f>
        <v>2</v>
      </c>
      <c r="I27" s="1" t="s">
        <v>68</v>
      </c>
      <c r="J27" s="1" t="n">
        <v>220000</v>
      </c>
      <c r="K27" s="1" t="n">
        <v>0</v>
      </c>
      <c r="L27" s="1" t="n">
        <f aca="false">J27*K27</f>
        <v>0</v>
      </c>
      <c r="R27" s="24"/>
      <c r="S27" s="16"/>
    </row>
    <row r="28" customFormat="false" ht="12.75" hidden="false" customHeight="false" outlineLevel="0" collapsed="false">
      <c r="K28" s="1" t="n">
        <f aca="false">SUM(K16:K27)</f>
        <v>5</v>
      </c>
      <c r="L28" s="1" t="n">
        <f aca="false">SUM(L16:L27)*1.2</f>
        <v>821040</v>
      </c>
      <c r="R28" s="24"/>
      <c r="S28" s="24"/>
    </row>
    <row r="29" customFormat="false" ht="12.75" hidden="false" customHeight="false" outlineLevel="0" collapsed="false">
      <c r="B29" s="26" t="s">
        <v>69</v>
      </c>
      <c r="C29" s="16"/>
      <c r="E29" s="30" t="n">
        <f aca="false">SUM(E25:E27)</f>
        <v>160</v>
      </c>
      <c r="G29" s="1"/>
      <c r="H29" s="30" t="n">
        <f aca="false">SUM(H25:H27)</f>
        <v>5</v>
      </c>
      <c r="L29" s="31" t="n">
        <v>0.2</v>
      </c>
      <c r="R29" s="24"/>
      <c r="S29" s="16"/>
    </row>
    <row r="30" customFormat="false" ht="12.75" hidden="true" customHeight="false" outlineLevel="0" collapsed="false">
      <c r="L30" s="1" t="n">
        <f aca="false">L28*1.2</f>
        <v>985248</v>
      </c>
      <c r="R30" s="24"/>
      <c r="S30" s="24"/>
    </row>
    <row r="31" customFormat="false" ht="12.75" hidden="true" customHeight="false" outlineLevel="0" collapsed="false">
      <c r="H31" s="32" t="s">
        <v>70</v>
      </c>
      <c r="L31" s="0"/>
      <c r="R31" s="24"/>
      <c r="S31" s="24"/>
    </row>
    <row r="32" customFormat="false" ht="12.75" hidden="true" customHeight="false" outlineLevel="0" collapsed="false">
      <c r="B32" s="15" t="s">
        <v>33</v>
      </c>
      <c r="C32" s="16" t="n">
        <v>254512</v>
      </c>
      <c r="L32" s="0"/>
      <c r="R32" s="24"/>
      <c r="S32" s="24"/>
    </row>
    <row r="33" customFormat="false" ht="12.75" hidden="true" customHeight="false" outlineLevel="0" collapsed="false">
      <c r="H33" s="33" t="s">
        <v>71</v>
      </c>
      <c r="I33" s="34" t="s">
        <v>72</v>
      </c>
      <c r="J33" s="34" t="s">
        <v>73</v>
      </c>
      <c r="K33" s="34" t="s">
        <v>3</v>
      </c>
      <c r="L33" s="34" t="s">
        <v>74</v>
      </c>
      <c r="R33" s="24"/>
      <c r="S33" s="24"/>
    </row>
    <row r="34" customFormat="false" ht="12.75" hidden="true" customHeight="false" outlineLevel="0" collapsed="false">
      <c r="H34" s="35" t="n">
        <f aca="false">SUM(E12:E22)</f>
        <v>7723229</v>
      </c>
      <c r="I34" s="34" t="n">
        <f aca="false">+E29</f>
        <v>160</v>
      </c>
      <c r="J34" s="34" t="n">
        <f aca="false">+H34/I34</f>
        <v>48270.18125</v>
      </c>
      <c r="K34" s="34" t="n">
        <f aca="false">+K11</f>
        <v>5</v>
      </c>
      <c r="L34" s="34" t="n">
        <f aca="false">+J34*K34</f>
        <v>241350.90625</v>
      </c>
      <c r="R34" s="24"/>
      <c r="S34" s="24"/>
    </row>
    <row r="35" customFormat="false" ht="12.75" hidden="true" customHeight="false" outlineLevel="0" collapsed="false">
      <c r="R35" s="24"/>
      <c r="S35" s="24"/>
    </row>
    <row r="36" customFormat="false" ht="12.75" hidden="true" customHeight="false" outlineLevel="0" collapsed="false">
      <c r="R36" s="24"/>
      <c r="S36" s="24"/>
    </row>
    <row r="37" customFormat="false" ht="12.75" hidden="true" customHeight="false" outlineLevel="0" collapsed="false">
      <c r="R37" s="24"/>
      <c r="S37" s="24"/>
    </row>
    <row r="38" customFormat="false" ht="12.75" hidden="true" customHeight="false" outlineLevel="0" collapsed="false">
      <c r="R38" s="24"/>
      <c r="S38" s="24"/>
    </row>
    <row r="39" customFormat="false" ht="12.75" hidden="false" customHeight="false" outlineLevel="0" collapsed="false">
      <c r="R39" s="24"/>
      <c r="S39" s="24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7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false" outlineLevel="0" max="14" min="14" style="0" width="16.84"/>
    <col collapsed="false" customWidth="true" hidden="false" outlineLevel="0" max="15" min="15" style="0" width="17.7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6</v>
      </c>
      <c r="G6" s="12" t="s">
        <v>7</v>
      </c>
      <c r="H6" s="12" t="s">
        <v>8</v>
      </c>
      <c r="I6" s="10"/>
      <c r="L6" s="11"/>
      <c r="Q6" s="12"/>
    </row>
    <row r="7" customFormat="false" ht="12.75" hidden="false" customHeight="false" outlineLevel="0" collapsed="false">
      <c r="C7" s="13" t="s">
        <v>9</v>
      </c>
      <c r="E7" s="13" t="s">
        <v>10</v>
      </c>
      <c r="G7" s="13" t="s">
        <v>11</v>
      </c>
      <c r="H7" s="13" t="s">
        <v>12</v>
      </c>
      <c r="I7" s="10"/>
      <c r="L7" s="11"/>
      <c r="Q7" s="13"/>
    </row>
    <row r="8" customFormat="false" ht="12.75" hidden="false" customHeight="false" outlineLevel="0" collapsed="false">
      <c r="A8" s="14" t="s">
        <v>13</v>
      </c>
      <c r="B8" s="15" t="s">
        <v>14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v>642840</v>
      </c>
      <c r="I8" s="10" t="s">
        <v>14</v>
      </c>
      <c r="J8" s="1" t="n">
        <v>0</v>
      </c>
      <c r="L8" s="11" t="n">
        <f aca="false">L30</f>
        <v>728640</v>
      </c>
      <c r="Q8" s="16"/>
    </row>
    <row r="9" customFormat="false" ht="12.75" hidden="true" customHeight="false" outlineLevel="0" collapsed="false">
      <c r="A9" s="14"/>
      <c r="B9" s="15" t="s">
        <v>15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16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N10" s="19" t="s">
        <v>17</v>
      </c>
      <c r="O10" s="19" t="s">
        <v>18</v>
      </c>
      <c r="P10" s="19" t="s">
        <v>19</v>
      </c>
      <c r="Q10" s="16"/>
    </row>
    <row r="11" customFormat="false" ht="12.75" hidden="false" customHeight="false" outlineLevel="0" collapsed="false">
      <c r="A11" s="14" t="s">
        <v>20</v>
      </c>
      <c r="B11" s="15" t="s">
        <v>21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121440</v>
      </c>
      <c r="I11" s="10" t="s">
        <v>22</v>
      </c>
      <c r="J11" s="1" t="n">
        <f aca="false">(E12+E13+E14+E15+E16+E17+E18+E19+E20+E21+E22)/E29</f>
        <v>48270.18125</v>
      </c>
      <c r="K11" s="1" t="n">
        <f aca="false">K28</f>
        <v>3</v>
      </c>
      <c r="L11" s="11" t="n">
        <f aca="false">J11*K11</f>
        <v>144810.54375</v>
      </c>
      <c r="N11" s="19" t="s">
        <v>23</v>
      </c>
      <c r="O11" s="19" t="s">
        <v>18</v>
      </c>
      <c r="P11" s="19" t="s">
        <v>19</v>
      </c>
      <c r="Q11" s="16"/>
    </row>
    <row r="12" customFormat="false" ht="12.75" hidden="false" customHeight="false" outlineLevel="0" collapsed="false">
      <c r="A12" s="14" t="s">
        <v>24</v>
      </c>
      <c r="B12" s="15" t="s">
        <v>25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20" t="n">
        <f aca="false">((C12/9)*12)-500000</f>
        <v>985995.8</v>
      </c>
      <c r="G12" s="17" t="n">
        <f aca="false">E12/$E$23</f>
        <v>0.0452169880506265</v>
      </c>
      <c r="H12" s="16" t="n">
        <v>30000</v>
      </c>
      <c r="I12" s="10"/>
      <c r="L12" s="11"/>
      <c r="N12" s="19" t="s">
        <v>26</v>
      </c>
      <c r="O12" s="19" t="s">
        <v>27</v>
      </c>
      <c r="P12" s="19" t="s">
        <v>19</v>
      </c>
      <c r="Q12" s="16"/>
    </row>
    <row r="13" customFormat="false" ht="13.5" hidden="false" customHeight="false" outlineLevel="0" collapsed="false">
      <c r="A13" s="14" t="s">
        <v>28</v>
      </c>
      <c r="B13" s="15" t="s">
        <v>29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20" t="n">
        <f aca="false">((C13/9)*12)-500000-500000</f>
        <v>877593.106666667</v>
      </c>
      <c r="G13" s="17" t="n">
        <f aca="false">E13/$E$23</f>
        <v>0.0402457262165406</v>
      </c>
      <c r="H13" s="16" t="n">
        <v>21000</v>
      </c>
      <c r="I13" s="21" t="s">
        <v>30</v>
      </c>
      <c r="J13" s="22"/>
      <c r="K13" s="22"/>
      <c r="L13" s="23" t="n">
        <f aca="false">L8+L11</f>
        <v>873450.54375</v>
      </c>
      <c r="N13" s="19" t="s">
        <v>31</v>
      </c>
      <c r="O13" s="19" t="s">
        <v>27</v>
      </c>
      <c r="P13" s="19" t="s">
        <v>19</v>
      </c>
      <c r="Q13" s="16"/>
    </row>
    <row r="14" customFormat="false" ht="12.75" hidden="false" customHeight="false" outlineLevel="0" collapsed="false">
      <c r="A14" s="14" t="s">
        <v>32</v>
      </c>
      <c r="B14" s="15" t="s">
        <v>33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20" t="n">
        <f aca="false">(C14/9)*12</f>
        <v>0.320000000026387</v>
      </c>
      <c r="G14" s="17" t="n">
        <f aca="false">E14/$E$23</f>
        <v>1.46749470711677E-008</v>
      </c>
      <c r="H14" s="16" t="n">
        <v>15000</v>
      </c>
      <c r="N14" s="19" t="s">
        <v>34</v>
      </c>
      <c r="O14" s="19" t="s">
        <v>35</v>
      </c>
      <c r="P14" s="19" t="s">
        <v>36</v>
      </c>
      <c r="Q14" s="16"/>
    </row>
    <row r="15" customFormat="false" ht="12.75" hidden="false" customHeight="false" outlineLevel="0" collapsed="false">
      <c r="A15" s="14" t="s">
        <v>37</v>
      </c>
      <c r="B15" s="15" t="s">
        <v>38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20" t="n">
        <f aca="false">((C15/9)*12)-75000</f>
        <v>139417.333333333</v>
      </c>
      <c r="G15" s="17" t="n">
        <f aca="false">E15/$E$23</f>
        <v>0.00639356871031657</v>
      </c>
      <c r="H15" s="16" t="n">
        <v>12000</v>
      </c>
      <c r="Q15" s="16"/>
    </row>
    <row r="16" customFormat="false" ht="12.75" hidden="false" customHeight="false" outlineLevel="0" collapsed="false">
      <c r="A16" s="14" t="s">
        <v>39</v>
      </c>
      <c r="B16" s="15" t="s">
        <v>40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20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41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42</v>
      </c>
      <c r="B17" s="15" t="s">
        <v>43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20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147.5</v>
      </c>
      <c r="I17" s="1" t="s">
        <v>44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45</v>
      </c>
      <c r="B18" s="15" t="s">
        <v>46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20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2678.873</v>
      </c>
      <c r="I18" s="1" t="s">
        <v>47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48</v>
      </c>
      <c r="B19" s="15" t="s">
        <v>49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20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2730.258</v>
      </c>
      <c r="I19" s="1" t="s">
        <v>50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51</v>
      </c>
      <c r="B20" s="15" t="s">
        <v>52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20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0.4</v>
      </c>
      <c r="I20" s="1" t="s">
        <v>53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54</v>
      </c>
      <c r="B21" s="15" t="s">
        <v>55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20" t="n">
        <f aca="false">((C21/9)*12)-75000</f>
        <v>181051.88</v>
      </c>
      <c r="G21" s="17" t="n">
        <f aca="false">E21/$E$23</f>
        <v>0.00830289611223848</v>
      </c>
      <c r="H21" s="16" t="n">
        <v>3600</v>
      </c>
      <c r="I21" s="1" t="s">
        <v>56</v>
      </c>
      <c r="J21" s="1" t="n">
        <v>60500</v>
      </c>
      <c r="K21" s="1" t="n">
        <v>0</v>
      </c>
      <c r="L21" s="1" t="n">
        <f aca="false">J21*K21</f>
        <v>0</v>
      </c>
      <c r="P21" s="24"/>
      <c r="Q21" s="16"/>
    </row>
    <row r="22" customFormat="false" ht="12.75" hidden="false" customHeight="false" outlineLevel="0" collapsed="false">
      <c r="A22" s="14" t="s">
        <v>57</v>
      </c>
      <c r="B22" s="15" t="s">
        <v>58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20" t="n">
        <f aca="false">((C22/9)*12)-1000000-100000</f>
        <v>5242795.57333334</v>
      </c>
      <c r="G22" s="17" t="n">
        <f aca="false">E22/$E$23</f>
        <v>0.240430461053984</v>
      </c>
      <c r="H22" s="16" t="n">
        <v>0</v>
      </c>
      <c r="I22" s="1" t="s">
        <v>59</v>
      </c>
      <c r="J22" s="1" t="n">
        <v>89100</v>
      </c>
      <c r="K22" s="1" t="n">
        <v>0</v>
      </c>
      <c r="L22" s="1" t="n">
        <f aca="false">J22*K22</f>
        <v>0</v>
      </c>
      <c r="P22" s="24"/>
      <c r="Q22" s="16"/>
    </row>
    <row r="23" customFormat="false" ht="12.75" hidden="false" customHeight="false" outlineLevel="0" collapsed="false">
      <c r="A23" s="25" t="s">
        <v>60</v>
      </c>
      <c r="B23" s="26" t="s">
        <v>61</v>
      </c>
      <c r="C23" s="27" t="n">
        <f aca="false">SUM(C8:C22)</f>
        <v>23348090.12</v>
      </c>
      <c r="E23" s="27" t="n">
        <f aca="false">SUM(E8:E22)</f>
        <v>21805870.8133333</v>
      </c>
      <c r="G23" s="28" t="n">
        <f aca="false">E23/$E$23</f>
        <v>1</v>
      </c>
      <c r="H23" s="27" t="n">
        <f aca="false">SUM(H8:H22)</f>
        <v>851437.031</v>
      </c>
      <c r="I23" s="1" t="s">
        <v>62</v>
      </c>
      <c r="J23" s="1" t="n">
        <v>110000</v>
      </c>
      <c r="K23" s="1" t="n">
        <v>1</v>
      </c>
      <c r="L23" s="1" t="n">
        <f aca="false">J23*K23</f>
        <v>110000</v>
      </c>
      <c r="P23" s="24"/>
      <c r="Q23" s="29"/>
    </row>
    <row r="24" customFormat="false" ht="12.75" hidden="false" customHeight="false" outlineLevel="0" collapsed="false">
      <c r="I24" s="1" t="s">
        <v>63</v>
      </c>
      <c r="J24" s="1" t="n">
        <v>143000</v>
      </c>
      <c r="K24" s="1" t="n">
        <v>0</v>
      </c>
      <c r="L24" s="1" t="n">
        <f aca="false">J24*K24</f>
        <v>0</v>
      </c>
      <c r="P24" s="24"/>
      <c r="Q24" s="24"/>
    </row>
    <row r="25" customFormat="false" ht="12.75" hidden="false" customHeight="false" outlineLevel="0" collapsed="false">
      <c r="B25" s="26" t="s">
        <v>64</v>
      </c>
      <c r="C25" s="16"/>
      <c r="E25" s="30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30" t="n">
        <f aca="false">+K16+K17+K18+K19+K20+K23+K24+K25+K26+K27</f>
        <v>3</v>
      </c>
      <c r="I25" s="1" t="s">
        <v>65</v>
      </c>
      <c r="J25" s="1" t="n">
        <v>165000</v>
      </c>
      <c r="K25" s="1" t="n">
        <v>0</v>
      </c>
      <c r="L25" s="1" t="n">
        <f aca="false">J25*K25</f>
        <v>0</v>
      </c>
      <c r="P25" s="24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66</v>
      </c>
      <c r="J26" s="1" t="n">
        <v>198000</v>
      </c>
      <c r="K26" s="1" t="n">
        <v>2</v>
      </c>
      <c r="L26" s="1" t="n">
        <f aca="false">J26*K26</f>
        <v>396000</v>
      </c>
      <c r="P26" s="24"/>
      <c r="Q26" s="16"/>
    </row>
    <row r="27" customFormat="false" ht="12.75" hidden="false" customHeight="false" outlineLevel="0" collapsed="false">
      <c r="B27" s="26" t="s">
        <v>67</v>
      </c>
      <c r="C27" s="16"/>
      <c r="E27" s="30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30" t="n">
        <f aca="false">+K21+K22</f>
        <v>0</v>
      </c>
      <c r="I27" s="1" t="s">
        <v>68</v>
      </c>
      <c r="J27" s="1" t="n">
        <v>220000</v>
      </c>
      <c r="K27" s="1" t="n">
        <v>0</v>
      </c>
      <c r="L27" s="1" t="n">
        <f aca="false">J27*K27</f>
        <v>0</v>
      </c>
      <c r="P27" s="24"/>
      <c r="Q27" s="16"/>
    </row>
    <row r="28" customFormat="false" ht="12.75" hidden="false" customHeight="false" outlineLevel="0" collapsed="false">
      <c r="K28" s="1" t="n">
        <f aca="false">SUM(K16:K27)</f>
        <v>3</v>
      </c>
      <c r="L28" s="1" t="n">
        <f aca="false">SUM(L16:L27)*1.2</f>
        <v>607200</v>
      </c>
      <c r="P28" s="24"/>
      <c r="Q28" s="24"/>
    </row>
    <row r="29" customFormat="false" ht="12.75" hidden="false" customHeight="false" outlineLevel="0" collapsed="false">
      <c r="B29" s="26" t="s">
        <v>69</v>
      </c>
      <c r="C29" s="16"/>
      <c r="E29" s="30" t="n">
        <f aca="false">SUM(E25:E27)</f>
        <v>160</v>
      </c>
      <c r="G29" s="1"/>
      <c r="H29" s="30" t="n">
        <f aca="false">SUM(H25:H27)</f>
        <v>3</v>
      </c>
      <c r="L29" s="31" t="n">
        <v>0.2</v>
      </c>
      <c r="P29" s="24"/>
      <c r="Q29" s="16"/>
    </row>
    <row r="30" customFormat="false" ht="12.75" hidden="true" customHeight="false" outlineLevel="0" collapsed="false">
      <c r="L30" s="1" t="n">
        <f aca="false">L28*1.2</f>
        <v>728640</v>
      </c>
      <c r="P30" s="24"/>
      <c r="Q30" s="24"/>
    </row>
    <row r="31" customFormat="false" ht="12.75" hidden="true" customHeight="false" outlineLevel="0" collapsed="false">
      <c r="H31" s="32" t="s">
        <v>70</v>
      </c>
      <c r="L31" s="0"/>
      <c r="P31" s="24"/>
      <c r="Q31" s="24"/>
    </row>
    <row r="32" customFormat="false" ht="12.75" hidden="true" customHeight="false" outlineLevel="0" collapsed="false">
      <c r="B32" s="15" t="s">
        <v>33</v>
      </c>
      <c r="C32" s="16" t="n">
        <v>254512</v>
      </c>
      <c r="L32" s="0"/>
      <c r="P32" s="24"/>
      <c r="Q32" s="24"/>
    </row>
    <row r="33" customFormat="false" ht="12.75" hidden="true" customHeight="false" outlineLevel="0" collapsed="false">
      <c r="H33" s="33" t="s">
        <v>71</v>
      </c>
      <c r="I33" s="34" t="s">
        <v>72</v>
      </c>
      <c r="J33" s="34" t="s">
        <v>73</v>
      </c>
      <c r="K33" s="34" t="s">
        <v>3</v>
      </c>
      <c r="L33" s="34" t="s">
        <v>74</v>
      </c>
      <c r="P33" s="24"/>
      <c r="Q33" s="24"/>
    </row>
    <row r="34" customFormat="false" ht="12.75" hidden="true" customHeight="false" outlineLevel="0" collapsed="false">
      <c r="H34" s="35" t="n">
        <f aca="false">SUM(E12:E22)</f>
        <v>7723229</v>
      </c>
      <c r="I34" s="34" t="n">
        <f aca="false">+E29</f>
        <v>160</v>
      </c>
      <c r="J34" s="34" t="n">
        <f aca="false">+H34/I34</f>
        <v>48270.18125</v>
      </c>
      <c r="K34" s="34" t="n">
        <f aca="false">+K11</f>
        <v>3</v>
      </c>
      <c r="L34" s="34" t="n">
        <f aca="false">+J34*K34</f>
        <v>144810.54375</v>
      </c>
      <c r="P34" s="24"/>
      <c r="Q34" s="24"/>
    </row>
    <row r="35" customFormat="false" ht="12.75" hidden="true" customHeight="false" outlineLevel="0" collapsed="false">
      <c r="P35" s="24"/>
      <c r="Q35" s="24"/>
    </row>
    <row r="36" customFormat="false" ht="12.75" hidden="true" customHeight="false" outlineLevel="0" collapsed="false">
      <c r="P36" s="24"/>
      <c r="Q36" s="24"/>
    </row>
    <row r="37" customFormat="false" ht="12.75" hidden="true" customHeight="false" outlineLevel="0" collapsed="false">
      <c r="P37" s="24"/>
      <c r="Q37" s="24"/>
    </row>
    <row r="38" customFormat="false" ht="12.75" hidden="true" customHeight="false" outlineLevel="0" collapsed="false">
      <c r="P38" s="24"/>
      <c r="Q38" s="24"/>
    </row>
    <row r="39" customFormat="false" ht="12.75" hidden="false" customHeight="false" outlineLevel="0" collapsed="false">
      <c r="P39" s="24"/>
      <c r="Q39" s="24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7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false" outlineLevel="0" max="14" min="14" style="0" width="16.84"/>
    <col collapsed="false" customWidth="true" hidden="false" outlineLevel="0" max="15" min="15" style="0" width="17.7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6</v>
      </c>
      <c r="G6" s="12" t="s">
        <v>7</v>
      </c>
      <c r="H6" s="12" t="s">
        <v>8</v>
      </c>
      <c r="I6" s="10"/>
      <c r="L6" s="11"/>
      <c r="Q6" s="12"/>
    </row>
    <row r="7" customFormat="false" ht="12.75" hidden="false" customHeight="false" outlineLevel="0" collapsed="false">
      <c r="C7" s="13" t="s">
        <v>9</v>
      </c>
      <c r="E7" s="13" t="s">
        <v>10</v>
      </c>
      <c r="G7" s="13" t="s">
        <v>11</v>
      </c>
      <c r="H7" s="13" t="s">
        <v>12</v>
      </c>
      <c r="I7" s="10"/>
      <c r="L7" s="11"/>
      <c r="Q7" s="13"/>
    </row>
    <row r="8" customFormat="false" ht="12.75" hidden="false" customHeight="false" outlineLevel="0" collapsed="false">
      <c r="A8" s="14" t="s">
        <v>13</v>
      </c>
      <c r="B8" s="15" t="s">
        <v>14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v>0</v>
      </c>
      <c r="I8" s="10" t="s">
        <v>14</v>
      </c>
      <c r="J8" s="1" t="n">
        <v>0</v>
      </c>
      <c r="L8" s="11" t="n">
        <f aca="false">L30</f>
        <v>256608</v>
      </c>
      <c r="Q8" s="16"/>
    </row>
    <row r="9" customFormat="false" ht="12.75" hidden="true" customHeight="false" outlineLevel="0" collapsed="false">
      <c r="A9" s="14"/>
      <c r="B9" s="15" t="s">
        <v>15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16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178200</v>
      </c>
      <c r="I10" s="10"/>
      <c r="L10" s="11"/>
      <c r="N10" s="19" t="s">
        <v>17</v>
      </c>
      <c r="O10" s="19" t="s">
        <v>18</v>
      </c>
      <c r="P10" s="19" t="s">
        <v>19</v>
      </c>
      <c r="Q10" s="16"/>
    </row>
    <row r="11" customFormat="false" ht="12.75" hidden="false" customHeight="false" outlineLevel="0" collapsed="false">
      <c r="A11" s="14" t="s">
        <v>20</v>
      </c>
      <c r="B11" s="15" t="s">
        <v>21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+H10*0.2+7128</f>
        <v>42768</v>
      </c>
      <c r="I11" s="10" t="s">
        <v>22</v>
      </c>
      <c r="J11" s="1" t="n">
        <f aca="false">(E12+E13+E14+E15+E16+E17+E18+E19+E20+E21+E22)/E29</f>
        <v>48270.18125</v>
      </c>
      <c r="K11" s="1" t="n">
        <f aca="false">K28</f>
        <v>2</v>
      </c>
      <c r="L11" s="11" t="n">
        <f aca="false">J11*K11</f>
        <v>96540.3625</v>
      </c>
      <c r="N11" s="19" t="s">
        <v>23</v>
      </c>
      <c r="O11" s="19" t="s">
        <v>18</v>
      </c>
      <c r="P11" s="19" t="s">
        <v>19</v>
      </c>
      <c r="Q11" s="16"/>
    </row>
    <row r="12" customFormat="false" ht="12.75" hidden="false" customHeight="false" outlineLevel="0" collapsed="false">
      <c r="A12" s="14" t="s">
        <v>24</v>
      </c>
      <c r="B12" s="15" t="s">
        <v>25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20" t="n">
        <f aca="false">((C12/9)*12)-500000</f>
        <v>985995.8</v>
      </c>
      <c r="G12" s="17" t="n">
        <f aca="false">E12/$E$23</f>
        <v>0.0452169880506265</v>
      </c>
      <c r="H12" s="16" t="n">
        <v>20000</v>
      </c>
      <c r="I12" s="10"/>
      <c r="L12" s="11"/>
      <c r="N12" s="19" t="s">
        <v>26</v>
      </c>
      <c r="O12" s="19" t="s">
        <v>27</v>
      </c>
      <c r="P12" s="19" t="s">
        <v>19</v>
      </c>
      <c r="Q12" s="16"/>
    </row>
    <row r="13" customFormat="false" ht="13.5" hidden="false" customHeight="false" outlineLevel="0" collapsed="false">
      <c r="A13" s="14" t="s">
        <v>28</v>
      </c>
      <c r="B13" s="15" t="s">
        <v>29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20" t="n">
        <f aca="false">((C13/9)*12)-500000-500000</f>
        <v>877593.106666667</v>
      </c>
      <c r="G13" s="17" t="n">
        <f aca="false">E13/$E$23</f>
        <v>0.0402457262165406</v>
      </c>
      <c r="H13" s="16" t="n">
        <v>14000</v>
      </c>
      <c r="I13" s="21" t="s">
        <v>30</v>
      </c>
      <c r="J13" s="22"/>
      <c r="K13" s="22"/>
      <c r="L13" s="23" t="n">
        <f aca="false">L8+L11</f>
        <v>353148.3625</v>
      </c>
      <c r="N13" s="19" t="s">
        <v>31</v>
      </c>
      <c r="O13" s="19" t="s">
        <v>27</v>
      </c>
      <c r="P13" s="19" t="s">
        <v>19</v>
      </c>
      <c r="Q13" s="16"/>
    </row>
    <row r="14" customFormat="false" ht="12.75" hidden="false" customHeight="false" outlineLevel="0" collapsed="false">
      <c r="A14" s="14" t="s">
        <v>32</v>
      </c>
      <c r="B14" s="15" t="s">
        <v>33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20" t="n">
        <f aca="false">(C14/9)*12</f>
        <v>0.320000000026387</v>
      </c>
      <c r="G14" s="17" t="n">
        <f aca="false">E14/$E$23</f>
        <v>1.46749470711677E-008</v>
      </c>
      <c r="H14" s="16" t="n">
        <v>10000</v>
      </c>
      <c r="N14" s="19" t="s">
        <v>34</v>
      </c>
      <c r="O14" s="19" t="s">
        <v>35</v>
      </c>
      <c r="P14" s="19" t="s">
        <v>36</v>
      </c>
      <c r="Q14" s="16"/>
    </row>
    <row r="15" customFormat="false" ht="12.75" hidden="false" customHeight="false" outlineLevel="0" collapsed="false">
      <c r="A15" s="14" t="s">
        <v>37</v>
      </c>
      <c r="B15" s="15" t="s">
        <v>38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20" t="n">
        <f aca="false">((C15/9)*12)-75000</f>
        <v>139417.333333333</v>
      </c>
      <c r="G15" s="17" t="n">
        <f aca="false">E15/$E$23</f>
        <v>0.00639356871031657</v>
      </c>
      <c r="H15" s="16" t="n">
        <v>8000</v>
      </c>
      <c r="Q15" s="16"/>
    </row>
    <row r="16" customFormat="false" ht="12.75" hidden="false" customHeight="false" outlineLevel="0" collapsed="false">
      <c r="A16" s="14" t="s">
        <v>39</v>
      </c>
      <c r="B16" s="15" t="s">
        <v>40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20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41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42</v>
      </c>
      <c r="B17" s="15" t="s">
        <v>43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20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98.3333333333333</v>
      </c>
      <c r="I17" s="1" t="s">
        <v>44</v>
      </c>
      <c r="J17" s="1" t="n">
        <v>48400</v>
      </c>
      <c r="K17" s="1" t="n">
        <v>0</v>
      </c>
      <c r="L17" s="1" t="n">
        <f aca="false">J17*K17</f>
        <v>0</v>
      </c>
      <c r="Q17" s="16"/>
    </row>
    <row r="18" customFormat="false" ht="12.75" hidden="false" customHeight="false" outlineLevel="0" collapsed="false">
      <c r="A18" s="14" t="s">
        <v>45</v>
      </c>
      <c r="B18" s="15" t="s">
        <v>46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20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1785.91533333333</v>
      </c>
      <c r="I18" s="1" t="s">
        <v>47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48</v>
      </c>
      <c r="B19" s="15" t="s">
        <v>49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20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1820.172</v>
      </c>
      <c r="I19" s="1" t="s">
        <v>50</v>
      </c>
      <c r="J19" s="1" t="n">
        <v>57750</v>
      </c>
      <c r="K19" s="1" t="n">
        <v>0</v>
      </c>
      <c r="L19" s="1" t="n">
        <f aca="false">J19*K19</f>
        <v>0</v>
      </c>
      <c r="Q19" s="16"/>
    </row>
    <row r="20" customFormat="false" ht="12.75" hidden="false" customHeight="false" outlineLevel="0" collapsed="false">
      <c r="A20" s="14" t="s">
        <v>51</v>
      </c>
      <c r="B20" s="15" t="s">
        <v>52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20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0.266666666666667</v>
      </c>
      <c r="I20" s="1" t="s">
        <v>53</v>
      </c>
      <c r="J20" s="1" t="n">
        <v>71500</v>
      </c>
      <c r="K20" s="1" t="n">
        <v>0</v>
      </c>
      <c r="L20" s="1" t="n">
        <f aca="false">J20*K20</f>
        <v>0</v>
      </c>
      <c r="Q20" s="16"/>
    </row>
    <row r="21" customFormat="false" ht="12.75" hidden="false" customHeight="false" outlineLevel="0" collapsed="false">
      <c r="A21" s="14" t="s">
        <v>54</v>
      </c>
      <c r="B21" s="15" t="s">
        <v>55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20" t="n">
        <f aca="false">((C21/9)*12)-75000</f>
        <v>181051.88</v>
      </c>
      <c r="G21" s="17" t="n">
        <f aca="false">E21/$E$23</f>
        <v>0.00830289611223848</v>
      </c>
      <c r="H21" s="16" t="n">
        <v>2400</v>
      </c>
      <c r="I21" s="1" t="s">
        <v>56</v>
      </c>
      <c r="J21" s="1" t="n">
        <v>60500</v>
      </c>
      <c r="K21" s="1" t="n">
        <v>0</v>
      </c>
      <c r="L21" s="1" t="n">
        <f aca="false">J21*K21</f>
        <v>0</v>
      </c>
      <c r="P21" s="24"/>
      <c r="Q21" s="16"/>
    </row>
    <row r="22" customFormat="false" ht="12.75" hidden="false" customHeight="false" outlineLevel="0" collapsed="false">
      <c r="A22" s="14" t="s">
        <v>57</v>
      </c>
      <c r="B22" s="15" t="s">
        <v>58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20" t="n">
        <f aca="false">((C22/9)*12)-1000000-100000</f>
        <v>5242795.57333334</v>
      </c>
      <c r="G22" s="17" t="n">
        <f aca="false">E22/$E$23</f>
        <v>0.240430461053984</v>
      </c>
      <c r="H22" s="16" t="n">
        <v>0</v>
      </c>
      <c r="I22" s="1" t="s">
        <v>59</v>
      </c>
      <c r="J22" s="1" t="n">
        <v>89100</v>
      </c>
      <c r="K22" s="1" t="n">
        <v>2</v>
      </c>
      <c r="L22" s="1" t="n">
        <f aca="false">J22*K22</f>
        <v>178200</v>
      </c>
      <c r="P22" s="24"/>
      <c r="Q22" s="16"/>
    </row>
    <row r="23" customFormat="false" ht="12.75" hidden="false" customHeight="false" outlineLevel="0" collapsed="false">
      <c r="A23" s="25" t="s">
        <v>60</v>
      </c>
      <c r="B23" s="26" t="s">
        <v>61</v>
      </c>
      <c r="C23" s="27" t="n">
        <f aca="false">SUM(C8:C22)</f>
        <v>23348090.12</v>
      </c>
      <c r="E23" s="27" t="n">
        <f aca="false">SUM(E8:E22)</f>
        <v>21805870.8133333</v>
      </c>
      <c r="G23" s="28" t="n">
        <f aca="false">E23/$E$23</f>
        <v>1</v>
      </c>
      <c r="H23" s="27" t="n">
        <f aca="false">SUM(H8:H22)</f>
        <v>279072.687333333</v>
      </c>
      <c r="I23" s="1" t="s">
        <v>62</v>
      </c>
      <c r="J23" s="1" t="n">
        <v>110000</v>
      </c>
      <c r="K23" s="1" t="n">
        <v>0</v>
      </c>
      <c r="L23" s="1" t="n">
        <f aca="false">J23*K23</f>
        <v>0</v>
      </c>
      <c r="P23" s="24"/>
      <c r="Q23" s="29"/>
    </row>
    <row r="24" customFormat="false" ht="12.75" hidden="false" customHeight="false" outlineLevel="0" collapsed="false">
      <c r="I24" s="1" t="s">
        <v>63</v>
      </c>
      <c r="J24" s="1" t="n">
        <v>143000</v>
      </c>
      <c r="K24" s="1" t="n">
        <v>0</v>
      </c>
      <c r="L24" s="1" t="n">
        <f aca="false">J24*K24</f>
        <v>0</v>
      </c>
      <c r="P24" s="24"/>
      <c r="Q24" s="24"/>
    </row>
    <row r="25" customFormat="false" ht="12.75" hidden="false" customHeight="false" outlineLevel="0" collapsed="false">
      <c r="B25" s="26" t="s">
        <v>64</v>
      </c>
      <c r="C25" s="16"/>
      <c r="E25" s="30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30" t="n">
        <f aca="false">+K16+K17+K18+K19+K20+K23+K24+K25+K26+K27</f>
        <v>0</v>
      </c>
      <c r="I25" s="1" t="s">
        <v>65</v>
      </c>
      <c r="J25" s="1" t="n">
        <v>165000</v>
      </c>
      <c r="K25" s="1" t="n">
        <v>0</v>
      </c>
      <c r="L25" s="1" t="n">
        <f aca="false">J25*K25</f>
        <v>0</v>
      </c>
      <c r="P25" s="24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66</v>
      </c>
      <c r="J26" s="1" t="n">
        <v>198000</v>
      </c>
      <c r="K26" s="1" t="n">
        <v>0</v>
      </c>
      <c r="L26" s="1" t="n">
        <f aca="false">J26*K26</f>
        <v>0</v>
      </c>
      <c r="P26" s="24"/>
      <c r="Q26" s="16"/>
    </row>
    <row r="27" customFormat="false" ht="12.75" hidden="false" customHeight="false" outlineLevel="0" collapsed="false">
      <c r="B27" s="26" t="s">
        <v>67</v>
      </c>
      <c r="C27" s="16"/>
      <c r="E27" s="30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30" t="n">
        <f aca="false">+K21+K22</f>
        <v>2</v>
      </c>
      <c r="I27" s="1" t="s">
        <v>68</v>
      </c>
      <c r="J27" s="1" t="n">
        <v>220000</v>
      </c>
      <c r="K27" s="1" t="n">
        <v>0</v>
      </c>
      <c r="L27" s="1" t="n">
        <f aca="false">J27*K27</f>
        <v>0</v>
      </c>
      <c r="P27" s="24"/>
      <c r="Q27" s="16"/>
    </row>
    <row r="28" customFormat="false" ht="12.75" hidden="false" customHeight="false" outlineLevel="0" collapsed="false">
      <c r="K28" s="1" t="n">
        <f aca="false">SUM(K16:K27)</f>
        <v>2</v>
      </c>
      <c r="L28" s="1" t="n">
        <f aca="false">SUM(L16:L27)*1.2</f>
        <v>213840</v>
      </c>
      <c r="P28" s="24"/>
      <c r="Q28" s="24"/>
    </row>
    <row r="29" customFormat="false" ht="12.75" hidden="false" customHeight="false" outlineLevel="0" collapsed="false">
      <c r="B29" s="26" t="s">
        <v>69</v>
      </c>
      <c r="C29" s="16"/>
      <c r="E29" s="30" t="n">
        <f aca="false">SUM(E25:E27)</f>
        <v>160</v>
      </c>
      <c r="G29" s="1"/>
      <c r="H29" s="30" t="n">
        <f aca="false">SUM(H25:H27)</f>
        <v>2</v>
      </c>
      <c r="L29" s="31" t="n">
        <v>0.2</v>
      </c>
      <c r="P29" s="24"/>
      <c r="Q29" s="16"/>
    </row>
    <row r="30" customFormat="false" ht="12.75" hidden="true" customHeight="false" outlineLevel="0" collapsed="false">
      <c r="L30" s="1" t="n">
        <f aca="false">L28*1.2</f>
        <v>256608</v>
      </c>
      <c r="P30" s="24"/>
      <c r="Q30" s="24"/>
    </row>
    <row r="31" customFormat="false" ht="12.75" hidden="true" customHeight="false" outlineLevel="0" collapsed="false">
      <c r="H31" s="32" t="s">
        <v>70</v>
      </c>
      <c r="L31" s="0"/>
      <c r="P31" s="24"/>
      <c r="Q31" s="24"/>
    </row>
    <row r="32" customFormat="false" ht="12.75" hidden="true" customHeight="false" outlineLevel="0" collapsed="false">
      <c r="B32" s="15" t="s">
        <v>33</v>
      </c>
      <c r="C32" s="16" t="n">
        <v>254512</v>
      </c>
      <c r="L32" s="0"/>
      <c r="P32" s="24"/>
      <c r="Q32" s="24"/>
    </row>
    <row r="33" customFormat="false" ht="12.75" hidden="true" customHeight="false" outlineLevel="0" collapsed="false">
      <c r="H33" s="33" t="s">
        <v>71</v>
      </c>
      <c r="I33" s="34" t="s">
        <v>72</v>
      </c>
      <c r="J33" s="34" t="s">
        <v>73</v>
      </c>
      <c r="K33" s="34" t="s">
        <v>3</v>
      </c>
      <c r="L33" s="34" t="s">
        <v>74</v>
      </c>
      <c r="P33" s="24"/>
      <c r="Q33" s="24"/>
    </row>
    <row r="34" customFormat="false" ht="12.75" hidden="true" customHeight="false" outlineLevel="0" collapsed="false">
      <c r="H34" s="35" t="n">
        <f aca="false">SUM(E12:E22)</f>
        <v>7723229</v>
      </c>
      <c r="I34" s="34" t="n">
        <f aca="false">+E29</f>
        <v>160</v>
      </c>
      <c r="J34" s="34" t="n">
        <f aca="false">+H34/I34</f>
        <v>48270.18125</v>
      </c>
      <c r="K34" s="34" t="n">
        <f aca="false">+K11</f>
        <v>2</v>
      </c>
      <c r="L34" s="34" t="n">
        <f aca="false">+J34*K34</f>
        <v>96540.3625</v>
      </c>
      <c r="P34" s="24"/>
      <c r="Q34" s="24"/>
    </row>
    <row r="35" customFormat="false" ht="12.75" hidden="true" customHeight="false" outlineLevel="0" collapsed="false">
      <c r="P35" s="24"/>
      <c r="Q35" s="24"/>
    </row>
    <row r="36" customFormat="false" ht="12.75" hidden="true" customHeight="false" outlineLevel="0" collapsed="false">
      <c r="P36" s="24"/>
      <c r="Q36" s="24"/>
    </row>
    <row r="37" customFormat="false" ht="12.75" hidden="true" customHeight="false" outlineLevel="0" collapsed="false">
      <c r="P37" s="24"/>
      <c r="Q37" s="24"/>
    </row>
    <row r="38" customFormat="false" ht="12.75" hidden="true" customHeight="false" outlineLevel="0" collapsed="false">
      <c r="P38" s="24"/>
      <c r="Q38" s="24"/>
    </row>
    <row r="39" customFormat="false" ht="12.75" hidden="false" customHeight="false" outlineLevel="0" collapsed="false">
      <c r="P39" s="24"/>
      <c r="Q39" s="24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2002-01-02T17:10:57Z</dcterms:created>
  <dc:creator>dvandor</dc:creator>
  <dc:description/>
  <dc:language>en-US</dc:language>
  <cp:lastModifiedBy>least</cp:lastModifiedBy>
  <dcterms:modified xsi:type="dcterms:W3CDTF">2002-01-03T19:33:05Z</dcterms:modified>
  <cp:revision>0</cp:revision>
  <dc:subject/>
  <dc:title/>
</cp:coreProperties>
</file>