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esults" sheetId="1" state="visible" r:id="rId3"/>
    <sheet name="AG drivers" sheetId="2" state="visible" r:id="rId4"/>
    <sheet name="Contiguity" sheetId="3" state="visible" r:id="rId5"/>
    <sheet name="Headcuts" sheetId="4" state="visible" r:id="rId6"/>
    <sheet name="CS" sheetId="5" state="visible" r:id="rId7"/>
    <sheet name="O&amp;M data" sheetId="6" state="visible" r:id="rId8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<sst xmlns="http://schemas.openxmlformats.org/spreadsheetml/2006/main" count="1307" uniqueCount="307">
  <si>
    <t xml:space="preserve">SUMMARY RESULTS (with participant options)</t>
  </si>
  <si>
    <t xml:space="preserve">Input options for discretionary efficiencies </t>
  </si>
  <si>
    <t xml:space="preserve">Pipes-Pipes</t>
  </si>
  <si>
    <t xml:space="preserve">Pipes-Wires</t>
  </si>
  <si>
    <t xml:space="preserve">Item</t>
  </si>
  <si>
    <t xml:space="preserve">Efficiency savings</t>
  </si>
  <si>
    <t xml:space="preserve">Total Incremental A&amp;G Costs </t>
  </si>
  <si>
    <t xml:space="preserve">Corp Dev</t>
  </si>
  <si>
    <t xml:space="preserve">NA: 100% elimination</t>
  </si>
  <si>
    <t xml:space="preserve">O&amp;M Cost Savings</t>
  </si>
  <si>
    <t xml:space="preserve">Finance</t>
  </si>
  <si>
    <t xml:space="preserve">MIS</t>
  </si>
  <si>
    <t xml:space="preserve">Administrative</t>
  </si>
  <si>
    <t xml:space="preserve">Per O&amp;M efficencies</t>
  </si>
  <si>
    <t xml:space="preserve">Participants</t>
  </si>
  <si>
    <t xml:space="preserve">(Enter 1 if yes, 0 if no)</t>
  </si>
  <si>
    <t xml:space="preserve">Rates &amp; Reg Affairs</t>
  </si>
  <si>
    <t xml:space="preserve">NA: 100% elimination  for pipes; 0% for wires</t>
  </si>
  <si>
    <t xml:space="preserve">Cristobal A (electric)</t>
  </si>
  <si>
    <t xml:space="preserve">Cristobal B (electric)</t>
  </si>
  <si>
    <t xml:space="preserve">Legal</t>
  </si>
  <si>
    <t xml:space="preserve">Cristobal B (gas)</t>
  </si>
  <si>
    <t xml:space="preserve">Transportation</t>
  </si>
  <si>
    <t xml:space="preserve">Cristobal C (electric)</t>
  </si>
  <si>
    <t xml:space="preserve">Other</t>
  </si>
  <si>
    <t xml:space="preserve">Cristobal D (electric)</t>
  </si>
  <si>
    <t xml:space="preserve">Revenues Cycle Svces</t>
  </si>
  <si>
    <t xml:space="preserve">Cristobal D (gas)</t>
  </si>
  <si>
    <t xml:space="preserve">Cristobal E (electric</t>
  </si>
  <si>
    <t xml:space="preserve">LEGEND</t>
  </si>
  <si>
    <t xml:space="preserve">A</t>
  </si>
  <si>
    <t xml:space="preserve">AEP</t>
  </si>
  <si>
    <t xml:space="preserve">B</t>
  </si>
  <si>
    <t xml:space="preserve">CMS</t>
  </si>
  <si>
    <t xml:space="preserve">C</t>
  </si>
  <si>
    <t xml:space="preserve">Detroit Edision</t>
  </si>
  <si>
    <t xml:space="preserve">D</t>
  </si>
  <si>
    <t xml:space="preserve">Dominion Resources</t>
  </si>
  <si>
    <t xml:space="preserve">E</t>
  </si>
  <si>
    <t xml:space="preserve">First Energy</t>
  </si>
  <si>
    <t xml:space="preserve">A&amp;G</t>
  </si>
  <si>
    <t xml:space="preserve">A&amp;G: Pipes to Pipes Summary</t>
  </si>
  <si>
    <t xml:space="preserve">Pipes to Pipes</t>
  </si>
  <si>
    <t xml:space="preserve">Texas cost driver</t>
  </si>
  <si>
    <t xml:space="preserve">Cristobal "B"</t>
  </si>
  <si>
    <t xml:space="preserve">Cristobal "D"</t>
  </si>
  <si>
    <t xml:space="preserve">Texas</t>
  </si>
  <si>
    <t xml:space="preserve">Initial incremental cost to Texas</t>
  </si>
  <si>
    <t xml:space="preserve">Plus efficiency savings</t>
  </si>
  <si>
    <t xml:space="preserve">Equals total incremental cost to Texas</t>
  </si>
  <si>
    <t xml:space="preserve">Texas A&amp;G base cost (existing Texas pipes)</t>
  </si>
  <si>
    <t xml:space="preserve">Corporate Development</t>
  </si>
  <si>
    <t xml:space="preserve">Deal flow</t>
  </si>
  <si>
    <t xml:space="preserve">Expense/$ revenue</t>
  </si>
  <si>
    <t xml:space="preserve">Expense/employee</t>
  </si>
  <si>
    <t xml:space="preserve">Rates &amp; Regulatory Affairs</t>
  </si>
  <si>
    <t xml:space="preserve">Rate cases</t>
  </si>
  <si>
    <t xml:space="preserve">Expense/customer</t>
  </si>
  <si>
    <t xml:space="preserve">Other (including executive)</t>
  </si>
  <si>
    <t xml:space="preserve">Revenues Cycle Services</t>
  </si>
  <si>
    <t xml:space="preserve">TOTAL</t>
  </si>
  <si>
    <t xml:space="preserve">O&amp;M</t>
  </si>
  <si>
    <t xml:space="preserve">O&amp;M: Pipes to Pipes Summary</t>
  </si>
  <si>
    <t xml:space="preserve">3-year average Controllable O&amp;M/mile</t>
  </si>
  <si>
    <t xml:space="preserve">Current O&amp;M expense</t>
  </si>
  <si>
    <t xml:space="preserve">Pipe miles</t>
  </si>
  <si>
    <t xml:space="preserve">O&amp;M expense at Texas rate</t>
  </si>
  <si>
    <t xml:space="preserve">Efficiency Savings</t>
  </si>
  <si>
    <t xml:space="preserve">A&amp;G: Pipes to Wires Summary</t>
  </si>
  <si>
    <t xml:space="preserve">Pipes to Wires</t>
  </si>
  <si>
    <t xml:space="preserve">Cristobal "A"</t>
  </si>
  <si>
    <t xml:space="preserve">Cristobal "C"</t>
  </si>
  <si>
    <t xml:space="preserve">Cristobal "E"</t>
  </si>
  <si>
    <t xml:space="preserve">?</t>
  </si>
  <si>
    <t xml:space="preserve">A&amp;G drivers</t>
  </si>
  <si>
    <t xml:space="preserve">Derivation of expenses from McK Report</t>
  </si>
  <si>
    <t xml:space="preserve">Expense </t>
  </si>
  <si>
    <t xml:space="preserve">Expense (check)</t>
  </si>
  <si>
    <t xml:space="preserve">(McK categories)</t>
  </si>
  <si>
    <t xml:space="preserve">(based on $000/mile)</t>
  </si>
  <si>
    <t xml:space="preserve">(based on $/BDT miles)</t>
  </si>
  <si>
    <t xml:space="preserve">Driver</t>
  </si>
  <si>
    <t xml:space="preserve">Driver = # deals</t>
  </si>
  <si>
    <t xml:space="preserve">Gas</t>
  </si>
  <si>
    <t xml:space="preserve">Miles (McK)</t>
  </si>
  <si>
    <t xml:space="preserve">Headcount (McK)</t>
  </si>
  <si>
    <t xml:space="preserve">BDT Miles (McK)</t>
  </si>
  <si>
    <t xml:space="preserve">MMcfD (McK)</t>
  </si>
  <si>
    <t xml:space="preserve">NNG</t>
  </si>
  <si>
    <t xml:space="preserve">TWP</t>
  </si>
  <si>
    <t xml:space="preserve">Driver = revenues</t>
  </si>
  <si>
    <t xml:space="preserve">Expense/$revenue</t>
  </si>
  <si>
    <t xml:space="preserve">Revenues (RDI)</t>
  </si>
  <si>
    <t xml:space="preserve">Customers (RDI)</t>
  </si>
  <si>
    <t xml:space="preserve">Texas Average</t>
  </si>
  <si>
    <t xml:space="preserve">CMS P</t>
  </si>
  <si>
    <t xml:space="preserve">CMS T</t>
  </si>
  <si>
    <t xml:space="preserve">CNG</t>
  </si>
  <si>
    <t xml:space="preserve">Electric</t>
  </si>
  <si>
    <t xml:space="preserve">Allocated Tx FTE (based on salary ratio)</t>
  </si>
  <si>
    <t xml:space="preserve">Embd Cost Trans $ (rev. proxy)</t>
  </si>
  <si>
    <t xml:space="preserve">Company Name</t>
  </si>
  <si>
    <t xml:space="preserve">Holding Company Name</t>
  </si>
  <si>
    <t xml:space="preserve">Year</t>
  </si>
  <si>
    <t xml:space="preserve">Driver = headcount</t>
  </si>
  <si>
    <t xml:space="preserve">Expense/HC</t>
  </si>
  <si>
    <t xml:space="preserve">Appalachian Power Co.</t>
  </si>
  <si>
    <t xml:space="preserve">American Electric Power Co., Inc.</t>
  </si>
  <si>
    <t xml:space="preserve">Columbus Southern Power Co.</t>
  </si>
  <si>
    <t xml:space="preserve">Indiana Michigan Power Co.</t>
  </si>
  <si>
    <t xml:space="preserve">Kentucky Power Co.</t>
  </si>
  <si>
    <t xml:space="preserve">Kingsport Power Co.</t>
  </si>
  <si>
    <t xml:space="preserve">Driver = rate filings</t>
  </si>
  <si>
    <t xml:space="preserve">Ohio Power Co.</t>
  </si>
  <si>
    <t xml:space="preserve">Wheeling Power Co.</t>
  </si>
  <si>
    <t xml:space="preserve">Consumers Energy Co</t>
  </si>
  <si>
    <t xml:space="preserve">CMS Energy Corp.</t>
  </si>
  <si>
    <t xml:space="preserve">Virginia Electric &amp; Power Co.</t>
  </si>
  <si>
    <t xml:space="preserve">Dominion Resources, Inc.</t>
  </si>
  <si>
    <t xml:space="preserve">Detroit Edison Co.</t>
  </si>
  <si>
    <t xml:space="preserve">DTE Energy Co.</t>
  </si>
  <si>
    <t xml:space="preserve">Cleveland Electric Illuminating Co.</t>
  </si>
  <si>
    <t xml:space="preserve">FirstEnergy Corp.</t>
  </si>
  <si>
    <t xml:space="preserve">Ohio Edison Co.</t>
  </si>
  <si>
    <t xml:space="preserve">Pennsylvania Power Co.</t>
  </si>
  <si>
    <t xml:space="preserve">Toledo Edison Co.</t>
  </si>
  <si>
    <t xml:space="preserve">Transportation ("marketing")</t>
  </si>
  <si>
    <t xml:space="preserve">Driver = customers</t>
  </si>
  <si>
    <t xml:space="preserve">Expense/Customer</t>
  </si>
  <si>
    <t xml:space="preserve">Driver Recap</t>
  </si>
  <si>
    <t xml:space="preserve">Calculation</t>
  </si>
  <si>
    <r>
      <rPr>
        <b val="true"/>
        <sz val="10"/>
        <rFont val="Arial"/>
        <family val="2"/>
      </rPr>
      <t xml:space="preserve">HR </t>
    </r>
    <r>
      <rPr>
        <sz val="10"/>
        <rFont val="Arial"/>
        <family val="2"/>
      </rPr>
      <t xml:space="preserve">(already embedded in Admin)</t>
    </r>
  </si>
  <si>
    <t xml:space="preserve">Insurance</t>
  </si>
  <si>
    <t xml:space="preserve">(by $000/mmcfd)</t>
  </si>
  <si>
    <t xml:space="preserve">CS/CA/CSI sans uncollectibles</t>
  </si>
  <si>
    <t xml:space="preserve">Driver = Customers</t>
  </si>
  <si>
    <t xml:space="preserve">Check that McK numbers match RDI numbers</t>
  </si>
  <si>
    <t xml:space="preserve">1997 A&amp;G (NNG &amp; TWP)</t>
  </si>
  <si>
    <t xml:space="preserve">RDI Calculation</t>
  </si>
  <si>
    <t xml:space="preserve">McK Calculation</t>
  </si>
  <si>
    <t xml:space="preserve">AG O: Salaries $</t>
  </si>
  <si>
    <t xml:space="preserve">AG O: Office Supply $</t>
  </si>
  <si>
    <t xml:space="preserve">AG O: Outside Serv $</t>
  </si>
  <si>
    <t xml:space="preserve">AG O: Property Insur $</t>
  </si>
  <si>
    <t xml:space="preserve">AG O: Injury &amp; Dam $</t>
  </si>
  <si>
    <t xml:space="preserve">AG O: Pens &amp; Ben $</t>
  </si>
  <si>
    <t xml:space="preserve">AG O: Regulatory $</t>
  </si>
  <si>
    <t xml:space="preserve">AG O: Gen Advertising $</t>
  </si>
  <si>
    <t xml:space="preserve">AG O: Misc $</t>
  </si>
  <si>
    <t xml:space="preserve">AG O: Rents $</t>
  </si>
  <si>
    <t xml:space="preserve">Tot Admin &amp; General $</t>
  </si>
  <si>
    <t xml:space="preserve">ID</t>
  </si>
  <si>
    <t xml:space="preserve">Pipeline Co Name</t>
  </si>
  <si>
    <t xml:space="preserve">State with Miles</t>
  </si>
  <si>
    <t xml:space="preserve">Offshore</t>
  </si>
  <si>
    <t xml:space="preserve">Owned</t>
  </si>
  <si>
    <t xml:space="preserve">Operated</t>
  </si>
  <si>
    <t xml:space="preserve">Total Line Miles</t>
  </si>
  <si>
    <t xml:space="preserve">CMS Trunkline Gas Co.</t>
  </si>
  <si>
    <t xml:space="preserve">AR</t>
  </si>
  <si>
    <t xml:space="preserve">N</t>
  </si>
  <si>
    <t xml:space="preserve">Y</t>
  </si>
  <si>
    <t xml:space="preserve">Transwestern Pipeline Co.</t>
  </si>
  <si>
    <t xml:space="preserve">AZ</t>
  </si>
  <si>
    <t xml:space="preserve">CA</t>
  </si>
  <si>
    <t xml:space="preserve">CO</t>
  </si>
  <si>
    <t xml:space="preserve">Northern Natural Gas Co.</t>
  </si>
  <si>
    <t xml:space="preserve">IA</t>
  </si>
  <si>
    <t xml:space="preserve">CMS Panhandle Eastern Pipe Line Co.</t>
  </si>
  <si>
    <t xml:space="preserve">IL</t>
  </si>
  <si>
    <t xml:space="preserve">Total miles (check)</t>
  </si>
  <si>
    <t xml:space="preserve">IN</t>
  </si>
  <si>
    <t xml:space="preserve">KS</t>
  </si>
  <si>
    <t xml:space="preserve">KY</t>
  </si>
  <si>
    <t xml:space="preserve">LA</t>
  </si>
  <si>
    <t xml:space="preserve">Total</t>
  </si>
  <si>
    <t xml:space="preserve">Overlap</t>
  </si>
  <si>
    <t xml:space="preserve">% overlap</t>
  </si>
  <si>
    <t xml:space="preserve">CNG Transmission Corp.</t>
  </si>
  <si>
    <t xml:space="preserve">MD</t>
  </si>
  <si>
    <t xml:space="preserve">Overlap in KS, OK, TX</t>
  </si>
  <si>
    <t xml:space="preserve">MI</t>
  </si>
  <si>
    <t xml:space="preserve">MN</t>
  </si>
  <si>
    <t xml:space="preserve">MO</t>
  </si>
  <si>
    <t xml:space="preserve">% CMS P that overlaps with Texas pipe</t>
  </si>
  <si>
    <t xml:space="preserve">MS</t>
  </si>
  <si>
    <t xml:space="preserve">% CMS T that overlaps with Texas pipe</t>
  </si>
  <si>
    <t xml:space="preserve">NE</t>
  </si>
  <si>
    <t xml:space="preserve">% CNG that overlaps with Texas pipe</t>
  </si>
  <si>
    <t xml:space="preserve">NM</t>
  </si>
  <si>
    <t xml:space="preserve">NY</t>
  </si>
  <si>
    <t xml:space="preserve">OH</t>
  </si>
  <si>
    <t xml:space="preserve">OK</t>
  </si>
  <si>
    <t xml:space="preserve">PA</t>
  </si>
  <si>
    <t xml:space="preserve">SD</t>
  </si>
  <si>
    <t xml:space="preserve">TN</t>
  </si>
  <si>
    <t xml:space="preserve">TX</t>
  </si>
  <si>
    <t xml:space="preserve">VA</t>
  </si>
  <si>
    <t xml:space="preserve">WI</t>
  </si>
  <si>
    <t xml:space="preserve">WV</t>
  </si>
  <si>
    <t xml:space="preserve">Miles check</t>
  </si>
  <si>
    <t xml:space="preserve">Florida Gas Transmission Co.</t>
  </si>
  <si>
    <t xml:space="preserve">AL</t>
  </si>
  <si>
    <t xml:space="preserve">FL</t>
  </si>
  <si>
    <t xml:space="preserve">McK</t>
  </si>
  <si>
    <t xml:space="preserve">Northern Border Pipeline Co.</t>
  </si>
  <si>
    <t xml:space="preserve">MT</t>
  </si>
  <si>
    <t xml:space="preserve">ND</t>
  </si>
  <si>
    <t xml:space="preserve">PIPES </t>
  </si>
  <si>
    <t xml:space="preserve">Entity Name</t>
  </si>
  <si>
    <t xml:space="preserve">Tot Salaries &amp; Wages $</t>
  </si>
  <si>
    <t xml:space="preserve">Employees</t>
  </si>
  <si>
    <t xml:space="preserve">1995 FTE</t>
  </si>
  <si>
    <t xml:space="preserve">Salary /FTE</t>
  </si>
  <si>
    <t xml:space="preserve">Avg Sal/FTE</t>
  </si>
  <si>
    <t xml:space="preserve">P-P O&amp;M Savings</t>
  </si>
  <si>
    <t xml:space="preserve">From Pax</t>
  </si>
  <si>
    <t xml:space="preserve">ENE</t>
  </si>
  <si>
    <t xml:space="preserve">Pipes Headcut</t>
  </si>
  <si>
    <t xml:space="preserve">%</t>
  </si>
  <si>
    <t xml:space="preserve">Gas: O&amp;M TX Salaries</t>
  </si>
  <si>
    <t xml:space="preserve">Controllable Tx O&amp;M</t>
  </si>
  <si>
    <t xml:space="preserve">Sal as % of Tx O&amp;M</t>
  </si>
  <si>
    <t xml:space="preserve">Pipes Personnel Separation Costs</t>
  </si>
  <si>
    <t xml:space="preserve">Cristobal B</t>
  </si>
  <si>
    <t xml:space="preserve">Cristobal D</t>
  </si>
  <si>
    <t xml:space="preserve">One year salary</t>
  </si>
  <si>
    <t xml:space="preserve">Outplacement/other)</t>
  </si>
  <si>
    <t xml:space="preserve">Total separation cost</t>
  </si>
  <si>
    <t xml:space="preserve">Percentage O&amp;M expense from labor</t>
  </si>
  <si>
    <t xml:space="preserve">1998 CMS Avg</t>
  </si>
  <si>
    <t xml:space="preserve">1998 CNG Avg</t>
  </si>
  <si>
    <t xml:space="preserve">Three year total</t>
  </si>
  <si>
    <t xml:space="preserve">WIRES</t>
  </si>
  <si>
    <t xml:space="preserve">O&amp;M Efficiency cut</t>
  </si>
  <si>
    <t xml:space="preserve">Sal: Elec O&amp;M Transmission $</t>
  </si>
  <si>
    <t xml:space="preserve">FTE</t>
  </si>
  <si>
    <t xml:space="preserve">Wage Ratio-Tx (%)</t>
  </si>
  <si>
    <t xml:space="preserve">Allocated Tx FTE (by wage ratio)</t>
  </si>
  <si>
    <t xml:space="preserve">Sal: Elec Total Dept O&amp;M $</t>
  </si>
  <si>
    <t xml:space="preserve">Avg Tx Wage</t>
  </si>
  <si>
    <t xml:space="preserve">Wires Personnel Separation Costs</t>
  </si>
  <si>
    <t xml:space="preserve">Cristobal A</t>
  </si>
  <si>
    <t xml:space="preserve">Cristobal C</t>
  </si>
  <si>
    <t xml:space="preserve">Cristobal E</t>
  </si>
  <si>
    <t xml:space="preserve">Outplacement/other</t>
  </si>
  <si>
    <t xml:space="preserve">AEP TOTAL</t>
  </si>
  <si>
    <t xml:space="preserve">Consumers Energy Co.</t>
  </si>
  <si>
    <t xml:space="preserve">% headcut</t>
  </si>
  <si>
    <t xml:space="preserve">% outplacement cost</t>
  </si>
  <si>
    <t xml:space="preserve">FIRST ENERGY TOTAL</t>
  </si>
  <si>
    <t xml:space="preserve">GRAND TOTAL</t>
  </si>
  <si>
    <t xml:space="preserve">Various calculations to determine 1998 gas FTE level based on continuing trends</t>
  </si>
  <si>
    <t xml:space="preserve">Revenues</t>
  </si>
  <si>
    <t xml:space="preserve">CAGR</t>
  </si>
  <si>
    <t xml:space="preserve">Rev/Emp</t>
  </si>
  <si>
    <t xml:space="preserve">Annual cut</t>
  </si>
  <si>
    <t xml:space="preserve">Assume a continuation of CAGR cuts</t>
  </si>
  <si>
    <t xml:space="preserve">CA: Tot $</t>
  </si>
  <si>
    <t xml:space="preserve">CSI: Tot $</t>
  </si>
  <si>
    <t xml:space="preserve">SA: Tot $</t>
  </si>
  <si>
    <t xml:space="preserve">CA: Uncollect Acct $</t>
  </si>
  <si>
    <t xml:space="preserve">Total sans Uncollectibles</t>
  </si>
  <si>
    <t xml:space="preserve">Transmission O&amp;M Data</t>
  </si>
  <si>
    <t xml:space="preserve">Und O: Tot $</t>
  </si>
  <si>
    <t xml:space="preserve">Und M: Tot $</t>
  </si>
  <si>
    <t xml:space="preserve">Oth O: Tot $</t>
  </si>
  <si>
    <t xml:space="preserve">Oth M: Tot $</t>
  </si>
  <si>
    <t xml:space="preserve">Tran O: Super &amp; Engin $</t>
  </si>
  <si>
    <t xml:space="preserve">Tran O: Load Disp $</t>
  </si>
  <si>
    <t xml:space="preserve">Tran O: Comm Sys Exp $</t>
  </si>
  <si>
    <t xml:space="preserve">Tran O: Comp Sta Labor &amp; Exp $</t>
  </si>
  <si>
    <t xml:space="preserve">Tran O: Comp Sta Fuel $</t>
  </si>
  <si>
    <t xml:space="preserve">Tran O: Other Fuel &amp; Pwr $</t>
  </si>
  <si>
    <t xml:space="preserve">Tran O: Mains Exp $</t>
  </si>
  <si>
    <t xml:space="preserve">Tran O: Meas &amp; Reg Sta Exp $</t>
  </si>
  <si>
    <t xml:space="preserve">Tran O: Trans by Others $</t>
  </si>
  <si>
    <t xml:space="preserve">Tran O: Other Exp $</t>
  </si>
  <si>
    <t xml:space="preserve">Tran O: Rents $</t>
  </si>
  <si>
    <t xml:space="preserve">Tran M: Super &amp; Engin $</t>
  </si>
  <si>
    <t xml:space="preserve">Tran M: Struc &amp; Impr $</t>
  </si>
  <si>
    <t xml:space="preserve">Tran M: Mains $</t>
  </si>
  <si>
    <t xml:space="preserve">Tran M: Comp Sta Eq $</t>
  </si>
  <si>
    <t xml:space="preserve">Tran M: Meas &amp; Reg Sta Eq $</t>
  </si>
  <si>
    <t xml:space="preserve">Tran M: Comm Eq $</t>
  </si>
  <si>
    <t xml:space="preserve">Tran M: Other Eq $</t>
  </si>
  <si>
    <t xml:space="preserve">Total Tx O&amp;M</t>
  </si>
  <si>
    <t xml:space="preserve">Controllable Tx O&amp;M per FTE</t>
  </si>
  <si>
    <t xml:space="preserve">TOTAL CA/CSI/SA</t>
  </si>
  <si>
    <t xml:space="preserve">Total CMS</t>
  </si>
  <si>
    <t xml:space="preserve">Total Enron</t>
  </si>
  <si>
    <t xml:space="preserve">Controllable O&amp;M/mile</t>
  </si>
  <si>
    <t xml:space="preserve">Note</t>
  </si>
  <si>
    <t xml:space="preserve">Controllable O&amp;M/DTH</t>
  </si>
  <si>
    <t xml:space="preserve">Used 1997 miles for 1998</t>
  </si>
  <si>
    <t xml:space="preserve">Tot: Quantity Dth</t>
  </si>
  <si>
    <t xml:space="preserve">Total ENE</t>
  </si>
  <si>
    <t xml:space="preserve">Total ENE Three Year Average</t>
  </si>
  <si>
    <t xml:space="preserve">Total CMS Three Year Average</t>
  </si>
  <si>
    <t xml:space="preserve">Total CNG</t>
  </si>
  <si>
    <t xml:space="preserve">Total CNG Three Year Average</t>
  </si>
  <si>
    <t xml:space="preserve">THREE YEAR AVG</t>
  </si>
  <si>
    <t xml:space="preserve">Tot Storage, Terminaling &amp; Processing $</t>
  </si>
  <si>
    <t xml:space="preserve">Tran O&amp;M Tot $</t>
  </si>
  <si>
    <t xml:space="preserve">Miles</t>
  </si>
  <si>
    <t xml:space="preserve">Controllable O&amp;M</t>
  </si>
  <si>
    <t xml:space="preserve">Controllable O&amp;M/FTE</t>
  </si>
</sst>
</file>

<file path=xl/styles.xml><?xml version="1.0" encoding="utf-8"?>
<styleSheet xmlns="http://schemas.openxmlformats.org/spreadsheetml/2006/main">
  <numFmts count="11">
    <numFmt numFmtId="164" formatCode="General"/>
    <numFmt numFmtId="165" formatCode="\$#,##0"/>
    <numFmt numFmtId="166" formatCode="0%"/>
    <numFmt numFmtId="167" formatCode="0.0%"/>
    <numFmt numFmtId="168" formatCode="_(\$* #,##0_);_(\$* \(#,##0\);_(\$* \-_);_(@_)"/>
    <numFmt numFmtId="169" formatCode="#,##0"/>
    <numFmt numFmtId="170" formatCode="\$#,##0.00"/>
    <numFmt numFmtId="171" formatCode="\$#,##0.000"/>
    <numFmt numFmtId="172" formatCode="0"/>
    <numFmt numFmtId="173" formatCode="0.000"/>
    <numFmt numFmtId="174" formatCode="#,##0.0"/>
  </numFmts>
  <fonts count="1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sz val="6"/>
      <name val="Arial"/>
      <family val="2"/>
    </font>
    <font>
      <b val="true"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 val="true"/>
      <sz val="9"/>
      <name val="Arial"/>
      <family val="2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59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thin"/>
      <right style="medium"/>
      <top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/>
      <top style="medium"/>
      <bottom style="medium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medium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/>
      <top style="medium"/>
      <bottom style="thin"/>
      <diagonal/>
    </border>
    <border diagonalUp="false" diagonalDown="false">
      <left style="thin"/>
      <right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4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64" fontId="0" fillId="0" borderId="0" applyFont="true" applyBorder="false" applyAlignment="false" applyProtection="false"/>
  </cellStyleXfs>
  <cellXfs count="30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1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7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2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2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25" xfId="15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8" fillId="0" borderId="2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0" fillId="0" borderId="5" xfId="15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0" fillId="0" borderId="27" xfId="15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2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26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5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5" xfId="15" applyFont="fals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3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3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2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0" fillId="0" borderId="2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0" fillId="0" borderId="2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3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3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3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3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3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3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0" fillId="0" borderId="37" xfId="17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0" borderId="3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39" xfId="15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39" xfId="17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8" fillId="0" borderId="3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4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3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17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15" applyFont="false" applyBorder="true" applyAlignment="true" applyProtection="true">
      <alignment horizontal="right" vertical="bottom" textRotation="0" wrapText="false" indent="0" shrinkToFit="false"/>
      <protection locked="true" hidden="false"/>
    </xf>
    <xf numFmtId="165" fontId="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15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15" xfId="17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15" xfId="15" applyFont="false" applyBorder="true" applyAlignment="true" applyProtection="true">
      <alignment horizontal="right" vertical="bottom" textRotation="0" wrapText="false" indent="0" shrinkToFit="false"/>
      <protection locked="true" hidden="false"/>
    </xf>
    <xf numFmtId="165" fontId="8" fillId="0" borderId="1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15" xfId="15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3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4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3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4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44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45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46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24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25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43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4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4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3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8" fillId="0" borderId="3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8" fillId="0" borderId="3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4" fillId="0" borderId="3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31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8" fillId="0" borderId="2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4" fillId="0" borderId="4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3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4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5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3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5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5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5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5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9" fontId="0" fillId="0" borderId="4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5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4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5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50" xfId="17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5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5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5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5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4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5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5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5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5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4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5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5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5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1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9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4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4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5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5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5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4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5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5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5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5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17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5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54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8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43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5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5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5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7" fillId="0" borderId="1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2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6" fillId="0" borderId="4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4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4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5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17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15" xfId="15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15" xfId="17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54" xfId="15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54" xfId="17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5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8" fillId="0" borderId="5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57" xfId="17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57" xfId="15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5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35" xfId="15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49" xfId="15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5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6" xfId="15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50" xfId="15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1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1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15" xfId="17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16" xfId="15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55" xfId="15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50" xfId="17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5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5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5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4" fillId="0" borderId="5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AL8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6.7"/>
    <col collapsed="false" customWidth="true" hidden="false" outlineLevel="0" max="2" min="2" style="0" width="23.56"/>
    <col collapsed="false" customWidth="true" hidden="false" outlineLevel="0" max="3" min="3" style="0" width="17.85"/>
    <col collapsed="false" customWidth="true" hidden="false" outlineLevel="0" max="5" min="4" style="1" width="16.7"/>
    <col collapsed="false" customWidth="true" hidden="false" outlineLevel="0" max="6" min="6" style="0" width="16.7"/>
    <col collapsed="false" customWidth="true" hidden="false" outlineLevel="0" max="7" min="7" style="0" width="16.84"/>
    <col collapsed="false" customWidth="true" hidden="false" outlineLevel="0" max="8" min="8" style="0" width="16.99"/>
    <col collapsed="false" customWidth="true" hidden="false" outlineLevel="0" max="18" min="9" style="0" width="16.7"/>
    <col collapsed="false" customWidth="true" hidden="false" outlineLevel="0" max="19" min="19" style="0" width="9.28"/>
  </cols>
  <sheetData>
    <row r="2" customFormat="false" ht="12.75" hidden="false" customHeight="false" outlineLevel="0" collapsed="false">
      <c r="A2" s="2" t="s">
        <v>0</v>
      </c>
      <c r="B2" s="2"/>
      <c r="C2" s="2"/>
    </row>
    <row r="3" customFormat="false" ht="13.5" hidden="false" customHeight="false" outlineLevel="0" collapsed="false"/>
    <row r="4" customFormat="false" ht="12.75" hidden="false" customHeight="false" outlineLevel="0" collapsed="false">
      <c r="B4" s="3"/>
      <c r="C4" s="4"/>
      <c r="D4" s="5"/>
      <c r="E4" s="6"/>
      <c r="F4" s="7"/>
      <c r="G4" s="8" t="s">
        <v>1</v>
      </c>
      <c r="H4" s="8"/>
      <c r="I4" s="9"/>
      <c r="M4" s="10"/>
    </row>
    <row r="5" customFormat="false" ht="11.25" hidden="false" customHeight="false" outlineLevel="0" collapsed="false">
      <c r="A5" s="11"/>
      <c r="B5" s="12"/>
      <c r="C5" s="13" t="s">
        <v>2</v>
      </c>
      <c r="D5" s="13" t="s">
        <v>3</v>
      </c>
      <c r="E5" s="14"/>
      <c r="F5" s="15"/>
      <c r="G5" s="16" t="s">
        <v>4</v>
      </c>
      <c r="H5" s="17" t="s">
        <v>5</v>
      </c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</row>
    <row r="6" customFormat="false" ht="12.75" hidden="false" customHeight="false" outlineLevel="0" collapsed="false">
      <c r="A6" s="19"/>
      <c r="B6" s="12" t="s">
        <v>6</v>
      </c>
      <c r="C6" s="20" t="n">
        <f aca="false">(C13*F40)+(C16*I40)</f>
        <v>91291852.5955631</v>
      </c>
      <c r="D6" s="20" t="n">
        <f aca="false">(C11*F65)+(C12*I65)+(C14*L65)+(C15*O65)+(C17*R65)</f>
        <v>75126716.0633645</v>
      </c>
      <c r="E6" s="21"/>
      <c r="F6" s="15"/>
      <c r="G6" s="22" t="s">
        <v>7</v>
      </c>
      <c r="H6" s="23" t="s">
        <v>8</v>
      </c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</row>
    <row r="7" customFormat="false" ht="12.75" hidden="false" customHeight="false" outlineLevel="0" collapsed="false">
      <c r="A7" s="19"/>
      <c r="B7" s="24" t="s">
        <v>9</v>
      </c>
      <c r="C7" s="20" t="n">
        <f aca="false">(C13*H48)+(C16*M48)</f>
        <v>83668309.2587183</v>
      </c>
      <c r="D7" s="20" t="n">
        <v>0</v>
      </c>
      <c r="E7" s="21"/>
      <c r="F7" s="15"/>
      <c r="G7" s="22" t="s">
        <v>10</v>
      </c>
      <c r="H7" s="25" t="n">
        <v>0.25</v>
      </c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</row>
    <row r="8" customFormat="false" ht="11.25" hidden="false" customHeight="false" outlineLevel="0" collapsed="false">
      <c r="A8" s="19"/>
      <c r="B8" s="24"/>
      <c r="C8" s="26"/>
      <c r="D8" s="19"/>
      <c r="E8" s="21"/>
      <c r="F8" s="15"/>
      <c r="G8" s="22" t="s">
        <v>11</v>
      </c>
      <c r="H8" s="25" t="n">
        <v>0</v>
      </c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</row>
    <row r="9" customFormat="false" ht="12.75" hidden="false" customHeight="true" outlineLevel="0" collapsed="false">
      <c r="A9" s="19"/>
      <c r="B9" s="27"/>
      <c r="C9" s="19"/>
      <c r="D9" s="28"/>
      <c r="E9" s="21"/>
      <c r="F9" s="18"/>
      <c r="G9" s="22" t="s">
        <v>12</v>
      </c>
      <c r="H9" s="23" t="s">
        <v>13</v>
      </c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</row>
    <row r="10" customFormat="false" ht="12.75" hidden="false" customHeight="true" outlineLevel="0" collapsed="false">
      <c r="A10" s="18"/>
      <c r="B10" s="29" t="s">
        <v>14</v>
      </c>
      <c r="C10" s="26" t="s">
        <v>15</v>
      </c>
      <c r="D10" s="28"/>
      <c r="E10" s="21"/>
      <c r="F10" s="18"/>
      <c r="G10" s="30" t="s">
        <v>16</v>
      </c>
      <c r="H10" s="31" t="s">
        <v>17</v>
      </c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</row>
    <row r="11" customFormat="false" ht="12.75" hidden="false" customHeight="false" outlineLevel="0" collapsed="false">
      <c r="A11" s="18"/>
      <c r="B11" s="29" t="s">
        <v>18</v>
      </c>
      <c r="C11" s="32" t="n">
        <v>1</v>
      </c>
      <c r="D11" s="28"/>
      <c r="E11" s="21"/>
      <c r="F11" s="18"/>
      <c r="G11" s="30"/>
      <c r="H11" s="31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</row>
    <row r="12" customFormat="false" ht="12.75" hidden="false" customHeight="false" outlineLevel="0" collapsed="false">
      <c r="A12" s="18"/>
      <c r="B12" s="29" t="s">
        <v>19</v>
      </c>
      <c r="C12" s="32" t="n">
        <v>1</v>
      </c>
      <c r="D12" s="28"/>
      <c r="E12" s="21"/>
      <c r="F12" s="18"/>
      <c r="G12" s="22" t="s">
        <v>20</v>
      </c>
      <c r="H12" s="33" t="n">
        <v>0.075</v>
      </c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</row>
    <row r="13" customFormat="false" ht="12.75" hidden="false" customHeight="false" outlineLevel="0" collapsed="false">
      <c r="A13" s="18"/>
      <c r="B13" s="29" t="s">
        <v>21</v>
      </c>
      <c r="C13" s="32" t="n">
        <v>1</v>
      </c>
      <c r="D13" s="28"/>
      <c r="E13" s="21"/>
      <c r="F13" s="18"/>
      <c r="G13" s="22" t="s">
        <v>22</v>
      </c>
      <c r="H13" s="25" t="n">
        <v>0</v>
      </c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</row>
    <row r="14" customFormat="false" ht="12.75" hidden="false" customHeight="false" outlineLevel="0" collapsed="false">
      <c r="A14" s="18"/>
      <c r="B14" s="29" t="s">
        <v>23</v>
      </c>
      <c r="C14" s="32" t="n">
        <v>1</v>
      </c>
      <c r="D14" s="28"/>
      <c r="E14" s="21"/>
      <c r="F14" s="18"/>
      <c r="G14" s="22" t="s">
        <v>24</v>
      </c>
      <c r="H14" s="25" t="n">
        <v>0</v>
      </c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</row>
    <row r="15" customFormat="false" ht="13.5" hidden="false" customHeight="false" outlineLevel="0" collapsed="false">
      <c r="A15" s="18"/>
      <c r="B15" s="29" t="s">
        <v>25</v>
      </c>
      <c r="C15" s="32" t="n">
        <v>1</v>
      </c>
      <c r="D15" s="28"/>
      <c r="E15" s="21"/>
      <c r="F15" s="18"/>
      <c r="G15" s="34" t="s">
        <v>26</v>
      </c>
      <c r="H15" s="35" t="n">
        <v>0</v>
      </c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</row>
    <row r="16" customFormat="false" ht="13.5" hidden="false" customHeight="false" outlineLevel="0" collapsed="false">
      <c r="A16" s="18"/>
      <c r="B16" s="29" t="s">
        <v>27</v>
      </c>
      <c r="C16" s="32" t="n">
        <v>1</v>
      </c>
      <c r="D16" s="28"/>
      <c r="E16" s="21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</row>
    <row r="17" customFormat="false" ht="12.75" hidden="false" customHeight="false" outlineLevel="0" collapsed="false">
      <c r="A17" s="18"/>
      <c r="B17" s="29" t="s">
        <v>28</v>
      </c>
      <c r="C17" s="32" t="n">
        <v>1</v>
      </c>
      <c r="D17" s="28"/>
      <c r="E17" s="21"/>
      <c r="F17" s="18"/>
      <c r="G17" s="36" t="s">
        <v>29</v>
      </c>
      <c r="H17" s="36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</row>
    <row r="18" customFormat="false" ht="12" hidden="false" customHeight="false" outlineLevel="0" collapsed="false">
      <c r="A18" s="18"/>
      <c r="B18" s="37"/>
      <c r="C18" s="38"/>
      <c r="D18" s="39"/>
      <c r="E18" s="40"/>
      <c r="F18" s="18"/>
      <c r="G18" s="41" t="s">
        <v>30</v>
      </c>
      <c r="H18" s="42" t="s">
        <v>31</v>
      </c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</row>
    <row r="19" customFormat="false" ht="11.25" hidden="false" customHeight="false" outlineLevel="0" collapsed="false">
      <c r="A19" s="18"/>
      <c r="B19" s="19"/>
      <c r="C19" s="19"/>
      <c r="D19" s="28"/>
      <c r="E19" s="28"/>
      <c r="F19" s="18"/>
      <c r="G19" s="41" t="s">
        <v>32</v>
      </c>
      <c r="H19" s="42" t="s">
        <v>33</v>
      </c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</row>
    <row r="20" customFormat="false" ht="11.25" hidden="false" customHeight="false" outlineLevel="0" collapsed="false">
      <c r="A20" s="18"/>
      <c r="B20" s="19"/>
      <c r="C20" s="19"/>
      <c r="D20" s="28"/>
      <c r="E20" s="28"/>
      <c r="F20" s="18"/>
      <c r="G20" s="41" t="s">
        <v>34</v>
      </c>
      <c r="H20" s="42" t="s">
        <v>35</v>
      </c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</row>
    <row r="21" customFormat="false" ht="11.25" hidden="false" customHeight="false" outlineLevel="0" collapsed="false">
      <c r="A21" s="18"/>
      <c r="B21" s="19"/>
      <c r="C21" s="19"/>
      <c r="D21" s="28"/>
      <c r="E21" s="28"/>
      <c r="F21" s="18"/>
      <c r="G21" s="41" t="s">
        <v>36</v>
      </c>
      <c r="H21" s="42" t="s">
        <v>37</v>
      </c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</row>
    <row r="22" customFormat="false" ht="12" hidden="false" customHeight="false" outlineLevel="0" collapsed="false">
      <c r="A22" s="18"/>
      <c r="B22" s="19"/>
      <c r="C22" s="19"/>
      <c r="D22" s="28"/>
      <c r="E22" s="28"/>
      <c r="F22" s="18"/>
      <c r="G22" s="43" t="s">
        <v>38</v>
      </c>
      <c r="H22" s="44" t="s">
        <v>39</v>
      </c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</row>
    <row r="23" customFormat="false" ht="11.25" hidden="false" customHeight="false" outlineLevel="0" collapsed="false">
      <c r="A23" s="18"/>
      <c r="B23" s="19"/>
      <c r="C23" s="19"/>
      <c r="D23" s="28"/>
      <c r="E23" s="2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</row>
    <row r="25" customFormat="false" ht="12" hidden="false" customHeight="false" outlineLevel="0" collapsed="false">
      <c r="A25" s="38"/>
      <c r="B25" s="38"/>
      <c r="C25" s="38"/>
      <c r="D25" s="39"/>
      <c r="E25" s="39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</row>
    <row r="26" customFormat="false" ht="11.25" hidden="false" customHeight="false" outlineLevel="0" collapsed="false">
      <c r="A26" s="19"/>
      <c r="B26" s="19"/>
      <c r="C26" s="19"/>
      <c r="D26" s="28"/>
      <c r="E26" s="28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</row>
    <row r="27" customFormat="false" ht="12" hidden="false" customHeight="false" outlineLevel="0" collapsed="false">
      <c r="A27" s="18"/>
      <c r="B27" s="18"/>
      <c r="C27" s="18"/>
      <c r="D27" s="15"/>
      <c r="E27" s="15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</row>
    <row r="28" customFormat="false" ht="13.5" hidden="false" customHeight="false" outlineLevel="0" collapsed="false">
      <c r="A28" s="45" t="s">
        <v>40</v>
      </c>
      <c r="B28" s="46" t="s">
        <v>41</v>
      </c>
      <c r="C28" s="46"/>
      <c r="D28" s="46"/>
      <c r="E28" s="46"/>
      <c r="F28" s="46"/>
      <c r="G28" s="46"/>
      <c r="H28" s="46"/>
      <c r="I28" s="46"/>
    </row>
    <row r="29" customFormat="false" ht="12.75" hidden="false" customHeight="true" outlineLevel="0" collapsed="false">
      <c r="A29" s="45" t="s">
        <v>42</v>
      </c>
      <c r="B29" s="47" t="s">
        <v>4</v>
      </c>
      <c r="C29" s="48" t="s">
        <v>43</v>
      </c>
      <c r="D29" s="49" t="s">
        <v>44</v>
      </c>
      <c r="E29" s="49"/>
      <c r="F29" s="49"/>
      <c r="G29" s="50" t="s">
        <v>45</v>
      </c>
      <c r="H29" s="50"/>
      <c r="I29" s="50"/>
      <c r="K29" s="51" t="s">
        <v>46</v>
      </c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52"/>
      <c r="Y29" s="52"/>
      <c r="Z29" s="52"/>
      <c r="AA29" s="52"/>
      <c r="AB29" s="52"/>
      <c r="AC29" s="52"/>
    </row>
    <row r="30" customFormat="false" ht="38.25" hidden="false" customHeight="false" outlineLevel="0" collapsed="false">
      <c r="B30" s="47"/>
      <c r="C30" s="48"/>
      <c r="D30" s="53" t="s">
        <v>47</v>
      </c>
      <c r="E30" s="54" t="s">
        <v>48</v>
      </c>
      <c r="F30" s="55" t="s">
        <v>49</v>
      </c>
      <c r="G30" s="56" t="s">
        <v>47</v>
      </c>
      <c r="H30" s="54" t="s">
        <v>48</v>
      </c>
      <c r="I30" s="57" t="s">
        <v>49</v>
      </c>
      <c r="J30" s="52"/>
      <c r="K30" s="58" t="s">
        <v>50</v>
      </c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52"/>
      <c r="W30" s="52"/>
      <c r="X30" s="52"/>
      <c r="Y30" s="52"/>
      <c r="Z30" s="52"/>
      <c r="AA30" s="52"/>
      <c r="AB30" s="52"/>
      <c r="AC30" s="52"/>
      <c r="AD30" s="52"/>
    </row>
    <row r="31" customFormat="false" ht="12.75" hidden="false" customHeight="false" outlineLevel="0" collapsed="false">
      <c r="B31" s="59" t="s">
        <v>51</v>
      </c>
      <c r="C31" s="60" t="s">
        <v>52</v>
      </c>
      <c r="D31" s="61" t="n">
        <v>0</v>
      </c>
      <c r="E31" s="62" t="n">
        <v>0</v>
      </c>
      <c r="F31" s="63" t="n">
        <f aca="false">SUM(D31:E31)</f>
        <v>0</v>
      </c>
      <c r="G31" s="64" t="n">
        <v>0</v>
      </c>
      <c r="H31" s="62" t="n">
        <v>0</v>
      </c>
      <c r="I31" s="65" t="n">
        <f aca="false">SUM(G31:H31)</f>
        <v>0</v>
      </c>
      <c r="J31" s="10"/>
      <c r="K31" s="66" t="n">
        <f aca="false">'AG drivers'!B7+'AG drivers'!B8</f>
        <v>1452460</v>
      </c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</row>
    <row r="32" customFormat="false" ht="12.75" hidden="false" customHeight="false" outlineLevel="0" collapsed="false">
      <c r="B32" s="59" t="s">
        <v>10</v>
      </c>
      <c r="C32" s="60" t="s">
        <v>53</v>
      </c>
      <c r="D32" s="67" t="n">
        <f aca="false">('AG drivers'!H13+'AG drivers'!H14)*('AG drivers'!E13)</f>
        <v>5861287.67410518</v>
      </c>
      <c r="E32" s="68" t="n">
        <f aca="false">-D32*$H$7</f>
        <v>-1465321.91852629</v>
      </c>
      <c r="F32" s="63" t="n">
        <f aca="false">SUM(D32:E32)</f>
        <v>4395965.75557889</v>
      </c>
      <c r="G32" s="69" t="n">
        <f aca="false">'AG drivers'!H15*'AG drivers'!E13</f>
        <v>6401659.2550894</v>
      </c>
      <c r="H32" s="68" t="n">
        <f aca="false">-G32*$H$7</f>
        <v>-1600414.81377235</v>
      </c>
      <c r="I32" s="65" t="n">
        <f aca="false">SUM(G32:H32)</f>
        <v>4801244.44131705</v>
      </c>
      <c r="K32" s="70" t="n">
        <f aca="false">'AG drivers'!B11+'AG drivers'!B12</f>
        <v>8133680</v>
      </c>
    </row>
    <row r="33" customFormat="false" ht="12.75" hidden="false" customHeight="false" outlineLevel="0" collapsed="false">
      <c r="B33" s="59" t="s">
        <v>11</v>
      </c>
      <c r="C33" s="60" t="s">
        <v>53</v>
      </c>
      <c r="D33" s="67" t="n">
        <f aca="false">'AG drivers'!E18*('AG drivers'!H13+'AG drivers'!H14)</f>
        <v>11289324.5471676</v>
      </c>
      <c r="E33" s="68" t="n">
        <f aca="false">-D33*$H$8</f>
        <v>-0</v>
      </c>
      <c r="F33" s="63" t="n">
        <f aca="false">SUM(D33:E33)</f>
        <v>11289324.5471676</v>
      </c>
      <c r="G33" s="69" t="n">
        <f aca="false">'AG drivers'!E18*'AG drivers'!H15</f>
        <v>12330124.8785945</v>
      </c>
      <c r="H33" s="68" t="n">
        <f aca="false">-G33*$H$8</f>
        <v>-0</v>
      </c>
      <c r="I33" s="65" t="n">
        <f aca="false">SUM(G33:H33)</f>
        <v>12330124.8785945</v>
      </c>
      <c r="K33" s="70" t="n">
        <f aca="false">'AG drivers'!B16+'AG drivers'!B17</f>
        <v>15666140</v>
      </c>
    </row>
    <row r="34" customFormat="false" ht="12.75" hidden="false" customHeight="false" outlineLevel="0" collapsed="false">
      <c r="B34" s="59" t="s">
        <v>12</v>
      </c>
      <c r="C34" s="60" t="s">
        <v>54</v>
      </c>
      <c r="D34" s="67" t="n">
        <f aca="false">'AG drivers'!E23*(Headcuts!B107+Headcuts!C107)</f>
        <v>11292820</v>
      </c>
      <c r="E34" s="62" t="n">
        <f aca="false">-D34*Headcuts!I21</f>
        <v>-4026522.65508817</v>
      </c>
      <c r="F34" s="71" t="n">
        <f aca="false">SUM(D34:E34)</f>
        <v>7266297.34491183</v>
      </c>
      <c r="G34" s="72" t="n">
        <f aca="false">'AG drivers'!E23*Headcuts!D107</f>
        <v>11300153</v>
      </c>
      <c r="H34" s="62" t="n">
        <f aca="false">-G34*Headcuts!J21</f>
        <v>-1238572.24904587</v>
      </c>
      <c r="I34" s="65" t="n">
        <f aca="false">SUM(G34:H34)</f>
        <v>10061580.7509541</v>
      </c>
      <c r="K34" s="70" t="n">
        <f aca="false">'AG drivers'!B21+'AG drivers'!B22</f>
        <v>8799600</v>
      </c>
    </row>
    <row r="35" customFormat="false" ht="12.75" hidden="false" customHeight="false" outlineLevel="0" collapsed="false">
      <c r="B35" s="59" t="s">
        <v>55</v>
      </c>
      <c r="C35" s="60" t="s">
        <v>56</v>
      </c>
      <c r="D35" s="61" t="n">
        <v>0</v>
      </c>
      <c r="E35" s="62" t="n">
        <v>0</v>
      </c>
      <c r="F35" s="71" t="n">
        <f aca="false">SUM(D35:E35)</f>
        <v>0</v>
      </c>
      <c r="G35" s="73" t="n">
        <v>0</v>
      </c>
      <c r="H35" s="62" t="n">
        <v>0</v>
      </c>
      <c r="I35" s="65" t="n">
        <f aca="false">SUM(G35:H35)</f>
        <v>0</v>
      </c>
      <c r="K35" s="70" t="n">
        <f aca="false">'AG drivers'!B26+'AG drivers'!B27</f>
        <v>2199900</v>
      </c>
    </row>
    <row r="36" customFormat="false" ht="12.75" hidden="false" customHeight="false" outlineLevel="0" collapsed="false">
      <c r="B36" s="59" t="s">
        <v>20</v>
      </c>
      <c r="C36" s="60" t="s">
        <v>53</v>
      </c>
      <c r="D36" s="67" t="n">
        <f aca="false">'AG drivers'!E33*('AG drivers'!H13+'AG drivers'!H14)</f>
        <v>3489585.07540263</v>
      </c>
      <c r="E36" s="68" t="n">
        <f aca="false">-D36*$H$12</f>
        <v>-261718.880655197</v>
      </c>
      <c r="F36" s="63" t="n">
        <f aca="false">SUM(D36:E36)</f>
        <v>3227866.19474743</v>
      </c>
      <c r="G36" s="69" t="n">
        <f aca="false">'AG drivers'!E33*'AG drivers'!H15</f>
        <v>3811301.51537623</v>
      </c>
      <c r="H36" s="68" t="n">
        <f aca="false">-G36*$H$12</f>
        <v>-285847.613653217</v>
      </c>
      <c r="I36" s="65" t="n">
        <f aca="false">SUM(G36:H36)</f>
        <v>3525453.90172301</v>
      </c>
      <c r="K36" s="70" t="n">
        <f aca="false">'AG drivers'!B31+'AG drivers'!B32</f>
        <v>4842480</v>
      </c>
    </row>
    <row r="37" customFormat="false" ht="12.75" hidden="false" customHeight="false" outlineLevel="0" collapsed="false">
      <c r="B37" s="59" t="s">
        <v>22</v>
      </c>
      <c r="C37" s="60" t="s">
        <v>57</v>
      </c>
      <c r="D37" s="67" t="n">
        <f aca="false">'AG drivers'!E38*('AG drivers'!I13+'AG drivers'!I14)</f>
        <v>15382457.029703</v>
      </c>
      <c r="E37" s="68" t="n">
        <f aca="false">-D37*$H$13</f>
        <v>-0</v>
      </c>
      <c r="F37" s="63" t="n">
        <f aca="false">SUM(D37:E37)</f>
        <v>15382457.029703</v>
      </c>
      <c r="G37" s="69" t="n">
        <f aca="false">'AG drivers'!E38*'AG drivers'!I15</f>
        <v>8532456.63366337</v>
      </c>
      <c r="H37" s="68" t="n">
        <f aca="false">-G37*$H$13</f>
        <v>-0</v>
      </c>
      <c r="I37" s="65" t="n">
        <f aca="false">SUM(G37:H37)</f>
        <v>8532456.63366337</v>
      </c>
      <c r="K37" s="70" t="n">
        <f aca="false">'AG drivers'!B36+'AG drivers'!B37</f>
        <v>12137720</v>
      </c>
    </row>
    <row r="38" customFormat="false" ht="12.75" hidden="false" customHeight="false" outlineLevel="0" collapsed="false">
      <c r="B38" s="59" t="s">
        <v>58</v>
      </c>
      <c r="C38" s="60" t="s">
        <v>53</v>
      </c>
      <c r="D38" s="67" t="n">
        <f aca="false">'AG drivers'!E44*('AG drivers'!H13+'AG drivers'!H14)</f>
        <v>4210420.67016507</v>
      </c>
      <c r="E38" s="68" t="n">
        <f aca="false">-D38*$H$14</f>
        <v>-0</v>
      </c>
      <c r="F38" s="63" t="n">
        <f aca="false">SUM(D38:E38)</f>
        <v>4210420.67016507</v>
      </c>
      <c r="G38" s="69" t="n">
        <f aca="false">'AG drivers'!H15*'AG drivers'!E44</f>
        <v>4598593.33812632</v>
      </c>
      <c r="H38" s="68" t="n">
        <f aca="false">-G38*$H$14</f>
        <v>-0</v>
      </c>
      <c r="I38" s="65" t="n">
        <f aca="false">SUM(G38:H38)</f>
        <v>4598593.33812632</v>
      </c>
      <c r="K38" s="70" t="n">
        <f aca="false">'AG drivers'!B42+'AG drivers'!B43</f>
        <v>5842780</v>
      </c>
    </row>
    <row r="39" customFormat="false" ht="13.5" hidden="false" customHeight="false" outlineLevel="0" collapsed="false">
      <c r="B39" s="59" t="s">
        <v>59</v>
      </c>
      <c r="C39" s="74" t="s">
        <v>57</v>
      </c>
      <c r="D39" s="67" t="n">
        <f aca="false">'AG drivers'!E57*('AG drivers'!I13+'AG drivers'!I14)</f>
        <v>1074214.01980198</v>
      </c>
      <c r="E39" s="68" t="n">
        <f aca="false">-D39*$H$15</f>
        <v>-0</v>
      </c>
      <c r="F39" s="63" t="n">
        <f aca="false">SUM(D39:E39)</f>
        <v>1074214.01980198</v>
      </c>
      <c r="G39" s="69" t="n">
        <f aca="false">'AG drivers'!E57*'AG drivers'!I15</f>
        <v>595853.089108911</v>
      </c>
      <c r="H39" s="68" t="n">
        <f aca="false">-G39*$H$15</f>
        <v>-0</v>
      </c>
      <c r="I39" s="65" t="n">
        <f aca="false">SUM(G39:H39)</f>
        <v>595853.089108911</v>
      </c>
      <c r="K39" s="70" t="n">
        <f aca="false">CS!G50+CS!G63</f>
        <v>847622</v>
      </c>
    </row>
    <row r="40" customFormat="false" ht="13.5" hidden="false" customHeight="false" outlineLevel="0" collapsed="false">
      <c r="B40" s="75" t="s">
        <v>60</v>
      </c>
      <c r="C40" s="76"/>
      <c r="D40" s="77" t="n">
        <f aca="false">SUM(D31:D39)</f>
        <v>52600109.0163454</v>
      </c>
      <c r="E40" s="78" t="n">
        <f aca="false">SUM(E31:E39)</f>
        <v>-5753563.45426966</v>
      </c>
      <c r="F40" s="79" t="n">
        <f aca="false">SUM(D40:E40)</f>
        <v>46846545.5620758</v>
      </c>
      <c r="G40" s="80" t="n">
        <f aca="false">SUM(G31:G39)</f>
        <v>47570141.7099587</v>
      </c>
      <c r="H40" s="78" t="n">
        <f aca="false">SUM(H31:H39)</f>
        <v>-3124834.67647144</v>
      </c>
      <c r="I40" s="81" t="n">
        <f aca="false">SUM(G40:H40)</f>
        <v>44445307.0334873</v>
      </c>
      <c r="K40" s="82" t="n">
        <f aca="false">SUM(K31:K39)</f>
        <v>59922382</v>
      </c>
    </row>
    <row r="41" customFormat="false" ht="14.25" hidden="false" customHeight="true" outlineLevel="0" collapsed="false">
      <c r="C41" s="83"/>
      <c r="D41" s="84"/>
      <c r="E41" s="84"/>
      <c r="F41" s="83"/>
      <c r="G41" s="84"/>
      <c r="H41" s="84"/>
      <c r="I41" s="83"/>
      <c r="J41" s="84"/>
      <c r="K41" s="19"/>
    </row>
    <row r="42" customFormat="false" ht="13.5" hidden="false" customHeight="false" outlineLevel="0" collapsed="false">
      <c r="A42" s="85"/>
      <c r="B42" s="85"/>
      <c r="C42" s="85"/>
      <c r="D42" s="86"/>
      <c r="E42" s="86"/>
      <c r="F42" s="85"/>
      <c r="G42" s="85"/>
      <c r="H42" s="85"/>
      <c r="I42" s="85"/>
      <c r="J42" s="85"/>
      <c r="K42" s="85"/>
      <c r="L42" s="85"/>
      <c r="M42" s="85"/>
      <c r="N42" s="85"/>
      <c r="O42" s="85"/>
      <c r="P42" s="85"/>
      <c r="Q42" s="85"/>
      <c r="R42" s="85"/>
      <c r="S42" s="85"/>
    </row>
    <row r="43" customFormat="false" ht="12.75" hidden="false" customHeight="false" outlineLevel="0" collapsed="false">
      <c r="A43" s="10"/>
      <c r="B43" s="10"/>
      <c r="C43" s="10"/>
      <c r="D43" s="87"/>
      <c r="E43" s="87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</row>
    <row r="44" customFormat="false" ht="13.5" hidden="false" customHeight="false" outlineLevel="0" collapsed="false">
      <c r="I44" s="88"/>
    </row>
    <row r="45" customFormat="false" ht="13.5" hidden="false" customHeight="false" outlineLevel="0" collapsed="false">
      <c r="A45" s="45" t="s">
        <v>61</v>
      </c>
      <c r="C45" s="46" t="s">
        <v>62</v>
      </c>
      <c r="D45" s="46"/>
      <c r="E45" s="46"/>
      <c r="F45" s="46"/>
      <c r="G45" s="46"/>
      <c r="H45" s="46"/>
      <c r="I45" s="46"/>
      <c r="J45" s="46"/>
      <c r="K45" s="46"/>
      <c r="L45" s="46"/>
      <c r="M45" s="46"/>
    </row>
    <row r="46" customFormat="false" ht="12.75" hidden="false" customHeight="true" outlineLevel="0" collapsed="false">
      <c r="A46" s="45" t="s">
        <v>42</v>
      </c>
      <c r="B46" s="45"/>
      <c r="C46" s="89" t="s">
        <v>46</v>
      </c>
      <c r="D46" s="50" t="s">
        <v>44</v>
      </c>
      <c r="E46" s="50"/>
      <c r="F46" s="50"/>
      <c r="G46" s="50"/>
      <c r="H46" s="50"/>
      <c r="I46" s="50" t="s">
        <v>45</v>
      </c>
      <c r="J46" s="50"/>
      <c r="K46" s="50"/>
      <c r="L46" s="50"/>
      <c r="M46" s="50"/>
      <c r="N46" s="10"/>
      <c r="O46" s="10"/>
      <c r="P46" s="10"/>
      <c r="Q46" s="10"/>
      <c r="R46" s="10"/>
      <c r="S46" s="10"/>
    </row>
    <row r="47" customFormat="false" ht="39" hidden="false" customHeight="false" outlineLevel="0" collapsed="false">
      <c r="A47" s="90"/>
      <c r="B47" s="90"/>
      <c r="C47" s="91" t="s">
        <v>63</v>
      </c>
      <c r="D47" s="92" t="s">
        <v>64</v>
      </c>
      <c r="E47" s="93" t="s">
        <v>65</v>
      </c>
      <c r="F47" s="94" t="s">
        <v>63</v>
      </c>
      <c r="G47" s="95" t="s">
        <v>66</v>
      </c>
      <c r="H47" s="96" t="s">
        <v>67</v>
      </c>
      <c r="I47" s="92" t="s">
        <v>64</v>
      </c>
      <c r="J47" s="93" t="s">
        <v>65</v>
      </c>
      <c r="K47" s="94" t="s">
        <v>63</v>
      </c>
      <c r="L47" s="95" t="s">
        <v>66</v>
      </c>
      <c r="M47" s="96" t="s">
        <v>67</v>
      </c>
      <c r="N47" s="90"/>
      <c r="O47" s="90"/>
      <c r="P47" s="90"/>
      <c r="Q47" s="90"/>
      <c r="R47" s="90"/>
      <c r="S47" s="90"/>
    </row>
    <row r="48" customFormat="false" ht="13.5" hidden="false" customHeight="false" outlineLevel="0" collapsed="false">
      <c r="C48" s="97" t="n">
        <f aca="false">'O&amp;M data'!B43</f>
        <v>6109.69359910058</v>
      </c>
      <c r="D48" s="98" t="n">
        <f aca="false">'O&amp;M data'!Z6</f>
        <v>127456533</v>
      </c>
      <c r="E48" s="99" t="n">
        <f aca="false">Contiguity!H65+Contiguity!H89</f>
        <v>10406</v>
      </c>
      <c r="F48" s="100" t="n">
        <f aca="false">'O&amp;M data'!B48</f>
        <v>11966.8667032166</v>
      </c>
      <c r="G48" s="101" t="n">
        <f aca="false">E48*C48</f>
        <v>63577471.5922407</v>
      </c>
      <c r="H48" s="102" t="n">
        <f aca="false">E48*(F48-C48)</f>
        <v>60949743.3214316</v>
      </c>
      <c r="I48" s="103" t="n">
        <f aca="false">'O&amp;M data'!J68</f>
        <v>47762200</v>
      </c>
      <c r="J48" s="99" t="n">
        <f aca="false">'O&amp;M data'!I68</f>
        <v>4099</v>
      </c>
      <c r="K48" s="100" t="n">
        <f aca="false">'O&amp;M data'!B52</f>
        <v>11350.9059059949</v>
      </c>
      <c r="L48" s="101" t="n">
        <f aca="false">C48*J48</f>
        <v>25043634.0627133</v>
      </c>
      <c r="M48" s="102" t="n">
        <f aca="false">I48-L48</f>
        <v>22718565.9372867</v>
      </c>
    </row>
    <row r="49" customFormat="false" ht="12.75" hidden="false" customHeight="false" outlineLevel="0" collapsed="false">
      <c r="B49" s="104"/>
      <c r="C49" s="105"/>
      <c r="D49" s="106"/>
      <c r="E49" s="104"/>
      <c r="F49" s="107"/>
      <c r="G49" s="108"/>
      <c r="H49" s="105"/>
      <c r="I49" s="109"/>
      <c r="J49" s="104"/>
      <c r="K49" s="110"/>
      <c r="L49" s="108"/>
    </row>
    <row r="50" customFormat="false" ht="13.5" hidden="false" customHeight="false" outlineLevel="0" collapsed="false">
      <c r="A50" s="85"/>
      <c r="B50" s="111"/>
      <c r="C50" s="112"/>
      <c r="D50" s="113"/>
      <c r="E50" s="111"/>
      <c r="F50" s="114"/>
      <c r="G50" s="115"/>
      <c r="H50" s="112"/>
      <c r="I50" s="116"/>
      <c r="J50" s="111"/>
      <c r="K50" s="114"/>
      <c r="L50" s="115"/>
      <c r="M50" s="85"/>
      <c r="N50" s="85"/>
      <c r="O50" s="85"/>
      <c r="P50" s="85"/>
      <c r="Q50" s="85"/>
      <c r="R50" s="85"/>
      <c r="S50" s="85"/>
    </row>
    <row r="51" customFormat="false" ht="12.75" hidden="false" customHeight="false" outlineLevel="0" collapsed="false">
      <c r="B51" s="104"/>
      <c r="C51" s="105"/>
      <c r="D51" s="106"/>
      <c r="E51" s="104"/>
      <c r="F51" s="107"/>
      <c r="G51" s="108"/>
      <c r="H51" s="105"/>
      <c r="I51" s="109"/>
      <c r="J51" s="104"/>
      <c r="K51" s="110"/>
      <c r="L51" s="108"/>
    </row>
    <row r="52" customFormat="false" ht="13.5" hidden="false" customHeight="false" outlineLevel="0" collapsed="false">
      <c r="A52" s="10"/>
      <c r="B52" s="85"/>
      <c r="C52" s="85"/>
      <c r="D52" s="86"/>
      <c r="E52" s="86"/>
      <c r="F52" s="85"/>
      <c r="G52" s="85"/>
      <c r="H52" s="85"/>
      <c r="I52" s="85"/>
      <c r="J52" s="85"/>
      <c r="K52" s="85"/>
      <c r="L52" s="85"/>
      <c r="M52" s="85"/>
      <c r="N52" s="85"/>
      <c r="O52" s="85"/>
      <c r="P52" s="85"/>
      <c r="Q52" s="85"/>
      <c r="R52" s="85"/>
      <c r="S52" s="85"/>
    </row>
    <row r="53" customFormat="false" ht="13.5" hidden="false" customHeight="false" outlineLevel="0" collapsed="false">
      <c r="A53" s="117" t="s">
        <v>40</v>
      </c>
      <c r="B53" s="118" t="s">
        <v>68</v>
      </c>
      <c r="C53" s="119"/>
      <c r="D53" s="119"/>
      <c r="E53" s="119"/>
      <c r="F53" s="119"/>
      <c r="G53" s="119"/>
      <c r="H53" s="119"/>
      <c r="I53" s="120"/>
      <c r="J53" s="52"/>
      <c r="K53" s="52"/>
      <c r="L53" s="52"/>
      <c r="M53" s="52"/>
      <c r="N53" s="52"/>
      <c r="O53" s="52"/>
      <c r="P53" s="52"/>
      <c r="Q53" s="52"/>
      <c r="R53" s="52"/>
      <c r="S53" s="52"/>
      <c r="T53" s="52"/>
      <c r="U53" s="52"/>
      <c r="V53" s="52"/>
      <c r="W53" s="52"/>
      <c r="X53" s="52"/>
      <c r="Y53" s="52"/>
      <c r="Z53" s="52"/>
      <c r="AA53" s="52"/>
      <c r="AB53" s="52"/>
      <c r="AC53" s="52"/>
      <c r="AD53" s="52"/>
      <c r="AE53" s="52"/>
      <c r="AF53" s="52"/>
      <c r="AG53" s="52"/>
      <c r="AH53" s="52"/>
      <c r="AI53" s="52"/>
      <c r="AJ53" s="52"/>
      <c r="AK53" s="52"/>
      <c r="AL53" s="52"/>
    </row>
    <row r="54" customFormat="false" ht="12.75" hidden="false" customHeight="true" outlineLevel="0" collapsed="false">
      <c r="A54" s="45" t="s">
        <v>69</v>
      </c>
      <c r="B54" s="47" t="s">
        <v>4</v>
      </c>
      <c r="C54" s="121" t="s">
        <v>43</v>
      </c>
      <c r="D54" s="50" t="s">
        <v>70</v>
      </c>
      <c r="E54" s="50"/>
      <c r="F54" s="50"/>
      <c r="G54" s="50" t="s">
        <v>44</v>
      </c>
      <c r="H54" s="50"/>
      <c r="I54" s="50"/>
      <c r="J54" s="50" t="s">
        <v>71</v>
      </c>
      <c r="K54" s="50"/>
      <c r="L54" s="50"/>
      <c r="M54" s="49" t="s">
        <v>45</v>
      </c>
      <c r="N54" s="49"/>
      <c r="O54" s="49"/>
      <c r="P54" s="50" t="s">
        <v>72</v>
      </c>
      <c r="Q54" s="50"/>
      <c r="R54" s="50"/>
      <c r="S54" s="52"/>
      <c r="T54" s="52"/>
      <c r="U54" s="52"/>
      <c r="V54" s="52"/>
      <c r="W54" s="52"/>
      <c r="X54" s="52"/>
      <c r="Y54" s="52"/>
      <c r="Z54" s="52"/>
      <c r="AA54" s="52"/>
      <c r="AB54" s="52"/>
      <c r="AC54" s="52"/>
    </row>
    <row r="55" customFormat="false" ht="38.25" hidden="false" customHeight="false" outlineLevel="0" collapsed="false">
      <c r="B55" s="47"/>
      <c r="C55" s="121"/>
      <c r="D55" s="56" t="s">
        <v>47</v>
      </c>
      <c r="E55" s="122" t="s">
        <v>48</v>
      </c>
      <c r="F55" s="123" t="s">
        <v>49</v>
      </c>
      <c r="G55" s="58" t="s">
        <v>47</v>
      </c>
      <c r="H55" s="122" t="s">
        <v>48</v>
      </c>
      <c r="I55" s="123" t="s">
        <v>49</v>
      </c>
      <c r="J55" s="56" t="s">
        <v>47</v>
      </c>
      <c r="K55" s="122" t="s">
        <v>48</v>
      </c>
      <c r="L55" s="123" t="s">
        <v>49</v>
      </c>
      <c r="M55" s="58" t="s">
        <v>47</v>
      </c>
      <c r="N55" s="122" t="s">
        <v>48</v>
      </c>
      <c r="O55" s="95" t="s">
        <v>49</v>
      </c>
      <c r="P55" s="56" t="s">
        <v>47</v>
      </c>
      <c r="Q55" s="122" t="s">
        <v>48</v>
      </c>
      <c r="R55" s="123" t="s">
        <v>49</v>
      </c>
    </row>
    <row r="56" customFormat="false" ht="12.75" hidden="false" customHeight="true" outlineLevel="0" collapsed="false">
      <c r="B56" s="59" t="s">
        <v>51</v>
      </c>
      <c r="C56" s="124" t="s">
        <v>52</v>
      </c>
      <c r="D56" s="125" t="n">
        <v>0</v>
      </c>
      <c r="E56" s="125" t="n">
        <v>0</v>
      </c>
      <c r="F56" s="126" t="n">
        <f aca="false">SUM(D56:E56)</f>
        <v>0</v>
      </c>
      <c r="G56" s="125" t="n">
        <v>0</v>
      </c>
      <c r="H56" s="125" t="n">
        <v>0</v>
      </c>
      <c r="I56" s="126" t="n">
        <f aca="false">SUM(G56:H56)</f>
        <v>0</v>
      </c>
      <c r="J56" s="125" t="n">
        <v>0</v>
      </c>
      <c r="K56" s="125" t="n">
        <v>0</v>
      </c>
      <c r="L56" s="126" t="n">
        <f aca="false">SUM(J56:K56)</f>
        <v>0</v>
      </c>
      <c r="M56" s="125" t="n">
        <v>0</v>
      </c>
      <c r="N56" s="125"/>
      <c r="O56" s="127" t="n">
        <f aca="false">SUM(M56:N56)</f>
        <v>0</v>
      </c>
      <c r="P56" s="125" t="n">
        <v>0</v>
      </c>
      <c r="Q56" s="125"/>
      <c r="R56" s="126" t="n">
        <f aca="false">SUM(P56:Q56)</f>
        <v>0</v>
      </c>
    </row>
    <row r="57" customFormat="false" ht="12.75" hidden="false" customHeight="false" outlineLevel="0" collapsed="false">
      <c r="B57" s="59" t="s">
        <v>10</v>
      </c>
      <c r="C57" s="124" t="s">
        <v>53</v>
      </c>
      <c r="D57" s="67" t="n">
        <f aca="false">'AG drivers'!I41*'AG drivers'!$G$27</f>
        <v>6718852.33185753</v>
      </c>
      <c r="E57" s="68" t="n">
        <f aca="false">-D57*$H$7</f>
        <v>-1679713.08296438</v>
      </c>
      <c r="F57" s="128" t="n">
        <f aca="false">SUM(D57:E57)</f>
        <v>5039139.24889315</v>
      </c>
      <c r="G57" s="67" t="n">
        <f aca="false">'AG drivers'!I41*'AG drivers'!$G$28</f>
        <v>1547165.93041901</v>
      </c>
      <c r="H57" s="68" t="n">
        <f aca="false">-G57*$H$7</f>
        <v>-386791.482604753</v>
      </c>
      <c r="I57" s="128" t="n">
        <f aca="false">SUM(G57:H57)</f>
        <v>1160374.44781426</v>
      </c>
      <c r="J57" s="67" t="n">
        <f aca="false">'AG drivers'!I41*'AG drivers'!$G$30</f>
        <v>1790156.2833308</v>
      </c>
      <c r="K57" s="68" t="n">
        <f aca="false">-J57*$H$7</f>
        <v>-447539.070832699</v>
      </c>
      <c r="L57" s="128" t="n">
        <f aca="false">SUM(J57:K57)</f>
        <v>1342617.2124981</v>
      </c>
      <c r="M57" s="129" t="n">
        <f aca="false">'AG drivers'!I41*'AG drivers'!$G$29</f>
        <v>2052242.66255042</v>
      </c>
      <c r="N57" s="68" t="n">
        <f aca="false">-M57*$H$7</f>
        <v>-513060.665637604</v>
      </c>
      <c r="O57" s="130" t="n">
        <f aca="false">SUM(M57:N57)</f>
        <v>1539181.99691281</v>
      </c>
      <c r="P57" s="129" t="n">
        <f aca="false">'AG drivers'!I41*'AG drivers'!$G$35</f>
        <v>3608682.68269486</v>
      </c>
      <c r="Q57" s="68" t="n">
        <f aca="false">-P57*$H$7</f>
        <v>-902170.670673714</v>
      </c>
      <c r="R57" s="128" t="n">
        <f aca="false">SUM(P57:Q57)</f>
        <v>2706512.01202114</v>
      </c>
    </row>
    <row r="58" customFormat="false" ht="12.75" hidden="false" customHeight="false" outlineLevel="0" collapsed="false">
      <c r="B58" s="59" t="s">
        <v>11</v>
      </c>
      <c r="C58" s="124" t="s">
        <v>53</v>
      </c>
      <c r="D58" s="67" t="n">
        <f aca="false">'AG drivers'!I42*'AG drivers'!$G$27</f>
        <v>12941064.9632401</v>
      </c>
      <c r="E58" s="68" t="n">
        <f aca="false">-D58*$H$8</f>
        <v>-0</v>
      </c>
      <c r="F58" s="128" t="n">
        <f aca="false">SUM(D58:E58)</f>
        <v>12941064.9632401</v>
      </c>
      <c r="G58" s="67" t="n">
        <f aca="false">'AG drivers'!I42*'AG drivers'!$G$28</f>
        <v>2979969.46882278</v>
      </c>
      <c r="H58" s="68" t="n">
        <f aca="false">-G58*$H$8</f>
        <v>-0</v>
      </c>
      <c r="I58" s="128" t="n">
        <f aca="false">SUM(G58:H58)</f>
        <v>2979969.46882278</v>
      </c>
      <c r="J58" s="67" t="n">
        <f aca="false">'AG drivers'!I42*'AG drivers'!$G$30</f>
        <v>3447988.97381504</v>
      </c>
      <c r="K58" s="68" t="n">
        <f aca="false">-J58*$H$8</f>
        <v>-0</v>
      </c>
      <c r="L58" s="128" t="n">
        <f aca="false">SUM(J58:K58)</f>
        <v>3447988.97381504</v>
      </c>
      <c r="M58" s="129" t="n">
        <f aca="false">'AG drivers'!I42*'AG drivers'!$G$29</f>
        <v>3952789.00393027</v>
      </c>
      <c r="N58" s="68" t="n">
        <f aca="false">-M58*$H$8</f>
        <v>-0</v>
      </c>
      <c r="O58" s="130" t="n">
        <f aca="false">SUM(M58:N58)</f>
        <v>3952789.00393027</v>
      </c>
      <c r="P58" s="129" t="n">
        <f aca="false">'AG drivers'!I42*'AG drivers'!$G$35</f>
        <v>6950621.1361491</v>
      </c>
      <c r="Q58" s="68" t="n">
        <f aca="false">-P58*$H$8</f>
        <v>-0</v>
      </c>
      <c r="R58" s="128" t="n">
        <f aca="false">SUM(P58:Q58)</f>
        <v>6950621.1361491</v>
      </c>
    </row>
    <row r="59" customFormat="false" ht="12.75" hidden="false" customHeight="false" outlineLevel="0" collapsed="false">
      <c r="B59" s="59" t="s">
        <v>12</v>
      </c>
      <c r="C59" s="124" t="s">
        <v>54</v>
      </c>
      <c r="D59" s="67" t="n">
        <f aca="false">'AG drivers'!I43*'AG drivers'!H27</f>
        <v>3945074.0703</v>
      </c>
      <c r="E59" s="68" t="n">
        <v>-261718.880655197</v>
      </c>
      <c r="F59" s="128" t="n">
        <f aca="false">SUM(D59:E59)</f>
        <v>3683355.1896448</v>
      </c>
      <c r="G59" s="67" t="n">
        <f aca="false">'AG drivers'!I43*'AG drivers'!H28</f>
        <v>514724.5357</v>
      </c>
      <c r="H59" s="68" t="n">
        <f aca="false">-G59*Headcuts!$D$47</f>
        <v>-46325.208213</v>
      </c>
      <c r="I59" s="128" t="n">
        <f aca="false">SUM(G59:H59)</f>
        <v>468399.327487</v>
      </c>
      <c r="J59" s="67" t="n">
        <f aca="false">'AG drivers'!I43*'AG drivers'!H30</f>
        <v>2035954.6524</v>
      </c>
      <c r="K59" s="68" t="n">
        <f aca="false">-J59*Headcuts!$D$47</f>
        <v>-183235.918716</v>
      </c>
      <c r="L59" s="128" t="n">
        <f aca="false">SUM(J59:K59)</f>
        <v>1852718.733684</v>
      </c>
      <c r="M59" s="129" t="n">
        <f aca="false">'AG drivers'!I43*'AG drivers'!H29</f>
        <v>2074516.6995</v>
      </c>
      <c r="N59" s="68" t="n">
        <f aca="false">-M59*Headcuts!$D$47</f>
        <v>-186706.502955</v>
      </c>
      <c r="O59" s="130" t="n">
        <f aca="false">SUM(M59:N59)</f>
        <v>1887810.196545</v>
      </c>
      <c r="P59" s="129" t="n">
        <f aca="false">'AG drivers'!I43*'AG drivers'!H35</f>
        <v>1074025.6451</v>
      </c>
      <c r="Q59" s="68" t="n">
        <f aca="false">-P59*Headcuts!$D$47</f>
        <v>-96662.308059</v>
      </c>
      <c r="R59" s="128" t="n">
        <f aca="false">SUM(P59:Q59)</f>
        <v>977363.337041</v>
      </c>
    </row>
    <row r="60" customFormat="false" ht="12.75" hidden="false" customHeight="false" outlineLevel="0" collapsed="false">
      <c r="B60" s="59" t="s">
        <v>55</v>
      </c>
      <c r="C60" s="124" t="s">
        <v>56</v>
      </c>
      <c r="D60" s="67" t="n">
        <f aca="false">'AG drivers'!I44*'AG drivers'!$G$27</f>
        <v>1817234.41847397</v>
      </c>
      <c r="E60" s="68" t="n">
        <v>0</v>
      </c>
      <c r="F60" s="128" t="n">
        <f aca="false">SUM(D60:E60)</f>
        <v>1817234.41847397</v>
      </c>
      <c r="G60" s="67" t="n">
        <f aca="false">'AG drivers'!I44*'AG drivers'!$G$28</f>
        <v>418458.844007729</v>
      </c>
      <c r="H60" s="68" t="n">
        <v>0</v>
      </c>
      <c r="I60" s="128" t="n">
        <f aca="false">SUM(G60:H60)</f>
        <v>418458.844007729</v>
      </c>
      <c r="J60" s="67" t="n">
        <f aca="false">'AG drivers'!I44*'AG drivers'!$G$30</f>
        <v>484179.95393222</v>
      </c>
      <c r="K60" s="68" t="n">
        <v>0</v>
      </c>
      <c r="L60" s="128" t="n">
        <f aca="false">SUM(J60:K60)</f>
        <v>484179.95393222</v>
      </c>
      <c r="M60" s="129" t="n">
        <f aca="false">'AG drivers'!I44*'AG drivers'!$G$29</f>
        <v>555065.927519236</v>
      </c>
      <c r="N60" s="68" t="n">
        <v>0</v>
      </c>
      <c r="O60" s="130" t="n">
        <f aca="false">SUM(M60:N60)</f>
        <v>555065.927519236</v>
      </c>
      <c r="P60" s="129" t="n">
        <f aca="false">'AG drivers'!I44*'AG drivers'!$G$35</f>
        <v>976033.115841835</v>
      </c>
      <c r="Q60" s="68" t="n">
        <v>0</v>
      </c>
      <c r="R60" s="128" t="n">
        <f aca="false">SUM(P60:Q60)</f>
        <v>976033.115841835</v>
      </c>
    </row>
    <row r="61" customFormat="false" ht="12.75" hidden="false" customHeight="false" outlineLevel="0" collapsed="false">
      <c r="B61" s="59" t="s">
        <v>20</v>
      </c>
      <c r="C61" s="124" t="s">
        <v>53</v>
      </c>
      <c r="D61" s="67" t="n">
        <f aca="false">'AG drivers'!I45*'AG drivers'!$G$27</f>
        <v>4000146.06426285</v>
      </c>
      <c r="E61" s="68" t="n">
        <f aca="false">-D61*$H$12</f>
        <v>-300010.954819714</v>
      </c>
      <c r="F61" s="128" t="n">
        <f aca="false">SUM(D61:E61)</f>
        <v>3700135.10944314</v>
      </c>
      <c r="G61" s="67" t="n">
        <f aca="false">'AG drivers'!I45*'AG drivers'!$G$28</f>
        <v>921123.043288579</v>
      </c>
      <c r="H61" s="68" t="n">
        <f aca="false">-G61*$H$12</f>
        <v>-69084.2282466434</v>
      </c>
      <c r="I61" s="128" t="n">
        <f aca="false">SUM(G61:H61)</f>
        <v>852038.815041936</v>
      </c>
      <c r="J61" s="67" t="n">
        <f aca="false">'AG drivers'!I45*'AG drivers'!$G$30</f>
        <v>1065790.1465147</v>
      </c>
      <c r="K61" s="68" t="n">
        <f aca="false">-J61*$H$12</f>
        <v>-79934.2609886027</v>
      </c>
      <c r="L61" s="128" t="n">
        <f aca="false">SUM(J61:K61)</f>
        <v>985855.8855261</v>
      </c>
      <c r="M61" s="129" t="n">
        <f aca="false">'AG drivers'!I45*'AG drivers'!$G$29</f>
        <v>1221826.28878283</v>
      </c>
      <c r="N61" s="68" t="n">
        <f aca="false">-M61*$H$12</f>
        <v>-91636.9716587124</v>
      </c>
      <c r="O61" s="130" t="n">
        <f aca="false">SUM(M61:N61)</f>
        <v>1130189.31712412</v>
      </c>
      <c r="P61" s="129" t="n">
        <f aca="false">'AG drivers'!I45*'AG drivers'!$G$35</f>
        <v>2148470.76812663</v>
      </c>
      <c r="Q61" s="68" t="n">
        <f aca="false">-P61*$H$12</f>
        <v>-161135.307609497</v>
      </c>
      <c r="R61" s="128" t="n">
        <f aca="false">SUM(P61:Q61)</f>
        <v>1987335.46051713</v>
      </c>
    </row>
    <row r="62" customFormat="false" ht="12.75" hidden="false" customHeight="false" outlineLevel="0" collapsed="false">
      <c r="B62" s="59" t="s">
        <v>22</v>
      </c>
      <c r="C62" s="124" t="s">
        <v>57</v>
      </c>
      <c r="D62" s="67" t="n">
        <f aca="false">'AG drivers'!I46*'AG drivers'!$G$27</f>
        <v>0</v>
      </c>
      <c r="E62" s="68" t="n">
        <f aca="false">-D62*$H$13</f>
        <v>-0</v>
      </c>
      <c r="F62" s="128" t="n">
        <f aca="false">SUM(D62:E62)</f>
        <v>0</v>
      </c>
      <c r="G62" s="67" t="n">
        <v>0</v>
      </c>
      <c r="H62" s="68" t="n">
        <f aca="false">-G62*$H$13</f>
        <v>-0</v>
      </c>
      <c r="I62" s="128" t="n">
        <f aca="false">SUM(G62:H62)</f>
        <v>0</v>
      </c>
      <c r="J62" s="67" t="n">
        <f aca="false">'AG drivers'!I46*'AG drivers'!$G$30</f>
        <v>0</v>
      </c>
      <c r="K62" s="68" t="n">
        <f aca="false">-J62*$H$13</f>
        <v>-0</v>
      </c>
      <c r="L62" s="128" t="n">
        <f aca="false">SUM(J62:K62)</f>
        <v>0</v>
      </c>
      <c r="M62" s="129" t="n">
        <f aca="false">'AG drivers'!I46*'AG drivers'!$G$29</f>
        <v>0</v>
      </c>
      <c r="N62" s="68" t="n">
        <f aca="false">-M62*$H$13</f>
        <v>-0</v>
      </c>
      <c r="O62" s="130" t="n">
        <f aca="false">SUM(M62:N62)</f>
        <v>0</v>
      </c>
      <c r="P62" s="129" t="n">
        <f aca="false">'AG drivers'!I46*'AG drivers'!$G$35</f>
        <v>0</v>
      </c>
      <c r="Q62" s="68" t="n">
        <f aca="false">-P62*$H$13</f>
        <v>-0</v>
      </c>
      <c r="R62" s="128" t="n">
        <f aca="false">SUM(P62:Q62)</f>
        <v>0</v>
      </c>
    </row>
    <row r="63" customFormat="false" ht="12.75" hidden="false" customHeight="false" outlineLevel="0" collapsed="false">
      <c r="B63" s="59" t="s">
        <v>58</v>
      </c>
      <c r="C63" s="124" t="s">
        <v>53</v>
      </c>
      <c r="D63" s="67" t="n">
        <f aca="false">'AG drivers'!I47*'AG drivers'!$G$27</f>
        <v>4826447.07285393</v>
      </c>
      <c r="E63" s="68" t="n">
        <f aca="false">-D63*$H$14</f>
        <v>-0</v>
      </c>
      <c r="F63" s="128" t="n">
        <f aca="false">SUM(D63:E63)</f>
        <v>4826447.07285393</v>
      </c>
      <c r="G63" s="67" t="n">
        <f aca="false">'AG drivers'!I47*'AG drivers'!$G$28</f>
        <v>1111397.32014704</v>
      </c>
      <c r="H63" s="68" t="n">
        <f aca="false">-G63*$H$14</f>
        <v>-0</v>
      </c>
      <c r="I63" s="128" t="n">
        <f aca="false">SUM(G63:H63)</f>
        <v>1111397.32014704</v>
      </c>
      <c r="J63" s="67" t="n">
        <f aca="false">'AG drivers'!I47*'AG drivers'!$G$30</f>
        <v>1285947.97546984</v>
      </c>
      <c r="K63" s="68" t="n">
        <f aca="false">-J63*$H$14</f>
        <v>-0</v>
      </c>
      <c r="L63" s="128" t="n">
        <f aca="false">SUM(J63:K63)</f>
        <v>1285947.97546984</v>
      </c>
      <c r="M63" s="129" t="n">
        <f aca="false">'AG drivers'!I47*'AG drivers'!$G$29</f>
        <v>1474216.1461843</v>
      </c>
      <c r="N63" s="68" t="n">
        <f aca="false">-M63*$H$14</f>
        <v>-0</v>
      </c>
      <c r="O63" s="130" t="n">
        <f aca="false">SUM(M63:N63)</f>
        <v>1474216.1461843</v>
      </c>
      <c r="P63" s="129" t="n">
        <f aca="false">'AG drivers'!I47*'AG drivers'!$G$35</f>
        <v>2592275.45278347</v>
      </c>
      <c r="Q63" s="68" t="n">
        <f aca="false">-P63*$H$14</f>
        <v>-0</v>
      </c>
      <c r="R63" s="128" t="n">
        <f aca="false">SUM(P63:Q63)</f>
        <v>2592275.45278347</v>
      </c>
    </row>
    <row r="64" customFormat="false" ht="13.5" hidden="false" customHeight="false" outlineLevel="0" collapsed="false">
      <c r="B64" s="59" t="s">
        <v>59</v>
      </c>
      <c r="C64" s="124" t="s">
        <v>57</v>
      </c>
      <c r="D64" s="131" t="s">
        <v>73</v>
      </c>
      <c r="E64" s="68" t="s">
        <v>73</v>
      </c>
      <c r="F64" s="132" t="s">
        <v>73</v>
      </c>
      <c r="G64" s="131" t="s">
        <v>73</v>
      </c>
      <c r="H64" s="68" t="s">
        <v>73</v>
      </c>
      <c r="I64" s="132" t="s">
        <v>73</v>
      </c>
      <c r="J64" s="133" t="s">
        <v>73</v>
      </c>
      <c r="K64" s="68" t="s">
        <v>73</v>
      </c>
      <c r="L64" s="134" t="s">
        <v>73</v>
      </c>
      <c r="M64" s="129" t="s">
        <v>73</v>
      </c>
      <c r="N64" s="68" t="s">
        <v>73</v>
      </c>
      <c r="O64" s="135" t="s">
        <v>73</v>
      </c>
      <c r="P64" s="129" t="s">
        <v>73</v>
      </c>
      <c r="Q64" s="68" t="s">
        <v>73</v>
      </c>
      <c r="R64" s="136" t="s">
        <v>73</v>
      </c>
    </row>
    <row r="65" customFormat="false" ht="16.5" hidden="false" customHeight="true" outlineLevel="0" collapsed="false">
      <c r="B65" s="137" t="s">
        <v>60</v>
      </c>
      <c r="C65" s="138"/>
      <c r="D65" s="77" t="n">
        <f aca="false">SUM(D56:D64)</f>
        <v>34248818.9209884</v>
      </c>
      <c r="E65" s="139" t="n">
        <f aca="false">SUM(E56:E64)</f>
        <v>-2241442.91843929</v>
      </c>
      <c r="F65" s="140" t="n">
        <f aca="false">SUM(F56:F64)</f>
        <v>32007376.0025491</v>
      </c>
      <c r="G65" s="77" t="n">
        <f aca="false">SUM(G56:G64)</f>
        <v>7492839.14238514</v>
      </c>
      <c r="H65" s="139" t="n">
        <f aca="false">SUM(H56:H64)</f>
        <v>-502200.919064396</v>
      </c>
      <c r="I65" s="140" t="n">
        <f aca="false">SUM(I56:I64)</f>
        <v>6990638.22332075</v>
      </c>
      <c r="J65" s="77" t="n">
        <f aca="false">SUM(J56:J64)</f>
        <v>10110017.9854626</v>
      </c>
      <c r="K65" s="141" t="n">
        <f aca="false">SUM(K56:K64)</f>
        <v>-710709.250537301</v>
      </c>
      <c r="L65" s="142" t="n">
        <f aca="false">SUM(L56:L64)</f>
        <v>9399308.73492529</v>
      </c>
      <c r="M65" s="143" t="n">
        <f aca="false">SUM(M56:M64)</f>
        <v>11330656.7284671</v>
      </c>
      <c r="N65" s="143" t="n">
        <f aca="false">SUM(N56:N64)</f>
        <v>-791404.140251317</v>
      </c>
      <c r="O65" s="142" t="n">
        <f aca="false">SUM(O56:O64)</f>
        <v>10539252.5882157</v>
      </c>
      <c r="P65" s="144" t="n">
        <f aca="false">SUM(P56:P64)</f>
        <v>17350108.8006959</v>
      </c>
      <c r="Q65" s="141" t="n">
        <f aca="false">SUM(Q56:Q64)</f>
        <v>-1159968.28634221</v>
      </c>
      <c r="R65" s="145" t="n">
        <f aca="false">SUM(R56:R64)</f>
        <v>16190140.5143537</v>
      </c>
      <c r="S65" s="19"/>
    </row>
    <row r="66" customFormat="false" ht="12.75" hidden="false" customHeight="false" outlineLevel="0" collapsed="false">
      <c r="B66" s="146"/>
      <c r="C66" s="146"/>
      <c r="D66" s="146"/>
      <c r="E66" s="146"/>
      <c r="F66" s="146"/>
      <c r="G66" s="146"/>
      <c r="H66" s="146"/>
      <c r="I66" s="146"/>
      <c r="J66" s="146"/>
      <c r="K66" s="146"/>
      <c r="L66" s="146"/>
      <c r="M66" s="146"/>
      <c r="N66" s="146"/>
      <c r="O66" s="146"/>
      <c r="P66" s="146"/>
      <c r="Q66" s="146"/>
      <c r="R66" s="146"/>
      <c r="S66" s="146"/>
      <c r="T66" s="146"/>
    </row>
    <row r="67" customFormat="false" ht="13.5" hidden="false" customHeight="false" outlineLevel="0" collapsed="false">
      <c r="A67" s="85"/>
      <c r="B67" s="147"/>
      <c r="C67" s="147"/>
      <c r="D67" s="147"/>
      <c r="E67" s="147"/>
      <c r="F67" s="147"/>
      <c r="G67" s="147"/>
      <c r="H67" s="147"/>
      <c r="I67" s="147"/>
      <c r="J67" s="147"/>
      <c r="K67" s="147"/>
      <c r="L67" s="147"/>
      <c r="M67" s="147"/>
      <c r="N67" s="147"/>
      <c r="O67" s="147"/>
      <c r="P67" s="147"/>
      <c r="Q67" s="147"/>
      <c r="R67" s="147"/>
      <c r="S67" s="147"/>
      <c r="T67" s="147"/>
    </row>
    <row r="68" customFormat="false" ht="12.75" hidden="false" customHeight="false" outlineLevel="0" collapsed="false">
      <c r="D68" s="0"/>
      <c r="E68" s="0"/>
    </row>
    <row r="69" customFormat="false" ht="12.75" hidden="false" customHeight="false" outlineLevel="0" collapsed="false">
      <c r="D69" s="0"/>
    </row>
    <row r="70" customFormat="false" ht="12.75" hidden="false" customHeight="false" outlineLevel="0" collapsed="false">
      <c r="D70" s="0"/>
    </row>
    <row r="71" customFormat="false" ht="12.75" hidden="false" customHeight="false" outlineLevel="0" collapsed="false">
      <c r="D71" s="0"/>
      <c r="E71" s="0"/>
    </row>
    <row r="72" customFormat="false" ht="12.75" hidden="false" customHeight="false" outlineLevel="0" collapsed="false">
      <c r="D72" s="0"/>
      <c r="E72" s="0"/>
    </row>
    <row r="73" customFormat="false" ht="12.75" hidden="false" customHeight="false" outlineLevel="0" collapsed="false">
      <c r="D73" s="0"/>
      <c r="E73" s="0"/>
    </row>
    <row r="74" customFormat="false" ht="12.75" hidden="false" customHeight="false" outlineLevel="0" collapsed="false">
      <c r="D74" s="0"/>
      <c r="E74" s="0"/>
    </row>
    <row r="75" customFormat="false" ht="12.75" hidden="false" customHeight="false" outlineLevel="0" collapsed="false">
      <c r="B75" s="148"/>
      <c r="C75" s="148"/>
      <c r="D75" s="0"/>
      <c r="E75" s="0"/>
    </row>
    <row r="76" customFormat="false" ht="12.75" hidden="false" customHeight="false" outlineLevel="0" collapsed="false">
      <c r="C76" s="18"/>
      <c r="D76" s="0"/>
      <c r="E76" s="0"/>
      <c r="L76" s="149"/>
    </row>
    <row r="77" customFormat="false" ht="11.25" hidden="false" customHeight="false" outlineLevel="0" collapsed="false">
      <c r="A77" s="18"/>
      <c r="B77" s="18"/>
      <c r="C77" s="18"/>
      <c r="D77" s="15"/>
      <c r="E77" s="15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</row>
    <row r="78" customFormat="false" ht="11.25" hidden="false" customHeight="false" outlineLevel="0" collapsed="false">
      <c r="A78" s="18"/>
      <c r="B78" s="18"/>
      <c r="C78" s="18"/>
      <c r="D78" s="15"/>
      <c r="E78" s="15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</row>
    <row r="79" customFormat="false" ht="11.25" hidden="false" customHeight="false" outlineLevel="0" collapsed="false">
      <c r="A79" s="18"/>
      <c r="B79" s="18"/>
      <c r="C79" s="18"/>
      <c r="D79" s="15"/>
      <c r="E79" s="15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</row>
    <row r="80" customFormat="false" ht="11.25" hidden="false" customHeight="false" outlineLevel="0" collapsed="false">
      <c r="A80" s="18"/>
      <c r="B80" s="18"/>
      <c r="C80" s="18"/>
      <c r="D80" s="15"/>
      <c r="E80" s="15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8"/>
    </row>
    <row r="81" customFormat="false" ht="11.25" hidden="false" customHeight="false" outlineLevel="0" collapsed="false">
      <c r="A81" s="18"/>
      <c r="B81" s="18"/>
      <c r="C81" s="18"/>
      <c r="D81" s="15"/>
      <c r="E81" s="15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</row>
    <row r="82" customFormat="false" ht="11.25" hidden="false" customHeight="false" outlineLevel="0" collapsed="false">
      <c r="A82" s="18"/>
      <c r="B82" s="18"/>
      <c r="C82" s="18"/>
      <c r="D82" s="15"/>
      <c r="E82" s="15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</row>
    <row r="83" customFormat="false" ht="11.25" hidden="false" customHeight="false" outlineLevel="0" collapsed="false">
      <c r="A83" s="18"/>
      <c r="B83" s="18"/>
      <c r="C83" s="18"/>
      <c r="D83" s="15"/>
      <c r="E83" s="15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</row>
    <row r="84" customFormat="false" ht="11.25" hidden="false" customHeight="false" outlineLevel="0" collapsed="false">
      <c r="A84" s="18"/>
      <c r="B84" s="18"/>
      <c r="C84" s="18"/>
      <c r="D84" s="15"/>
      <c r="E84" s="15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</row>
    <row r="85" customFormat="false" ht="11.25" hidden="false" customHeight="false" outlineLevel="0" collapsed="false">
      <c r="A85" s="18"/>
      <c r="B85" s="18"/>
      <c r="C85" s="18"/>
      <c r="D85" s="15"/>
      <c r="E85" s="15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8"/>
    </row>
    <row r="86" customFormat="false" ht="11.25" hidden="false" customHeight="false" outlineLevel="0" collapsed="false">
      <c r="A86" s="18"/>
      <c r="B86" s="18"/>
      <c r="C86" s="18"/>
      <c r="D86" s="15"/>
      <c r="E86" s="15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8"/>
    </row>
    <row r="87" customFormat="false" ht="11.25" hidden="false" customHeight="false" outlineLevel="0" collapsed="false">
      <c r="A87" s="18"/>
      <c r="B87" s="18"/>
      <c r="C87" s="18"/>
      <c r="D87" s="15"/>
      <c r="E87" s="15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8"/>
    </row>
    <row r="88" customFormat="false" ht="11.25" hidden="false" customHeight="false" outlineLevel="0" collapsed="false">
      <c r="A88" s="18"/>
      <c r="B88" s="18"/>
      <c r="C88" s="18"/>
      <c r="D88" s="15"/>
      <c r="E88" s="15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8"/>
    </row>
  </sheetData>
  <mergeCells count="20">
    <mergeCell ref="A2:C2"/>
    <mergeCell ref="G4:H4"/>
    <mergeCell ref="G10:G11"/>
    <mergeCell ref="H10:H11"/>
    <mergeCell ref="G17:H17"/>
    <mergeCell ref="B28:I28"/>
    <mergeCell ref="B29:B30"/>
    <mergeCell ref="C29:C30"/>
    <mergeCell ref="D29:F29"/>
    <mergeCell ref="G29:I29"/>
    <mergeCell ref="C45:M45"/>
    <mergeCell ref="D46:H46"/>
    <mergeCell ref="I46:M46"/>
    <mergeCell ref="B54:B55"/>
    <mergeCell ref="C54:C55"/>
    <mergeCell ref="D54:F54"/>
    <mergeCell ref="G54:I54"/>
    <mergeCell ref="J54:L54"/>
    <mergeCell ref="M54:O54"/>
    <mergeCell ref="P54:R5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7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6" activeCellId="0" sqref="A2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7"/>
    <col collapsed="false" customWidth="true" hidden="false" outlineLevel="0" max="2" min="2" style="9" width="18.28"/>
    <col collapsed="false" customWidth="true" hidden="false" outlineLevel="0" max="3" min="3" style="0" width="20.41"/>
    <col collapsed="false" customWidth="true" hidden="false" outlineLevel="0" max="4" min="4" style="0" width="19.56"/>
    <col collapsed="false" customWidth="true" hidden="false" outlineLevel="0" max="5" min="5" style="150" width="16.84"/>
    <col collapsed="false" customWidth="true" hidden="false" outlineLevel="0" max="7" min="7" style="0" width="26.7"/>
    <col collapsed="false" customWidth="true" hidden="false" outlineLevel="0" max="8" min="8" style="0" width="19.99"/>
    <col collapsed="false" customWidth="true" hidden="false" outlineLevel="0" max="9" min="9" style="0" width="15.41"/>
    <col collapsed="false" customWidth="true" hidden="false" outlineLevel="0" max="10" min="10" style="0" width="15.13"/>
  </cols>
  <sheetData>
    <row r="1" customFormat="false" ht="12.75" hidden="false" customHeight="false" outlineLevel="0" collapsed="false">
      <c r="A1" s="45" t="s">
        <v>74</v>
      </c>
    </row>
    <row r="2" customFormat="false" ht="12.75" hidden="false" customHeight="false" outlineLevel="0" collapsed="false">
      <c r="A2" s="45"/>
    </row>
    <row r="3" customFormat="false" ht="12.75" hidden="false" customHeight="false" outlineLevel="0" collapsed="false">
      <c r="A3" s="151"/>
      <c r="B3" s="152" t="s">
        <v>75</v>
      </c>
      <c r="C3" s="152"/>
      <c r="D3" s="152"/>
      <c r="E3" s="152"/>
    </row>
    <row r="4" customFormat="false" ht="12.75" hidden="false" customHeight="false" outlineLevel="0" collapsed="false">
      <c r="A4" s="153" t="s">
        <v>4</v>
      </c>
      <c r="B4" s="154" t="s">
        <v>76</v>
      </c>
      <c r="C4" s="155" t="s">
        <v>77</v>
      </c>
      <c r="D4" s="10"/>
      <c r="E4" s="156"/>
    </row>
    <row r="5" customFormat="false" ht="13.5" hidden="false" customHeight="false" outlineLevel="0" collapsed="false">
      <c r="A5" s="157" t="s">
        <v>78</v>
      </c>
      <c r="B5" s="158" t="s">
        <v>79</v>
      </c>
      <c r="C5" s="86" t="s">
        <v>80</v>
      </c>
      <c r="D5" s="159" t="s">
        <v>81</v>
      </c>
      <c r="E5" s="159"/>
    </row>
    <row r="6" customFormat="false" ht="12.75" hidden="false" customHeight="false" outlineLevel="0" collapsed="false">
      <c r="A6" s="160" t="s">
        <v>51</v>
      </c>
      <c r="B6" s="83"/>
      <c r="C6" s="10"/>
      <c r="D6" s="10" t="s">
        <v>82</v>
      </c>
      <c r="E6" s="156"/>
      <c r="G6" s="161" t="s">
        <v>83</v>
      </c>
      <c r="H6" s="162" t="s">
        <v>84</v>
      </c>
      <c r="I6" s="163" t="s">
        <v>85</v>
      </c>
      <c r="J6" s="163" t="s">
        <v>86</v>
      </c>
      <c r="K6" s="163" t="s">
        <v>87</v>
      </c>
      <c r="L6" s="164"/>
    </row>
    <row r="7" customFormat="false" ht="12.75" hidden="false" customHeight="false" outlineLevel="0" collapsed="false">
      <c r="A7" s="124" t="s">
        <v>88</v>
      </c>
      <c r="B7" s="165" t="n">
        <f aca="false">0.07*H7*1000</f>
        <v>1176140</v>
      </c>
      <c r="C7" s="83" t="n">
        <f aca="false">4.05*J7*1000</f>
        <v>1254001.5</v>
      </c>
      <c r="D7" s="10"/>
      <c r="E7" s="156"/>
      <c r="G7" s="124" t="s">
        <v>88</v>
      </c>
      <c r="H7" s="10" t="n">
        <f aca="false">Contiguity!I128</f>
        <v>16802</v>
      </c>
      <c r="I7" s="10" t="n">
        <v>990</v>
      </c>
      <c r="J7" s="10" t="n">
        <v>309.63</v>
      </c>
      <c r="K7" s="10" t="n">
        <f aca="false">4.4*1000</f>
        <v>4400</v>
      </c>
      <c r="L7" s="166"/>
    </row>
    <row r="8" customFormat="false" ht="12.75" hidden="false" customHeight="false" outlineLevel="0" collapsed="false">
      <c r="A8" s="124" t="s">
        <v>89</v>
      </c>
      <c r="B8" s="83" t="n">
        <f aca="false">0.11*1000*H8</f>
        <v>276320</v>
      </c>
      <c r="C8" s="83" t="n">
        <f aca="false">1.78*1000*J8</f>
        <v>314882</v>
      </c>
      <c r="D8" s="10"/>
      <c r="E8" s="156"/>
      <c r="G8" s="124" t="s">
        <v>89</v>
      </c>
      <c r="H8" s="10" t="n">
        <f aca="false">Contiguity!I146</f>
        <v>2512</v>
      </c>
      <c r="I8" s="10" t="n">
        <v>210</v>
      </c>
      <c r="J8" s="10" t="n">
        <v>176.9</v>
      </c>
      <c r="K8" s="10" t="n">
        <f aca="false">1.4*1000</f>
        <v>1400</v>
      </c>
      <c r="L8" s="166"/>
    </row>
    <row r="9" customFormat="false" ht="12.75" hidden="false" customHeight="false" outlineLevel="0" collapsed="false">
      <c r="A9" s="124"/>
      <c r="B9" s="83"/>
      <c r="C9" s="10"/>
      <c r="D9" s="10"/>
      <c r="E9" s="156"/>
      <c r="G9" s="124"/>
      <c r="H9" s="10"/>
      <c r="I9" s="10"/>
      <c r="J9" s="10"/>
      <c r="K9" s="10"/>
      <c r="L9" s="166"/>
    </row>
    <row r="10" customFormat="false" ht="12.75" hidden="false" customHeight="false" outlineLevel="0" collapsed="false">
      <c r="A10" s="160" t="s">
        <v>10</v>
      </c>
      <c r="B10" s="83"/>
      <c r="C10" s="10"/>
      <c r="D10" s="10" t="s">
        <v>90</v>
      </c>
      <c r="E10" s="156" t="s">
        <v>91</v>
      </c>
      <c r="G10" s="124"/>
      <c r="H10" s="10" t="s">
        <v>92</v>
      </c>
      <c r="I10" s="10" t="s">
        <v>93</v>
      </c>
      <c r="J10" s="10"/>
      <c r="K10" s="10"/>
      <c r="L10" s="166"/>
    </row>
    <row r="11" customFormat="false" ht="12.75" hidden="false" customHeight="false" outlineLevel="0" collapsed="false">
      <c r="A11" s="124" t="s">
        <v>88</v>
      </c>
      <c r="B11" s="83" t="n">
        <f aca="false">0.36*H7*1000</f>
        <v>6048720</v>
      </c>
      <c r="C11" s="83" t="n">
        <f aca="false">19.79*1000*J7</f>
        <v>6127577.7</v>
      </c>
      <c r="D11" s="10"/>
      <c r="E11" s="167" t="n">
        <f aca="false">B11/H11</f>
        <v>0.0123462136619687</v>
      </c>
      <c r="G11" s="124" t="s">
        <v>88</v>
      </c>
      <c r="H11" s="83" t="n">
        <v>489925103</v>
      </c>
      <c r="I11" s="10" t="n">
        <v>149</v>
      </c>
      <c r="J11" s="10"/>
      <c r="K11" s="10"/>
      <c r="L11" s="166"/>
    </row>
    <row r="12" customFormat="false" ht="12.75" hidden="false" customHeight="false" outlineLevel="0" collapsed="false">
      <c r="A12" s="124" t="s">
        <v>89</v>
      </c>
      <c r="B12" s="83" t="n">
        <f aca="false">0.83*1000*H8</f>
        <v>2084960</v>
      </c>
      <c r="C12" s="83" t="n">
        <f aca="false">11.79*1000*J8</f>
        <v>2085651</v>
      </c>
      <c r="D12" s="10"/>
      <c r="E12" s="167" t="n">
        <f aca="false">B12/H12</f>
        <v>0.0124333031429847</v>
      </c>
      <c r="G12" s="124" t="s">
        <v>89</v>
      </c>
      <c r="H12" s="83" t="n">
        <v>167691560</v>
      </c>
      <c r="I12" s="10" t="n">
        <v>53</v>
      </c>
      <c r="J12" s="10"/>
      <c r="K12" s="10"/>
      <c r="L12" s="166"/>
    </row>
    <row r="13" customFormat="false" ht="12.75" hidden="false" customHeight="false" outlineLevel="0" collapsed="false">
      <c r="A13" s="124" t="s">
        <v>94</v>
      </c>
      <c r="B13" s="83"/>
      <c r="C13" s="83"/>
      <c r="D13" s="10"/>
      <c r="E13" s="168" t="n">
        <f aca="false">(B11+B12)/($H$11+$H$12)</f>
        <v>0.0123684213883735</v>
      </c>
      <c r="G13" s="124" t="s">
        <v>95</v>
      </c>
      <c r="H13" s="83" t="n">
        <v>313760598</v>
      </c>
      <c r="I13" s="10" t="n">
        <v>149</v>
      </c>
      <c r="J13" s="10"/>
      <c r="K13" s="10"/>
      <c r="L13" s="166"/>
    </row>
    <row r="14" customFormat="false" ht="12.75" hidden="false" customHeight="false" outlineLevel="0" collapsed="false">
      <c r="A14" s="124"/>
      <c r="B14" s="83"/>
      <c r="C14" s="10"/>
      <c r="D14" s="10"/>
      <c r="E14" s="156"/>
      <c r="G14" s="124" t="s">
        <v>96</v>
      </c>
      <c r="H14" s="83" t="n">
        <v>160130733</v>
      </c>
      <c r="I14" s="10" t="n">
        <v>107</v>
      </c>
      <c r="J14" s="10"/>
      <c r="K14" s="10"/>
      <c r="L14" s="166"/>
    </row>
    <row r="15" customFormat="false" ht="12.75" hidden="false" customHeight="false" outlineLevel="0" collapsed="false">
      <c r="A15" s="160" t="s">
        <v>11</v>
      </c>
      <c r="B15" s="83"/>
      <c r="C15" s="10"/>
      <c r="D15" s="10" t="s">
        <v>90</v>
      </c>
      <c r="E15" s="156" t="s">
        <v>91</v>
      </c>
      <c r="G15" s="169" t="s">
        <v>97</v>
      </c>
      <c r="H15" s="170" t="n">
        <v>517580947</v>
      </c>
      <c r="I15" s="171" t="n">
        <v>142</v>
      </c>
      <c r="J15" s="171"/>
      <c r="K15" s="171"/>
      <c r="L15" s="172"/>
    </row>
    <row r="16" customFormat="false" ht="12.75" hidden="false" customHeight="false" outlineLevel="0" collapsed="false">
      <c r="A16" s="124" t="s">
        <v>88</v>
      </c>
      <c r="B16" s="83" t="n">
        <f aca="false">0.75*H7*1000</f>
        <v>12601500</v>
      </c>
      <c r="C16" s="83" t="n">
        <f aca="false">40.54*1000*J7</f>
        <v>12552400.2</v>
      </c>
      <c r="D16" s="10"/>
      <c r="E16" s="167" t="n">
        <f aca="false">B16/H11</f>
        <v>0.0257212784624347</v>
      </c>
      <c r="G16" s="10"/>
      <c r="H16" s="83"/>
      <c r="I16" s="10"/>
      <c r="J16" s="10"/>
      <c r="K16" s="10"/>
    </row>
    <row r="17" customFormat="false" ht="12.75" hidden="false" customHeight="false" outlineLevel="0" collapsed="false">
      <c r="A17" s="124" t="s">
        <v>89</v>
      </c>
      <c r="B17" s="83" t="n">
        <f aca="false">1.22*1000*H8</f>
        <v>3064640</v>
      </c>
      <c r="C17" s="83" t="n">
        <f aca="false">17.29*1000*J8</f>
        <v>3058601</v>
      </c>
      <c r="D17" s="10"/>
      <c r="E17" s="167" t="n">
        <f aca="false">B17/H12</f>
        <v>0.018275457631857</v>
      </c>
    </row>
    <row r="18" customFormat="false" ht="12.75" hidden="false" customHeight="true" outlineLevel="0" collapsed="false">
      <c r="A18" s="124" t="s">
        <v>94</v>
      </c>
      <c r="B18" s="83"/>
      <c r="C18" s="83"/>
      <c r="D18" s="10"/>
      <c r="E18" s="173" t="n">
        <f aca="false">(B16+B17)/($H$11+$H$12)</f>
        <v>0.0238226019525299</v>
      </c>
      <c r="G18" s="161" t="s">
        <v>98</v>
      </c>
      <c r="H18" s="174" t="s">
        <v>99</v>
      </c>
      <c r="I18" s="163"/>
      <c r="J18" s="163"/>
      <c r="K18" s="164"/>
    </row>
    <row r="19" customFormat="false" ht="12.75" hidden="false" customHeight="false" outlineLevel="0" collapsed="false">
      <c r="A19" s="124"/>
      <c r="B19" s="83"/>
      <c r="C19" s="10"/>
      <c r="D19" s="10"/>
      <c r="E19" s="156"/>
      <c r="G19" s="175" t="s">
        <v>100</v>
      </c>
      <c r="H19" s="174"/>
      <c r="I19" s="176" t="s">
        <v>101</v>
      </c>
      <c r="J19" s="176" t="s">
        <v>102</v>
      </c>
      <c r="K19" s="177" t="s">
        <v>103</v>
      </c>
    </row>
    <row r="20" customFormat="false" ht="12.75" hidden="false" customHeight="false" outlineLevel="0" collapsed="false">
      <c r="A20" s="160" t="s">
        <v>12</v>
      </c>
      <c r="B20" s="83"/>
      <c r="C20" s="10"/>
      <c r="D20" s="10" t="s">
        <v>104</v>
      </c>
      <c r="E20" s="156" t="s">
        <v>105</v>
      </c>
      <c r="G20" s="178" t="n">
        <v>154110325</v>
      </c>
      <c r="H20" s="176" t="n">
        <f aca="false">Headcuts!F51</f>
        <v>174.947</v>
      </c>
      <c r="I20" s="176" t="s">
        <v>106</v>
      </c>
      <c r="J20" s="176" t="s">
        <v>107</v>
      </c>
      <c r="K20" s="179" t="n">
        <v>1998</v>
      </c>
    </row>
    <row r="21" customFormat="false" ht="12.75" hidden="false" customHeight="false" outlineLevel="0" collapsed="false">
      <c r="A21" s="124" t="s">
        <v>88</v>
      </c>
      <c r="B21" s="83" t="n">
        <f aca="false">0.44*H7*1000</f>
        <v>7392880</v>
      </c>
      <c r="C21" s="83" t="n">
        <f aca="false">23.7*1000*J7</f>
        <v>7338231</v>
      </c>
      <c r="D21" s="10"/>
      <c r="E21" s="180" t="n">
        <f aca="false">B21/I7</f>
        <v>7467.55555555556</v>
      </c>
      <c r="G21" s="178" t="n">
        <v>97128120</v>
      </c>
      <c r="H21" s="176" t="n">
        <f aca="false">Headcuts!F52</f>
        <v>36.207</v>
      </c>
      <c r="I21" s="176" t="s">
        <v>108</v>
      </c>
      <c r="J21" s="176" t="s">
        <v>107</v>
      </c>
      <c r="K21" s="179" t="n">
        <v>1998</v>
      </c>
    </row>
    <row r="22" customFormat="false" ht="12.75" hidden="false" customHeight="false" outlineLevel="0" collapsed="false">
      <c r="A22" s="124" t="s">
        <v>89</v>
      </c>
      <c r="B22" s="83" t="n">
        <f aca="false">0.56*1000*H8</f>
        <v>1406720</v>
      </c>
      <c r="C22" s="83" t="n">
        <f aca="false">7.98*1000*J8</f>
        <v>1411662</v>
      </c>
      <c r="D22" s="10"/>
      <c r="E22" s="181" t="n">
        <f aca="false">B22/I8</f>
        <v>6698.66666666667</v>
      </c>
      <c r="G22" s="178" t="n">
        <v>73862699</v>
      </c>
      <c r="H22" s="176" t="n">
        <f aca="false">Headcuts!F53</f>
        <v>135.1636</v>
      </c>
      <c r="I22" s="10" t="s">
        <v>109</v>
      </c>
      <c r="J22" s="10" t="s">
        <v>107</v>
      </c>
      <c r="K22" s="179" t="n">
        <v>1997</v>
      </c>
    </row>
    <row r="23" customFormat="false" ht="12.75" hidden="false" customHeight="false" outlineLevel="0" collapsed="false">
      <c r="A23" s="124" t="s">
        <v>94</v>
      </c>
      <c r="B23" s="83"/>
      <c r="C23" s="83"/>
      <c r="D23" s="10"/>
      <c r="E23" s="70" t="n">
        <f aca="false">(B21+B22)/(I7+I8)</f>
        <v>7333</v>
      </c>
      <c r="G23" s="178" t="n">
        <v>29917756</v>
      </c>
      <c r="H23" s="176" t="n">
        <f aca="false">Headcuts!F54</f>
        <v>26.082</v>
      </c>
      <c r="I23" s="176" t="s">
        <v>110</v>
      </c>
      <c r="J23" s="176" t="s">
        <v>107</v>
      </c>
      <c r="K23" s="179" t="n">
        <v>1998</v>
      </c>
    </row>
    <row r="24" customFormat="false" ht="12.75" hidden="false" customHeight="false" outlineLevel="0" collapsed="false">
      <c r="A24" s="124"/>
      <c r="B24" s="83"/>
      <c r="C24" s="10"/>
      <c r="D24" s="10"/>
      <c r="E24" s="156"/>
      <c r="G24" s="178" t="n">
        <v>2058346</v>
      </c>
      <c r="H24" s="176" t="n">
        <f aca="false">Headcuts!F55</f>
        <v>4.8896</v>
      </c>
      <c r="I24" s="176" t="s">
        <v>111</v>
      </c>
      <c r="J24" s="176" t="s">
        <v>107</v>
      </c>
      <c r="K24" s="179" t="n">
        <v>1998</v>
      </c>
    </row>
    <row r="25" customFormat="false" ht="12.75" hidden="false" customHeight="false" outlineLevel="0" collapsed="false">
      <c r="A25" s="160" t="s">
        <v>55</v>
      </c>
      <c r="B25" s="83"/>
      <c r="C25" s="10"/>
      <c r="D25" s="10" t="s">
        <v>112</v>
      </c>
      <c r="E25" s="156" t="s">
        <v>91</v>
      </c>
      <c r="G25" s="178" t="n">
        <v>182396442</v>
      </c>
      <c r="H25" s="176" t="n">
        <f aca="false">Headcuts!F56</f>
        <v>155.2439</v>
      </c>
      <c r="I25" s="176" t="s">
        <v>113</v>
      </c>
      <c r="J25" s="176" t="s">
        <v>107</v>
      </c>
      <c r="K25" s="179" t="n">
        <v>1998</v>
      </c>
    </row>
    <row r="26" customFormat="false" ht="12.75" hidden="false" customHeight="false" outlineLevel="0" collapsed="false">
      <c r="A26" s="124" t="s">
        <v>88</v>
      </c>
      <c r="B26" s="83" t="n">
        <f aca="false">0.11*H7*1000</f>
        <v>1848220</v>
      </c>
      <c r="C26" s="83" t="n">
        <f aca="false">5.86*1000*J7</f>
        <v>1814431.8</v>
      </c>
      <c r="D26" s="10"/>
      <c r="E26" s="167" t="n">
        <f aca="false">B26/H11</f>
        <v>0.00377245417449042</v>
      </c>
      <c r="G26" s="182" t="n">
        <v>3752656</v>
      </c>
      <c r="H26" s="183" t="n">
        <f aca="false">Headcuts!F57</f>
        <v>5.456</v>
      </c>
      <c r="I26" s="183" t="s">
        <v>114</v>
      </c>
      <c r="J26" s="183" t="s">
        <v>107</v>
      </c>
      <c r="K26" s="184" t="n">
        <v>1998</v>
      </c>
    </row>
    <row r="27" customFormat="false" ht="12.75" hidden="false" customHeight="false" outlineLevel="0" collapsed="false">
      <c r="A27" s="124" t="s">
        <v>89</v>
      </c>
      <c r="B27" s="83" t="n">
        <f aca="false">0.14*1000*H8</f>
        <v>351680</v>
      </c>
      <c r="C27" s="83" t="n">
        <f aca="false">1.95*1000*J8</f>
        <v>344955</v>
      </c>
      <c r="D27" s="10"/>
      <c r="E27" s="167" t="n">
        <f aca="false">B27/H12</f>
        <v>0.00209718366267211</v>
      </c>
      <c r="G27" s="185" t="n">
        <f aca="false">SUM(G20:G26)</f>
        <v>543226344</v>
      </c>
      <c r="H27" s="176" t="n">
        <f aca="false">Headcuts!F58</f>
        <v>537.9891</v>
      </c>
      <c r="I27" s="186" t="s">
        <v>31</v>
      </c>
      <c r="J27" s="176"/>
      <c r="K27" s="179"/>
    </row>
    <row r="28" customFormat="false" ht="12.75" hidden="false" customHeight="false" outlineLevel="0" collapsed="false">
      <c r="A28" s="124" t="s">
        <v>94</v>
      </c>
      <c r="B28" s="83"/>
      <c r="C28" s="83"/>
      <c r="D28" s="10"/>
      <c r="E28" s="173" t="n">
        <f aca="false">(B26+B27)/(H11+H12)</f>
        <v>0.00334526194936152</v>
      </c>
      <c r="G28" s="185" t="n">
        <v>125090008</v>
      </c>
      <c r="H28" s="176" t="n">
        <f aca="false">Headcuts!F59</f>
        <v>70.1929</v>
      </c>
      <c r="I28" s="117" t="s">
        <v>115</v>
      </c>
      <c r="J28" s="176" t="s">
        <v>116</v>
      </c>
      <c r="K28" s="179" t="n">
        <v>1998</v>
      </c>
    </row>
    <row r="29" customFormat="false" ht="12.75" hidden="false" customHeight="false" outlineLevel="0" collapsed="false">
      <c r="A29" s="124"/>
      <c r="B29" s="83"/>
      <c r="C29" s="10"/>
      <c r="D29" s="10"/>
      <c r="E29" s="156"/>
      <c r="G29" s="185" t="n">
        <v>165925998</v>
      </c>
      <c r="H29" s="176" t="n">
        <f aca="false">Headcuts!F60</f>
        <v>282.9015</v>
      </c>
      <c r="I29" s="117" t="s">
        <v>117</v>
      </c>
      <c r="J29" s="176" t="s">
        <v>118</v>
      </c>
      <c r="K29" s="179" t="n">
        <v>1998</v>
      </c>
    </row>
    <row r="30" customFormat="false" ht="12.75" hidden="false" customHeight="false" outlineLevel="0" collapsed="false">
      <c r="A30" s="160" t="s">
        <v>20</v>
      </c>
      <c r="B30" s="83"/>
      <c r="C30" s="10"/>
      <c r="D30" s="10" t="s">
        <v>90</v>
      </c>
      <c r="E30" s="156" t="s">
        <v>91</v>
      </c>
      <c r="G30" s="185" t="n">
        <v>144736036</v>
      </c>
      <c r="H30" s="176" t="n">
        <f aca="false">Headcuts!F61</f>
        <v>277.6428</v>
      </c>
      <c r="I30" s="117" t="s">
        <v>119</v>
      </c>
      <c r="J30" s="176" t="s">
        <v>120</v>
      </c>
      <c r="K30" s="179" t="n">
        <v>1998</v>
      </c>
    </row>
    <row r="31" customFormat="false" ht="12.75" hidden="false" customHeight="false" outlineLevel="0" collapsed="false">
      <c r="A31" s="124" t="s">
        <v>88</v>
      </c>
      <c r="B31" s="83" t="n">
        <f aca="false">0.2*H7*1000</f>
        <v>3360400</v>
      </c>
      <c r="C31" s="83" t="n">
        <f aca="false">10.75*1000*J7</f>
        <v>3328522.5</v>
      </c>
      <c r="D31" s="10"/>
      <c r="E31" s="167" t="n">
        <f aca="false">B31/H11</f>
        <v>0.00685900758998259</v>
      </c>
      <c r="G31" s="178" t="n">
        <v>118575184</v>
      </c>
      <c r="H31" s="176" t="n">
        <f aca="false">Headcuts!F62</f>
        <v>48.895</v>
      </c>
      <c r="I31" s="176" t="s">
        <v>121</v>
      </c>
      <c r="J31" s="176" t="s">
        <v>122</v>
      </c>
      <c r="K31" s="179" t="n">
        <v>1998</v>
      </c>
    </row>
    <row r="32" customFormat="false" ht="12.75" hidden="false" customHeight="false" outlineLevel="0" collapsed="false">
      <c r="A32" s="124" t="s">
        <v>89</v>
      </c>
      <c r="B32" s="83" t="n">
        <f aca="false">0.59*1000*H8</f>
        <v>1482080</v>
      </c>
      <c r="C32" s="83" t="n">
        <f aca="false">8.34*1000*J8</f>
        <v>1475346</v>
      </c>
      <c r="D32" s="10"/>
      <c r="E32" s="167" t="n">
        <f aca="false">B32/H12</f>
        <v>0.00883813114983247</v>
      </c>
      <c r="G32" s="178" t="n">
        <v>121465460</v>
      </c>
      <c r="H32" s="176" t="n">
        <f aca="false">Headcuts!F63</f>
        <v>61.5961</v>
      </c>
      <c r="I32" s="176" t="s">
        <v>123</v>
      </c>
      <c r="J32" s="176" t="s">
        <v>122</v>
      </c>
      <c r="K32" s="179" t="n">
        <v>1998</v>
      </c>
    </row>
    <row r="33" customFormat="false" ht="12.75" hidden="false" customHeight="false" outlineLevel="0" collapsed="false">
      <c r="A33" s="124" t="s">
        <v>94</v>
      </c>
      <c r="B33" s="83"/>
      <c r="C33" s="83"/>
      <c r="D33" s="10"/>
      <c r="E33" s="173" t="n">
        <f aca="false">(B31+B32)/($H$11+$H$12)</f>
        <v>0.00736368202397572</v>
      </c>
      <c r="G33" s="178" t="n">
        <v>19667362</v>
      </c>
      <c r="H33" s="176" t="n">
        <f aca="false">Headcuts!F64</f>
        <v>20.4376</v>
      </c>
      <c r="I33" s="176" t="s">
        <v>124</v>
      </c>
      <c r="J33" s="176" t="s">
        <v>122</v>
      </c>
      <c r="K33" s="179" t="n">
        <v>1998</v>
      </c>
    </row>
    <row r="34" customFormat="false" ht="12.75" hidden="false" customHeight="false" outlineLevel="0" collapsed="false">
      <c r="A34" s="124"/>
      <c r="B34" s="83"/>
      <c r="C34" s="83"/>
      <c r="D34" s="10"/>
      <c r="E34" s="156"/>
      <c r="G34" s="182" t="n">
        <v>32057820</v>
      </c>
      <c r="H34" s="183" t="n">
        <f aca="false">Headcuts!F65</f>
        <v>15.536</v>
      </c>
      <c r="I34" s="183" t="s">
        <v>125</v>
      </c>
      <c r="J34" s="183" t="s">
        <v>122</v>
      </c>
      <c r="K34" s="184" t="n">
        <v>1998</v>
      </c>
    </row>
    <row r="35" customFormat="false" ht="12.75" hidden="false" customHeight="false" outlineLevel="0" collapsed="false">
      <c r="A35" s="160" t="s">
        <v>126</v>
      </c>
      <c r="B35" s="83"/>
      <c r="C35" s="83"/>
      <c r="D35" s="10" t="s">
        <v>127</v>
      </c>
      <c r="E35" s="156" t="s">
        <v>128</v>
      </c>
      <c r="G35" s="185" t="n">
        <f aca="false">SUM(G31:G34)</f>
        <v>291765826</v>
      </c>
      <c r="H35" s="176" t="n">
        <f aca="false">Headcuts!F66</f>
        <v>146.4647</v>
      </c>
      <c r="I35" s="186" t="s">
        <v>122</v>
      </c>
      <c r="J35" s="176"/>
      <c r="K35" s="177"/>
      <c r="L35" s="10"/>
    </row>
    <row r="36" customFormat="false" ht="12.75" hidden="false" customHeight="false" outlineLevel="0" collapsed="false">
      <c r="A36" s="124" t="s">
        <v>88</v>
      </c>
      <c r="B36" s="83" t="n">
        <f aca="false">0.54*H7*1000</f>
        <v>9073080</v>
      </c>
      <c r="C36" s="83" t="n">
        <f aca="false">29.24*1000*J7</f>
        <v>9053581.2</v>
      </c>
      <c r="D36" s="10"/>
      <c r="E36" s="181" t="n">
        <f aca="false">B36/I11</f>
        <v>60893.1543624161</v>
      </c>
      <c r="G36" s="187" t="n">
        <f aca="false">G27+G28+G29+G30+G35</f>
        <v>1270744212</v>
      </c>
      <c r="H36" s="188" t="n">
        <f aca="false">H27+H28+H29+H30+H35</f>
        <v>1315.191</v>
      </c>
      <c r="I36" s="188" t="s">
        <v>60</v>
      </c>
      <c r="J36" s="183"/>
      <c r="K36" s="189"/>
      <c r="L36" s="10"/>
    </row>
    <row r="37" customFormat="false" ht="12.75" hidden="false" customHeight="false" outlineLevel="0" collapsed="false">
      <c r="A37" s="124" t="s">
        <v>89</v>
      </c>
      <c r="B37" s="83" t="n">
        <f aca="false">1.22*1000*H8</f>
        <v>3064640</v>
      </c>
      <c r="C37" s="83" t="n">
        <f aca="false">17.35*1000*J8</f>
        <v>3069215</v>
      </c>
      <c r="D37" s="10"/>
      <c r="E37" s="181" t="n">
        <f aca="false">B37/I12</f>
        <v>57823.3962264151</v>
      </c>
      <c r="G37" s="186"/>
      <c r="H37" s="176"/>
      <c r="I37" s="176"/>
      <c r="J37" s="190"/>
      <c r="K37" s="186"/>
    </row>
    <row r="38" customFormat="false" ht="12.75" hidden="false" customHeight="false" outlineLevel="0" collapsed="false">
      <c r="A38" s="124" t="s">
        <v>94</v>
      </c>
      <c r="B38" s="83"/>
      <c r="C38" s="83"/>
      <c r="D38" s="10"/>
      <c r="E38" s="70" t="n">
        <f aca="false">(B36+B37)/(I11+I12)</f>
        <v>60087.7227722772</v>
      </c>
      <c r="G38" s="161" t="s">
        <v>129</v>
      </c>
      <c r="H38" s="163"/>
      <c r="I38" s="164"/>
      <c r="L38" s="10"/>
    </row>
    <row r="39" customFormat="false" ht="12.75" hidden="false" customHeight="false" outlineLevel="0" collapsed="false">
      <c r="A39" s="124"/>
      <c r="B39" s="83"/>
      <c r="C39" s="83"/>
      <c r="D39" s="10"/>
      <c r="E39" s="181"/>
      <c r="G39" s="191" t="s">
        <v>4</v>
      </c>
      <c r="H39" s="171" t="s">
        <v>81</v>
      </c>
      <c r="I39" s="172" t="s">
        <v>130</v>
      </c>
      <c r="L39" s="10"/>
    </row>
    <row r="40" customFormat="false" ht="12.75" hidden="false" customHeight="false" outlineLevel="0" collapsed="false">
      <c r="A40" s="124"/>
      <c r="B40" s="83"/>
      <c r="C40" s="83"/>
      <c r="D40" s="10"/>
      <c r="E40" s="156"/>
      <c r="G40" s="192" t="s">
        <v>51</v>
      </c>
      <c r="H40" s="10" t="s">
        <v>52</v>
      </c>
      <c r="I40" s="166"/>
      <c r="J40" s="10"/>
      <c r="K40" s="10"/>
      <c r="L40" s="10"/>
    </row>
    <row r="41" customFormat="false" ht="12.75" hidden="false" customHeight="false" outlineLevel="0" collapsed="false">
      <c r="A41" s="160" t="s">
        <v>58</v>
      </c>
      <c r="B41" s="83"/>
      <c r="C41" s="83"/>
      <c r="D41" s="10" t="s">
        <v>90</v>
      </c>
      <c r="E41" s="156" t="s">
        <v>91</v>
      </c>
      <c r="G41" s="192" t="s">
        <v>10</v>
      </c>
      <c r="H41" s="10" t="s">
        <v>53</v>
      </c>
      <c r="I41" s="193" t="n">
        <f aca="false">'AG drivers'!E13</f>
        <v>0.0123684213883735</v>
      </c>
      <c r="J41" s="10"/>
      <c r="K41" s="10"/>
      <c r="L41" s="117"/>
    </row>
    <row r="42" customFormat="false" ht="12.75" hidden="false" customHeight="false" outlineLevel="0" collapsed="false">
      <c r="A42" s="124" t="s">
        <v>88</v>
      </c>
      <c r="B42" s="83" t="n">
        <f aca="false">0.27*H7*1000</f>
        <v>4536540</v>
      </c>
      <c r="C42" s="83" t="n">
        <f aca="false">14.65*1000*J7</f>
        <v>4536079.5</v>
      </c>
      <c r="D42" s="10"/>
      <c r="E42" s="167" t="n">
        <f aca="false">B42/H11</f>
        <v>0.00925966024647649</v>
      </c>
      <c r="G42" s="192" t="s">
        <v>11</v>
      </c>
      <c r="H42" s="10" t="s">
        <v>53</v>
      </c>
      <c r="I42" s="193" t="n">
        <f aca="false">'AG drivers'!E18</f>
        <v>0.0238226019525299</v>
      </c>
      <c r="J42" s="10"/>
      <c r="K42" s="117"/>
      <c r="L42" s="117"/>
    </row>
    <row r="43" customFormat="false" ht="12.75" hidden="false" customHeight="false" outlineLevel="0" collapsed="false">
      <c r="A43" s="124" t="s">
        <v>89</v>
      </c>
      <c r="B43" s="83" t="n">
        <f aca="false">0.52*1000*H8</f>
        <v>1306240</v>
      </c>
      <c r="C43" s="83" t="n">
        <f aca="false">7.44*1000*J8</f>
        <v>1316136</v>
      </c>
      <c r="D43" s="10"/>
      <c r="E43" s="167" t="n">
        <f aca="false">B43/H12</f>
        <v>0.00778953931849641</v>
      </c>
      <c r="G43" s="192" t="s">
        <v>12</v>
      </c>
      <c r="H43" s="10" t="s">
        <v>54</v>
      </c>
      <c r="I43" s="193" t="n">
        <f aca="false">'AG drivers'!E23</f>
        <v>7333</v>
      </c>
      <c r="J43" s="10"/>
      <c r="K43" s="117"/>
      <c r="L43" s="117"/>
    </row>
    <row r="44" customFormat="false" ht="12.75" hidden="false" customHeight="false" outlineLevel="0" collapsed="false">
      <c r="A44" s="124" t="s">
        <v>94</v>
      </c>
      <c r="B44" s="83"/>
      <c r="C44" s="83"/>
      <c r="D44" s="10"/>
      <c r="E44" s="173" t="n">
        <f aca="false">(B42+B43)/(H11+H12)</f>
        <v>0.00888478095026616</v>
      </c>
      <c r="G44" s="192" t="s">
        <v>55</v>
      </c>
      <c r="H44" s="10" t="s">
        <v>56</v>
      </c>
      <c r="I44" s="193" t="n">
        <f aca="false">'AG drivers'!E28</f>
        <v>0.00334526194936152</v>
      </c>
      <c r="J44" s="10"/>
      <c r="K44" s="117"/>
      <c r="L44" s="117"/>
    </row>
    <row r="45" customFormat="false" ht="12.75" hidden="false" customHeight="false" outlineLevel="0" collapsed="false">
      <c r="A45" s="124"/>
      <c r="B45" s="83"/>
      <c r="C45" s="83"/>
      <c r="D45" s="10"/>
      <c r="E45" s="167"/>
      <c r="G45" s="192" t="s">
        <v>20</v>
      </c>
      <c r="H45" s="10" t="s">
        <v>53</v>
      </c>
      <c r="I45" s="193" t="n">
        <f aca="false">'AG drivers'!E33</f>
        <v>0.00736368202397572</v>
      </c>
      <c r="J45" s="10"/>
      <c r="K45" s="117"/>
      <c r="L45" s="117"/>
    </row>
    <row r="46" customFormat="false" ht="12.75" hidden="false" customHeight="false" outlineLevel="0" collapsed="false">
      <c r="A46" s="124"/>
      <c r="B46" s="83"/>
      <c r="C46" s="83"/>
      <c r="D46" s="10"/>
      <c r="E46" s="167"/>
      <c r="G46" s="192" t="s">
        <v>126</v>
      </c>
      <c r="H46" s="10" t="s">
        <v>57</v>
      </c>
      <c r="I46" s="193"/>
      <c r="J46" s="10"/>
      <c r="K46" s="117"/>
      <c r="L46" s="10"/>
    </row>
    <row r="47" customFormat="false" ht="12.75" hidden="false" customHeight="false" outlineLevel="0" collapsed="false">
      <c r="A47" s="124"/>
      <c r="B47" s="83"/>
      <c r="C47" s="83"/>
      <c r="D47" s="10"/>
      <c r="E47" s="156"/>
      <c r="G47" s="191" t="s">
        <v>58</v>
      </c>
      <c r="H47" s="169" t="s">
        <v>53</v>
      </c>
      <c r="I47" s="194" t="n">
        <f aca="false">'AG drivers'!E44</f>
        <v>0.00888478095026616</v>
      </c>
      <c r="J47" s="10"/>
      <c r="K47" s="10"/>
    </row>
    <row r="48" customFormat="false" ht="12.75" hidden="false" customHeight="false" outlineLevel="0" collapsed="false">
      <c r="A48" s="160" t="s">
        <v>131</v>
      </c>
      <c r="B48" s="83"/>
      <c r="C48" s="83"/>
      <c r="D48" s="10"/>
      <c r="E48" s="156"/>
    </row>
    <row r="49" customFormat="false" ht="12.75" hidden="false" customHeight="false" outlineLevel="0" collapsed="false">
      <c r="A49" s="124"/>
      <c r="B49" s="83"/>
      <c r="C49" s="83"/>
      <c r="D49" s="10"/>
      <c r="E49" s="156"/>
    </row>
    <row r="50" customFormat="false" ht="12.75" hidden="false" customHeight="false" outlineLevel="0" collapsed="false">
      <c r="A50" s="160" t="s">
        <v>132</v>
      </c>
      <c r="B50" s="83"/>
      <c r="C50" s="83" t="s">
        <v>133</v>
      </c>
      <c r="D50" s="10"/>
      <c r="E50" s="156"/>
    </row>
    <row r="51" customFormat="false" ht="12.75" hidden="false" customHeight="false" outlineLevel="0" collapsed="false">
      <c r="A51" s="124" t="s">
        <v>88</v>
      </c>
      <c r="B51" s="83" t="n">
        <f aca="false">0.4*1000*H7</f>
        <v>6720800</v>
      </c>
      <c r="C51" s="83" t="n">
        <f aca="false">1.54*1000*K7</f>
        <v>6776000</v>
      </c>
      <c r="D51" s="10"/>
      <c r="E51" s="156"/>
    </row>
    <row r="52" customFormat="false" ht="12.75" hidden="false" customHeight="false" outlineLevel="0" collapsed="false">
      <c r="A52" s="124" t="s">
        <v>89</v>
      </c>
      <c r="B52" s="83" t="n">
        <f aca="false">0.77*1000*H8</f>
        <v>1934240</v>
      </c>
      <c r="C52" s="83" t="n">
        <f aca="false">1.35*1000*K8</f>
        <v>1890000</v>
      </c>
      <c r="D52" s="10"/>
      <c r="E52" s="156"/>
    </row>
    <row r="53" customFormat="false" ht="12.75" hidden="false" customHeight="false" outlineLevel="0" collapsed="false">
      <c r="A53" s="124"/>
      <c r="B53" s="83"/>
      <c r="C53" s="10"/>
      <c r="D53" s="10"/>
      <c r="E53" s="156"/>
    </row>
    <row r="54" customFormat="false" ht="12.75" hidden="false" customHeight="false" outlineLevel="0" collapsed="false">
      <c r="A54" s="160" t="s">
        <v>134</v>
      </c>
      <c r="B54" s="190"/>
      <c r="C54" s="10"/>
      <c r="D54" s="10" t="s">
        <v>135</v>
      </c>
      <c r="E54" s="156" t="s">
        <v>128</v>
      </c>
    </row>
    <row r="55" customFormat="false" ht="12.75" hidden="false" customHeight="false" outlineLevel="0" collapsed="false">
      <c r="A55" s="124" t="s">
        <v>88</v>
      </c>
      <c r="B55" s="83" t="n">
        <f aca="false">CS!G50</f>
        <v>777941</v>
      </c>
      <c r="C55" s="10"/>
      <c r="D55" s="10"/>
      <c r="E55" s="181" t="n">
        <f aca="false">B55/I11</f>
        <v>5221.08053691275</v>
      </c>
    </row>
    <row r="56" customFormat="false" ht="12.75" hidden="false" customHeight="false" outlineLevel="0" collapsed="false">
      <c r="A56" s="124" t="s">
        <v>89</v>
      </c>
      <c r="B56" s="83" t="n">
        <f aca="false">CS!G63</f>
        <v>69681</v>
      </c>
      <c r="C56" s="10"/>
      <c r="D56" s="10"/>
      <c r="E56" s="181" t="n">
        <f aca="false">B56/I12</f>
        <v>1314.7358490566</v>
      </c>
    </row>
    <row r="57" customFormat="false" ht="12.75" hidden="false" customHeight="false" outlineLevel="0" collapsed="false">
      <c r="A57" s="124" t="s">
        <v>94</v>
      </c>
      <c r="B57" s="83"/>
      <c r="C57" s="10"/>
      <c r="D57" s="10"/>
      <c r="E57" s="70" t="n">
        <f aca="false">(B55+B56)/(I11+I12)</f>
        <v>4196.14851485149</v>
      </c>
    </row>
    <row r="58" customFormat="false" ht="12.75" hidden="false" customHeight="false" outlineLevel="0" collapsed="false">
      <c r="A58" s="124" t="s">
        <v>95</v>
      </c>
      <c r="B58" s="83" t="n">
        <f aca="false">CS!G11</f>
        <v>3509075</v>
      </c>
      <c r="C58" s="10"/>
      <c r="D58" s="10"/>
      <c r="E58" s="181" t="n">
        <f aca="false">B58/I13</f>
        <v>23550.8389261745</v>
      </c>
    </row>
    <row r="59" customFormat="false" ht="12.75" hidden="false" customHeight="false" outlineLevel="0" collapsed="false">
      <c r="A59" s="124" t="s">
        <v>96</v>
      </c>
      <c r="B59" s="83" t="n">
        <f aca="false">CS!G24</f>
        <v>2324068</v>
      </c>
      <c r="C59" s="10"/>
      <c r="D59" s="10"/>
      <c r="E59" s="181" t="n">
        <f aca="false">B59/I14</f>
        <v>21720.261682243</v>
      </c>
    </row>
    <row r="60" customFormat="false" ht="12.75" hidden="false" customHeight="false" outlineLevel="0" collapsed="false">
      <c r="A60" s="124" t="s">
        <v>97</v>
      </c>
      <c r="B60" s="83" t="n">
        <f aca="false">CS!G37</f>
        <v>389770</v>
      </c>
      <c r="C60" s="10"/>
      <c r="D60" s="10"/>
      <c r="E60" s="181" t="n">
        <f aca="false">B60/I15</f>
        <v>2744.85915492958</v>
      </c>
    </row>
    <row r="61" customFormat="false" ht="12.75" hidden="false" customHeight="false" outlineLevel="0" collapsed="false">
      <c r="A61" s="169"/>
      <c r="B61" s="170"/>
      <c r="C61" s="171"/>
      <c r="D61" s="171"/>
      <c r="E61" s="195"/>
    </row>
    <row r="63" customFormat="false" ht="13.5" hidden="false" customHeight="false" outlineLevel="0" collapsed="false">
      <c r="A63" s="85"/>
      <c r="B63" s="196"/>
      <c r="C63" s="85"/>
      <c r="D63" s="85"/>
      <c r="E63" s="197"/>
      <c r="F63" s="85"/>
      <c r="G63" s="85"/>
      <c r="H63" s="85"/>
      <c r="I63" s="85"/>
      <c r="J63" s="85"/>
    </row>
    <row r="64" customFormat="false" ht="12.75" hidden="false" customHeight="false" outlineLevel="0" collapsed="false">
      <c r="A64" s="10"/>
      <c r="B64" s="83"/>
      <c r="C64" s="10"/>
      <c r="D64" s="10"/>
      <c r="E64" s="198"/>
      <c r="F64" s="10"/>
      <c r="G64" s="10"/>
      <c r="H64" s="10"/>
      <c r="I64" s="10"/>
      <c r="J64" s="10"/>
    </row>
    <row r="65" customFormat="false" ht="13.5" hidden="false" customHeight="false" outlineLevel="0" collapsed="false">
      <c r="A65" s="0" t="s">
        <v>136</v>
      </c>
    </row>
    <row r="66" customFormat="false" ht="12.75" hidden="false" customHeight="false" outlineLevel="0" collapsed="false">
      <c r="A66" s="8" t="s">
        <v>137</v>
      </c>
      <c r="B66" s="8"/>
      <c r="C66" s="8"/>
      <c r="D66" s="8"/>
      <c r="E66" s="0"/>
    </row>
    <row r="67" customFormat="false" ht="12.75" hidden="false" customHeight="false" outlineLevel="0" collapsed="false">
      <c r="A67" s="16" t="s">
        <v>4</v>
      </c>
      <c r="B67" s="17" t="s">
        <v>138</v>
      </c>
      <c r="C67" s="16" t="s">
        <v>139</v>
      </c>
      <c r="D67" s="17" t="s">
        <v>4</v>
      </c>
      <c r="E67" s="0"/>
    </row>
    <row r="68" customFormat="false" ht="12.75" hidden="false" customHeight="false" outlineLevel="0" collapsed="false">
      <c r="A68" s="27" t="s">
        <v>140</v>
      </c>
      <c r="B68" s="199" t="n">
        <v>32701334</v>
      </c>
      <c r="C68" s="27"/>
      <c r="D68" s="200"/>
      <c r="E68" s="0"/>
    </row>
    <row r="69" customFormat="false" ht="12.75" hidden="false" customHeight="false" outlineLevel="0" collapsed="false">
      <c r="A69" s="27" t="s">
        <v>141</v>
      </c>
      <c r="B69" s="199" t="n">
        <v>12054733</v>
      </c>
      <c r="C69" s="201" t="n">
        <v>1452460</v>
      </c>
      <c r="D69" s="200" t="s">
        <v>51</v>
      </c>
      <c r="E69" s="0"/>
    </row>
    <row r="70" customFormat="false" ht="12.75" hidden="false" customHeight="false" outlineLevel="0" collapsed="false">
      <c r="A70" s="27" t="s">
        <v>142</v>
      </c>
      <c r="B70" s="199" t="n">
        <v>23380350</v>
      </c>
      <c r="C70" s="201" t="n">
        <v>8133680</v>
      </c>
      <c r="D70" s="200" t="s">
        <v>10</v>
      </c>
      <c r="E70" s="0"/>
    </row>
    <row r="71" customFormat="false" ht="12.75" hidden="false" customHeight="false" outlineLevel="0" collapsed="false">
      <c r="A71" s="27" t="s">
        <v>143</v>
      </c>
      <c r="B71" s="199" t="n">
        <v>5437406</v>
      </c>
      <c r="C71" s="201" t="n">
        <v>15666140</v>
      </c>
      <c r="D71" s="200" t="s">
        <v>11</v>
      </c>
      <c r="E71" s="0"/>
    </row>
    <row r="72" customFormat="false" ht="12.75" hidden="false" customHeight="false" outlineLevel="0" collapsed="false">
      <c r="A72" s="27" t="s">
        <v>144</v>
      </c>
      <c r="B72" s="199" t="n">
        <v>3201037</v>
      </c>
      <c r="C72" s="201" t="n">
        <v>8799600</v>
      </c>
      <c r="D72" s="200" t="s">
        <v>12</v>
      </c>
      <c r="E72" s="0"/>
    </row>
    <row r="73" customFormat="false" ht="12.75" hidden="false" customHeight="false" outlineLevel="0" collapsed="false">
      <c r="A73" s="27" t="s">
        <v>145</v>
      </c>
      <c r="B73" s="199" t="n">
        <v>13800812</v>
      </c>
      <c r="C73" s="201" t="n">
        <v>2199900</v>
      </c>
      <c r="D73" s="200" t="s">
        <v>55</v>
      </c>
      <c r="E73" s="0"/>
    </row>
    <row r="74" customFormat="false" ht="12.75" hidden="false" customHeight="false" outlineLevel="0" collapsed="false">
      <c r="A74" s="27" t="s">
        <v>146</v>
      </c>
      <c r="B74" s="199" t="n">
        <v>5806235</v>
      </c>
      <c r="C74" s="201" t="n">
        <v>4842480</v>
      </c>
      <c r="D74" s="200" t="s">
        <v>20</v>
      </c>
      <c r="E74" s="0"/>
    </row>
    <row r="75" customFormat="false" ht="12.75" hidden="false" customHeight="false" outlineLevel="0" collapsed="false">
      <c r="A75" s="27" t="s">
        <v>147</v>
      </c>
      <c r="B75" s="199" t="n">
        <v>193847</v>
      </c>
      <c r="C75" s="201" t="n">
        <v>12137720</v>
      </c>
      <c r="D75" s="200" t="s">
        <v>22</v>
      </c>
      <c r="E75" s="0"/>
    </row>
    <row r="76" customFormat="false" ht="12.75" hidden="false" customHeight="false" outlineLevel="0" collapsed="false">
      <c r="A76" s="27" t="s">
        <v>148</v>
      </c>
      <c r="B76" s="199" t="n">
        <v>16211846</v>
      </c>
      <c r="C76" s="201" t="n">
        <v>5842780</v>
      </c>
      <c r="D76" s="200" t="s">
        <v>58</v>
      </c>
      <c r="E76" s="0"/>
    </row>
    <row r="77" customFormat="false" ht="13.5" hidden="false" customHeight="false" outlineLevel="0" collapsed="false">
      <c r="A77" s="202" t="s">
        <v>149</v>
      </c>
      <c r="B77" s="199" t="n">
        <v>4182977</v>
      </c>
      <c r="C77" s="201" t="n">
        <v>847622</v>
      </c>
      <c r="D77" s="203" t="s">
        <v>59</v>
      </c>
      <c r="E77" s="0"/>
    </row>
    <row r="78" customFormat="false" ht="13.5" hidden="false" customHeight="false" outlineLevel="0" collapsed="false">
      <c r="A78" s="37" t="s">
        <v>150</v>
      </c>
      <c r="B78" s="204" t="n">
        <v>116970577</v>
      </c>
      <c r="C78" s="205" t="n">
        <v>59922382</v>
      </c>
      <c r="D78" s="206" t="s">
        <v>150</v>
      </c>
      <c r="E78" s="0"/>
    </row>
  </sheetData>
  <mergeCells count="4">
    <mergeCell ref="B3:E3"/>
    <mergeCell ref="D5:E5"/>
    <mergeCell ref="H18:H19"/>
    <mergeCell ref="A66:D66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153"/>
  <sheetViews>
    <sheetView showFormulas="false" showGridLines="true" showRowColHeaders="true" showZeros="true" rightToLeft="false" tabSelected="false" showOutlineSymbols="true" defaultGridColor="true" view="normal" topLeftCell="B1" colorId="64" zoomScale="100" zoomScaleNormal="100" zoomScalePageLayoutView="100" workbookViewId="0">
      <selection pane="topLeft" activeCell="B8" activeCellId="0" sqref="B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5.99"/>
    <col collapsed="false" customWidth="true" hidden="false" outlineLevel="0" max="2" min="2" style="10" width="35.7"/>
    <col collapsed="false" customWidth="true" hidden="false" outlineLevel="0" max="3" min="3" style="10" width="4.99"/>
    <col collapsed="false" customWidth="true" hidden="false" outlineLevel="0" max="4" min="4" style="10" width="14.28"/>
    <col collapsed="false" customWidth="true" hidden="false" outlineLevel="0" max="5" min="5" style="10" width="7.85"/>
    <col collapsed="false" customWidth="true" hidden="false" outlineLevel="0" max="6" min="6" style="10" width="6.7"/>
    <col collapsed="false" customWidth="true" hidden="false" outlineLevel="0" max="7" min="7" style="10" width="8.56"/>
    <col collapsed="false" customWidth="true" hidden="false" outlineLevel="0" max="8" min="8" style="10" width="13.99"/>
    <col collapsed="false" customWidth="true" hidden="false" outlineLevel="0" max="9" min="9" style="0" width="13.99"/>
    <col collapsed="false" customWidth="true" hidden="false" outlineLevel="0" max="11" min="10" style="0" width="10.28"/>
    <col collapsed="false" customWidth="true" hidden="false" outlineLevel="0" max="13" min="13" style="0" width="4.14"/>
  </cols>
  <sheetData>
    <row r="1" customFormat="false" ht="12.75" hidden="false" customHeight="false" outlineLevel="0" collapsed="false">
      <c r="A1" s="1" t="s">
        <v>151</v>
      </c>
      <c r="B1" s="10" t="s">
        <v>152</v>
      </c>
      <c r="C1" s="10" t="s">
        <v>103</v>
      </c>
      <c r="D1" s="10" t="s">
        <v>153</v>
      </c>
      <c r="E1" s="10" t="s">
        <v>154</v>
      </c>
      <c r="F1" s="10" t="s">
        <v>155</v>
      </c>
      <c r="G1" s="10" t="s">
        <v>156</v>
      </c>
      <c r="H1" s="10" t="s">
        <v>157</v>
      </c>
    </row>
    <row r="2" customFormat="false" ht="12.75" hidden="false" customHeight="false" outlineLevel="0" collapsed="false">
      <c r="A2" s="1" t="n">
        <v>1</v>
      </c>
      <c r="B2" s="10" t="s">
        <v>158</v>
      </c>
      <c r="C2" s="10" t="n">
        <v>1998</v>
      </c>
      <c r="D2" s="10" t="s">
        <v>159</v>
      </c>
      <c r="E2" s="10" t="s">
        <v>160</v>
      </c>
      <c r="F2" s="10" t="s">
        <v>161</v>
      </c>
      <c r="G2" s="10" t="s">
        <v>161</v>
      </c>
      <c r="H2" s="10" t="n">
        <v>60</v>
      </c>
      <c r="I2" s="10"/>
    </row>
    <row r="3" customFormat="false" ht="12.75" hidden="false" customHeight="false" outlineLevel="0" collapsed="false">
      <c r="A3" s="1" t="n">
        <v>2</v>
      </c>
      <c r="B3" s="10" t="s">
        <v>162</v>
      </c>
      <c r="C3" s="10" t="n">
        <v>1998</v>
      </c>
      <c r="D3" s="10" t="s">
        <v>163</v>
      </c>
      <c r="E3" s="10" t="s">
        <v>160</v>
      </c>
      <c r="F3" s="10" t="s">
        <v>161</v>
      </c>
      <c r="G3" s="10" t="s">
        <v>161</v>
      </c>
      <c r="H3" s="10" t="n">
        <v>694</v>
      </c>
      <c r="I3" s="10"/>
    </row>
    <row r="4" customFormat="false" ht="12.75" hidden="false" customHeight="false" outlineLevel="0" collapsed="false">
      <c r="A4" s="1" t="n">
        <v>3</v>
      </c>
      <c r="B4" s="10" t="s">
        <v>162</v>
      </c>
      <c r="C4" s="10" t="n">
        <v>1998</v>
      </c>
      <c r="D4" s="10" t="s">
        <v>164</v>
      </c>
      <c r="E4" s="10" t="s">
        <v>160</v>
      </c>
      <c r="F4" s="10" t="s">
        <v>161</v>
      </c>
      <c r="G4" s="10" t="s">
        <v>161</v>
      </c>
      <c r="H4" s="10" t="n">
        <v>1</v>
      </c>
      <c r="I4" s="10"/>
    </row>
    <row r="5" customFormat="false" ht="12.75" hidden="false" customHeight="false" outlineLevel="0" collapsed="false">
      <c r="A5" s="1" t="n">
        <v>4</v>
      </c>
      <c r="B5" s="10" t="s">
        <v>162</v>
      </c>
      <c r="C5" s="10" t="n">
        <v>1998</v>
      </c>
      <c r="D5" s="10" t="s">
        <v>165</v>
      </c>
      <c r="E5" s="10" t="s">
        <v>160</v>
      </c>
      <c r="F5" s="10" t="s">
        <v>160</v>
      </c>
      <c r="G5" s="10" t="s">
        <v>161</v>
      </c>
      <c r="H5" s="10" t="n">
        <v>11</v>
      </c>
      <c r="I5" s="10"/>
    </row>
    <row r="6" customFormat="false" ht="12.75" hidden="false" customHeight="false" outlineLevel="0" collapsed="false">
      <c r="A6" s="1" t="n">
        <v>5</v>
      </c>
      <c r="B6" s="10" t="s">
        <v>166</v>
      </c>
      <c r="C6" s="10" t="n">
        <v>1997</v>
      </c>
      <c r="D6" s="10" t="s">
        <v>167</v>
      </c>
      <c r="E6" s="10" t="s">
        <v>160</v>
      </c>
      <c r="F6" s="10" t="s">
        <v>161</v>
      </c>
      <c r="G6" s="10" t="s">
        <v>161</v>
      </c>
      <c r="H6" s="10" t="n">
        <v>4333</v>
      </c>
      <c r="I6" s="10"/>
    </row>
    <row r="7" customFormat="false" ht="12.75" hidden="false" customHeight="false" outlineLevel="0" collapsed="false">
      <c r="A7" s="1" t="n">
        <v>6</v>
      </c>
      <c r="B7" s="10" t="s">
        <v>168</v>
      </c>
      <c r="C7" s="10" t="n">
        <v>1997</v>
      </c>
      <c r="D7" s="10" t="s">
        <v>169</v>
      </c>
      <c r="E7" s="10" t="s">
        <v>160</v>
      </c>
      <c r="F7" s="10" t="s">
        <v>161</v>
      </c>
      <c r="G7" s="10" t="s">
        <v>161</v>
      </c>
      <c r="H7" s="10" t="n">
        <v>1229</v>
      </c>
      <c r="I7" s="10"/>
    </row>
    <row r="8" customFormat="false" ht="12.75" hidden="false" customHeight="false" outlineLevel="0" collapsed="false">
      <c r="A8" s="1" t="n">
        <v>7</v>
      </c>
      <c r="B8" s="10" t="s">
        <v>158</v>
      </c>
      <c r="C8" s="10" t="n">
        <v>1998</v>
      </c>
      <c r="D8" s="10" t="s">
        <v>169</v>
      </c>
      <c r="E8" s="10" t="s">
        <v>160</v>
      </c>
      <c r="F8" s="10" t="s">
        <v>161</v>
      </c>
      <c r="G8" s="10" t="s">
        <v>161</v>
      </c>
      <c r="H8" s="10" t="n">
        <v>725</v>
      </c>
      <c r="I8" s="10"/>
    </row>
    <row r="9" customFormat="false" ht="12.75" hidden="false" customHeight="false" outlineLevel="0" collapsed="false">
      <c r="A9" s="1" t="n">
        <v>8</v>
      </c>
      <c r="B9" s="10" t="s">
        <v>166</v>
      </c>
      <c r="C9" s="10" t="n">
        <v>1997</v>
      </c>
      <c r="D9" s="10" t="s">
        <v>169</v>
      </c>
      <c r="E9" s="10" t="s">
        <v>160</v>
      </c>
      <c r="F9" s="10" t="s">
        <v>161</v>
      </c>
      <c r="G9" s="10" t="s">
        <v>161</v>
      </c>
      <c r="H9" s="10" t="n">
        <v>23</v>
      </c>
      <c r="I9" s="10"/>
      <c r="J9" s="207" t="s">
        <v>170</v>
      </c>
      <c r="K9" s="207"/>
    </row>
    <row r="10" customFormat="false" ht="12.75" hidden="false" customHeight="false" outlineLevel="0" collapsed="false">
      <c r="A10" s="1" t="n">
        <v>9</v>
      </c>
      <c r="B10" s="10" t="s">
        <v>168</v>
      </c>
      <c r="C10" s="10" t="n">
        <v>1997</v>
      </c>
      <c r="D10" s="10" t="s">
        <v>171</v>
      </c>
      <c r="E10" s="10" t="s">
        <v>160</v>
      </c>
      <c r="F10" s="10" t="s">
        <v>161</v>
      </c>
      <c r="G10" s="10" t="s">
        <v>161</v>
      </c>
      <c r="H10" s="10" t="n">
        <v>863</v>
      </c>
      <c r="I10" s="10"/>
      <c r="J10" s="124" t="s">
        <v>95</v>
      </c>
      <c r="K10" s="166" t="n">
        <f aca="false">SUM(H2:H10)</f>
        <v>7939</v>
      </c>
    </row>
    <row r="11" customFormat="false" ht="13.5" hidden="false" customHeight="false" outlineLevel="0" collapsed="false">
      <c r="A11" s="1" t="n">
        <v>10</v>
      </c>
      <c r="B11" s="10" t="s">
        <v>158</v>
      </c>
      <c r="C11" s="10" t="n">
        <v>1998</v>
      </c>
      <c r="D11" s="10" t="s">
        <v>171</v>
      </c>
      <c r="E11" s="10" t="s">
        <v>160</v>
      </c>
      <c r="F11" s="10" t="s">
        <v>161</v>
      </c>
      <c r="G11" s="10" t="s">
        <v>161</v>
      </c>
      <c r="H11" s="10" t="n">
        <v>244</v>
      </c>
      <c r="I11" s="10"/>
      <c r="J11" s="124" t="s">
        <v>96</v>
      </c>
      <c r="K11" s="166" t="n">
        <f aca="false">SUM(H11:H20)</f>
        <v>6534</v>
      </c>
    </row>
    <row r="12" customFormat="false" ht="12.75" hidden="false" customHeight="false" outlineLevel="0" collapsed="false">
      <c r="A12" s="1" t="n">
        <v>11</v>
      </c>
      <c r="B12" s="208" t="s">
        <v>168</v>
      </c>
      <c r="C12" s="209" t="n">
        <v>1997</v>
      </c>
      <c r="D12" s="209" t="s">
        <v>172</v>
      </c>
      <c r="E12" s="209" t="s">
        <v>160</v>
      </c>
      <c r="F12" s="209" t="s">
        <v>161</v>
      </c>
      <c r="G12" s="209" t="s">
        <v>161</v>
      </c>
      <c r="H12" s="210" t="n">
        <v>1778</v>
      </c>
      <c r="I12" s="10"/>
      <c r="J12" s="124" t="s">
        <v>97</v>
      </c>
      <c r="K12" s="166" t="n">
        <f aca="false">SUM(H21:H28)</f>
        <v>8021</v>
      </c>
    </row>
    <row r="13" customFormat="false" ht="13.5" hidden="false" customHeight="false" outlineLevel="0" collapsed="false">
      <c r="A13" s="1" t="n">
        <v>12</v>
      </c>
      <c r="B13" s="211" t="s">
        <v>166</v>
      </c>
      <c r="C13" s="85" t="n">
        <v>1997</v>
      </c>
      <c r="D13" s="85" t="s">
        <v>172</v>
      </c>
      <c r="E13" s="85" t="s">
        <v>160</v>
      </c>
      <c r="F13" s="85" t="s">
        <v>161</v>
      </c>
      <c r="G13" s="85" t="s">
        <v>161</v>
      </c>
      <c r="H13" s="212" t="n">
        <v>2244</v>
      </c>
      <c r="I13" s="10"/>
      <c r="J13" s="124" t="s">
        <v>88</v>
      </c>
      <c r="K13" s="166" t="n">
        <f aca="false">SUM(H29:H43)</f>
        <v>5858</v>
      </c>
    </row>
    <row r="14" customFormat="false" ht="12.75" hidden="false" customHeight="false" outlineLevel="0" collapsed="false">
      <c r="A14" s="1" t="n">
        <v>13</v>
      </c>
      <c r="B14" s="10" t="s">
        <v>158</v>
      </c>
      <c r="C14" s="10" t="n">
        <v>1998</v>
      </c>
      <c r="D14" s="10" t="s">
        <v>173</v>
      </c>
      <c r="E14" s="10" t="s">
        <v>160</v>
      </c>
      <c r="F14" s="10" t="s">
        <v>161</v>
      </c>
      <c r="G14" s="10" t="s">
        <v>161</v>
      </c>
      <c r="H14" s="10" t="n">
        <v>154</v>
      </c>
      <c r="J14" s="169" t="s">
        <v>89</v>
      </c>
      <c r="K14" s="172" t="n">
        <f aca="false">SUM(H44:H50)</f>
        <v>5094</v>
      </c>
    </row>
    <row r="15" customFormat="false" ht="12.75" hidden="false" customHeight="false" outlineLevel="0" collapsed="false">
      <c r="A15" s="1" t="n">
        <v>14</v>
      </c>
      <c r="B15" s="10" t="s">
        <v>158</v>
      </c>
      <c r="C15" s="10" t="n">
        <v>1998</v>
      </c>
      <c r="D15" s="10" t="s">
        <v>174</v>
      </c>
      <c r="E15" s="10" t="s">
        <v>160</v>
      </c>
      <c r="F15" s="10" t="s">
        <v>161</v>
      </c>
      <c r="G15" s="10" t="s">
        <v>161</v>
      </c>
      <c r="H15" s="10" t="n">
        <v>1229</v>
      </c>
      <c r="I15" s="10"/>
      <c r="J15" s="0" t="s">
        <v>175</v>
      </c>
      <c r="K15" s="0" t="n">
        <f aca="false">SUM(K12:K14)</f>
        <v>18973</v>
      </c>
    </row>
    <row r="16" customFormat="false" ht="12.75" hidden="false" customHeight="false" outlineLevel="0" collapsed="false">
      <c r="A16" s="1" t="n">
        <v>15</v>
      </c>
      <c r="B16" s="10" t="s">
        <v>158</v>
      </c>
      <c r="C16" s="10" t="n">
        <v>1998</v>
      </c>
      <c r="D16" s="10" t="s">
        <v>174</v>
      </c>
      <c r="E16" s="10" t="s">
        <v>161</v>
      </c>
      <c r="F16" s="10" t="s">
        <v>161</v>
      </c>
      <c r="G16" s="10" t="s">
        <v>161</v>
      </c>
      <c r="H16" s="10" t="n">
        <v>386</v>
      </c>
      <c r="I16" s="10"/>
      <c r="J16" s="0" t="s">
        <v>176</v>
      </c>
      <c r="K16" s="0" t="n">
        <f aca="false">H12+H13+H35+H35+H37+H42+H43+H44+H45+H46+H47</f>
        <v>7766</v>
      </c>
    </row>
    <row r="17" customFormat="false" ht="12.75" hidden="false" customHeight="false" outlineLevel="0" collapsed="false">
      <c r="A17" s="1" t="n">
        <v>16</v>
      </c>
      <c r="B17" s="10" t="s">
        <v>166</v>
      </c>
      <c r="C17" s="10" t="n">
        <v>1997</v>
      </c>
      <c r="D17" s="10" t="s">
        <v>174</v>
      </c>
      <c r="E17" s="10" t="s">
        <v>161</v>
      </c>
      <c r="F17" s="10" t="s">
        <v>160</v>
      </c>
      <c r="G17" s="10" t="s">
        <v>161</v>
      </c>
      <c r="H17" s="10" t="n">
        <v>56</v>
      </c>
      <c r="I17" s="10"/>
      <c r="J17" s="0" t="s">
        <v>177</v>
      </c>
      <c r="K17" s="213" t="n">
        <f aca="false">K16/K15</f>
        <v>0.409318505244295</v>
      </c>
    </row>
    <row r="18" customFormat="false" ht="12.75" hidden="false" customHeight="false" outlineLevel="0" collapsed="false">
      <c r="A18" s="1" t="n">
        <v>17</v>
      </c>
      <c r="B18" s="10" t="s">
        <v>166</v>
      </c>
      <c r="C18" s="10" t="n">
        <v>1997</v>
      </c>
      <c r="D18" s="10" t="s">
        <v>174</v>
      </c>
      <c r="E18" s="10" t="s">
        <v>161</v>
      </c>
      <c r="F18" s="10" t="s">
        <v>161</v>
      </c>
      <c r="G18" s="10" t="s">
        <v>161</v>
      </c>
      <c r="H18" s="10" t="n">
        <v>32</v>
      </c>
      <c r="I18" s="10"/>
    </row>
    <row r="19" customFormat="false" ht="12.75" hidden="false" customHeight="false" outlineLevel="0" collapsed="false">
      <c r="A19" s="1" t="n">
        <v>18</v>
      </c>
      <c r="B19" s="10" t="s">
        <v>178</v>
      </c>
      <c r="C19" s="10" t="n">
        <v>1998</v>
      </c>
      <c r="D19" s="10" t="s">
        <v>179</v>
      </c>
      <c r="E19" s="10" t="s">
        <v>160</v>
      </c>
      <c r="F19" s="10" t="s">
        <v>161</v>
      </c>
      <c r="G19" s="10" t="s">
        <v>161</v>
      </c>
      <c r="H19" s="10" t="n">
        <v>50</v>
      </c>
      <c r="I19" s="10"/>
      <c r="J19" s="51" t="s">
        <v>180</v>
      </c>
      <c r="K19" s="51"/>
    </row>
    <row r="20" customFormat="false" ht="12.75" hidden="false" customHeight="false" outlineLevel="0" collapsed="false">
      <c r="A20" s="1" t="n">
        <v>19</v>
      </c>
      <c r="B20" s="10" t="s">
        <v>168</v>
      </c>
      <c r="C20" s="10" t="n">
        <v>1997</v>
      </c>
      <c r="D20" s="10" t="s">
        <v>181</v>
      </c>
      <c r="E20" s="10" t="s">
        <v>160</v>
      </c>
      <c r="F20" s="10" t="s">
        <v>161</v>
      </c>
      <c r="G20" s="10" t="s">
        <v>161</v>
      </c>
      <c r="H20" s="10" t="n">
        <v>361</v>
      </c>
      <c r="I20" s="10"/>
    </row>
    <row r="21" customFormat="false" ht="12.75" hidden="false" customHeight="false" outlineLevel="0" collapsed="false">
      <c r="A21" s="1" t="n">
        <v>20</v>
      </c>
      <c r="B21" s="10" t="s">
        <v>166</v>
      </c>
      <c r="C21" s="10" t="n">
        <v>1997</v>
      </c>
      <c r="D21" s="10" t="s">
        <v>181</v>
      </c>
      <c r="E21" s="10" t="s">
        <v>160</v>
      </c>
      <c r="F21" s="10" t="s">
        <v>161</v>
      </c>
      <c r="G21" s="10" t="s">
        <v>161</v>
      </c>
      <c r="H21" s="10" t="n">
        <v>274</v>
      </c>
      <c r="I21" s="10"/>
    </row>
    <row r="22" customFormat="false" ht="12.75" hidden="false" customHeight="false" outlineLevel="0" collapsed="false">
      <c r="A22" s="1" t="n">
        <v>21</v>
      </c>
      <c r="B22" s="10" t="s">
        <v>166</v>
      </c>
      <c r="C22" s="10" t="n">
        <v>1997</v>
      </c>
      <c r="D22" s="10" t="s">
        <v>182</v>
      </c>
      <c r="E22" s="10" t="s">
        <v>160</v>
      </c>
      <c r="F22" s="10" t="s">
        <v>161</v>
      </c>
      <c r="G22" s="10" t="s">
        <v>161</v>
      </c>
      <c r="H22" s="10" t="n">
        <v>3121</v>
      </c>
      <c r="I22" s="10"/>
    </row>
    <row r="23" customFormat="false" ht="12.75" hidden="false" customHeight="false" outlineLevel="0" collapsed="false">
      <c r="A23" s="1" t="n">
        <v>22</v>
      </c>
      <c r="B23" s="10" t="s">
        <v>168</v>
      </c>
      <c r="C23" s="10" t="n">
        <v>1997</v>
      </c>
      <c r="D23" s="10" t="s">
        <v>183</v>
      </c>
      <c r="E23" s="10" t="s">
        <v>160</v>
      </c>
      <c r="F23" s="10" t="s">
        <v>161</v>
      </c>
      <c r="G23" s="10" t="s">
        <v>161</v>
      </c>
      <c r="H23" s="10" t="n">
        <v>1165</v>
      </c>
      <c r="I23" s="10"/>
      <c r="J23" s="214" t="s">
        <v>184</v>
      </c>
      <c r="K23" s="214"/>
      <c r="L23" s="214"/>
      <c r="M23" s="214"/>
      <c r="N23" s="215" t="n">
        <f aca="false">(H12+H35+H42)/K10</f>
        <v>0.296007053785112</v>
      </c>
    </row>
    <row r="24" customFormat="false" ht="12.75" hidden="false" customHeight="false" outlineLevel="0" collapsed="false">
      <c r="A24" s="1" t="n">
        <v>23</v>
      </c>
      <c r="B24" s="10" t="s">
        <v>158</v>
      </c>
      <c r="C24" s="10" t="n">
        <v>1998</v>
      </c>
      <c r="D24" s="10" t="s">
        <v>185</v>
      </c>
      <c r="E24" s="10" t="s">
        <v>160</v>
      </c>
      <c r="F24" s="10" t="s">
        <v>161</v>
      </c>
      <c r="G24" s="10" t="s">
        <v>161</v>
      </c>
      <c r="H24" s="10" t="n">
        <v>462</v>
      </c>
      <c r="I24" s="10"/>
      <c r="J24" s="216" t="s">
        <v>186</v>
      </c>
      <c r="K24" s="216"/>
      <c r="L24" s="216"/>
      <c r="M24" s="216"/>
      <c r="N24" s="217" t="n">
        <f aca="false">H43/K11</f>
        <v>0.0710131619222528</v>
      </c>
    </row>
    <row r="25" customFormat="false" ht="12.75" hidden="false" customHeight="false" outlineLevel="0" collapsed="false">
      <c r="A25" s="1" t="n">
        <v>24</v>
      </c>
      <c r="B25" s="10" t="s">
        <v>166</v>
      </c>
      <c r="C25" s="10" t="n">
        <v>1997</v>
      </c>
      <c r="D25" s="10" t="s">
        <v>187</v>
      </c>
      <c r="E25" s="10" t="s">
        <v>160</v>
      </c>
      <c r="F25" s="10" t="s">
        <v>161</v>
      </c>
      <c r="G25" s="10" t="s">
        <v>161</v>
      </c>
      <c r="H25" s="10" t="n">
        <v>1677</v>
      </c>
      <c r="I25" s="10"/>
      <c r="J25" s="218" t="s">
        <v>188</v>
      </c>
      <c r="K25" s="218"/>
      <c r="L25" s="218"/>
      <c r="M25" s="218"/>
      <c r="N25" s="219" t="n">
        <v>0</v>
      </c>
    </row>
    <row r="26" customFormat="false" ht="12.75" hidden="false" customHeight="false" outlineLevel="0" collapsed="false">
      <c r="A26" s="1" t="n">
        <v>25</v>
      </c>
      <c r="B26" s="10" t="s">
        <v>166</v>
      </c>
      <c r="C26" s="10" t="n">
        <v>1997</v>
      </c>
      <c r="D26" s="10" t="s">
        <v>189</v>
      </c>
      <c r="E26" s="10" t="s">
        <v>160</v>
      </c>
      <c r="F26" s="10" t="s">
        <v>161</v>
      </c>
      <c r="G26" s="10" t="s">
        <v>161</v>
      </c>
      <c r="H26" s="10" t="n">
        <v>90</v>
      </c>
      <c r="I26" s="10"/>
    </row>
    <row r="27" customFormat="false" ht="12.75" hidden="false" customHeight="false" outlineLevel="0" collapsed="false">
      <c r="A27" s="1" t="n">
        <v>26</v>
      </c>
      <c r="B27" s="10" t="s">
        <v>162</v>
      </c>
      <c r="C27" s="10" t="n">
        <v>1998</v>
      </c>
      <c r="D27" s="10" t="s">
        <v>189</v>
      </c>
      <c r="E27" s="10" t="s">
        <v>160</v>
      </c>
      <c r="F27" s="10" t="s">
        <v>160</v>
      </c>
      <c r="G27" s="10" t="s">
        <v>160</v>
      </c>
      <c r="H27" s="10" t="n">
        <v>23</v>
      </c>
      <c r="I27" s="10"/>
    </row>
    <row r="28" customFormat="false" ht="12.75" hidden="false" customHeight="false" outlineLevel="0" collapsed="false">
      <c r="A28" s="1" t="n">
        <v>27</v>
      </c>
      <c r="B28" s="10" t="s">
        <v>162</v>
      </c>
      <c r="C28" s="10" t="n">
        <v>1998</v>
      </c>
      <c r="D28" s="10" t="s">
        <v>189</v>
      </c>
      <c r="E28" s="10" t="s">
        <v>160</v>
      </c>
      <c r="F28" s="10" t="s">
        <v>161</v>
      </c>
      <c r="G28" s="10" t="s">
        <v>161</v>
      </c>
      <c r="H28" s="10" t="n">
        <v>1209</v>
      </c>
    </row>
    <row r="29" customFormat="false" ht="12.75" hidden="false" customHeight="false" outlineLevel="0" collapsed="false">
      <c r="A29" s="1" t="n">
        <v>28</v>
      </c>
      <c r="B29" s="10" t="s">
        <v>178</v>
      </c>
      <c r="C29" s="10" t="n">
        <v>1998</v>
      </c>
      <c r="D29" s="10" t="s">
        <v>190</v>
      </c>
      <c r="E29" s="10" t="s">
        <v>160</v>
      </c>
      <c r="F29" s="10" t="s">
        <v>160</v>
      </c>
      <c r="G29" s="10" t="s">
        <v>160</v>
      </c>
      <c r="H29" s="10" t="n">
        <v>49</v>
      </c>
      <c r="I29" s="10"/>
    </row>
    <row r="30" customFormat="false" ht="12.75" hidden="false" customHeight="false" outlineLevel="0" collapsed="false">
      <c r="A30" s="1" t="n">
        <v>29</v>
      </c>
      <c r="B30" s="10" t="s">
        <v>178</v>
      </c>
      <c r="C30" s="10" t="n">
        <v>1998</v>
      </c>
      <c r="D30" s="10" t="s">
        <v>190</v>
      </c>
      <c r="E30" s="10" t="s">
        <v>160</v>
      </c>
      <c r="F30" s="10" t="s">
        <v>161</v>
      </c>
      <c r="G30" s="10" t="s">
        <v>161</v>
      </c>
      <c r="H30" s="10" t="n">
        <v>963</v>
      </c>
      <c r="I30" s="10"/>
    </row>
    <row r="31" customFormat="false" ht="12.75" hidden="false" customHeight="false" outlineLevel="0" collapsed="false">
      <c r="A31" s="1" t="n">
        <v>30</v>
      </c>
      <c r="B31" s="10" t="s">
        <v>178</v>
      </c>
      <c r="C31" s="10" t="n">
        <v>1998</v>
      </c>
      <c r="D31" s="10" t="s">
        <v>191</v>
      </c>
      <c r="E31" s="10" t="s">
        <v>160</v>
      </c>
      <c r="F31" s="10" t="s">
        <v>161</v>
      </c>
      <c r="G31" s="10" t="s">
        <v>161</v>
      </c>
      <c r="H31" s="10" t="n">
        <v>276</v>
      </c>
      <c r="I31" s="10"/>
    </row>
    <row r="32" customFormat="false" ht="12.75" hidden="false" customHeight="false" outlineLevel="0" collapsed="false">
      <c r="A32" s="1" t="n">
        <v>31</v>
      </c>
      <c r="B32" s="10" t="s">
        <v>168</v>
      </c>
      <c r="C32" s="10" t="n">
        <v>1997</v>
      </c>
      <c r="D32" s="10" t="s">
        <v>191</v>
      </c>
      <c r="E32" s="10" t="s">
        <v>160</v>
      </c>
      <c r="F32" s="10" t="s">
        <v>160</v>
      </c>
      <c r="G32" s="10" t="s">
        <v>161</v>
      </c>
      <c r="H32" s="10" t="n">
        <v>11</v>
      </c>
      <c r="I32" s="10"/>
    </row>
    <row r="33" customFormat="false" ht="12.75" hidden="false" customHeight="false" outlineLevel="0" collapsed="false">
      <c r="A33" s="1" t="n">
        <v>32</v>
      </c>
      <c r="B33" s="10" t="s">
        <v>168</v>
      </c>
      <c r="C33" s="10" t="n">
        <v>1997</v>
      </c>
      <c r="D33" s="10" t="s">
        <v>191</v>
      </c>
      <c r="E33" s="10" t="s">
        <v>160</v>
      </c>
      <c r="F33" s="10" t="s">
        <v>161</v>
      </c>
      <c r="G33" s="10" t="s">
        <v>161</v>
      </c>
      <c r="H33" s="10" t="n">
        <v>356</v>
      </c>
      <c r="I33" s="10"/>
      <c r="J33" s="10"/>
      <c r="K33" s="10"/>
      <c r="L33" s="10"/>
      <c r="M33" s="10"/>
    </row>
    <row r="34" customFormat="false" ht="13.5" hidden="false" customHeight="false" outlineLevel="0" collapsed="false">
      <c r="A34" s="1" t="n">
        <v>33</v>
      </c>
      <c r="B34" s="10" t="s">
        <v>158</v>
      </c>
      <c r="C34" s="10" t="n">
        <v>1998</v>
      </c>
      <c r="D34" s="10" t="s">
        <v>191</v>
      </c>
      <c r="E34" s="10" t="s">
        <v>160</v>
      </c>
      <c r="F34" s="10" t="s">
        <v>160</v>
      </c>
      <c r="G34" s="10" t="s">
        <v>161</v>
      </c>
      <c r="H34" s="10" t="n">
        <v>12</v>
      </c>
      <c r="I34" s="10"/>
    </row>
    <row r="35" customFormat="false" ht="12.75" hidden="false" customHeight="false" outlineLevel="0" collapsed="false">
      <c r="A35" s="1" t="n">
        <v>34</v>
      </c>
      <c r="B35" s="208" t="s">
        <v>168</v>
      </c>
      <c r="C35" s="209" t="n">
        <v>1997</v>
      </c>
      <c r="D35" s="209" t="s">
        <v>192</v>
      </c>
      <c r="E35" s="209" t="s">
        <v>160</v>
      </c>
      <c r="F35" s="209" t="s">
        <v>161</v>
      </c>
      <c r="G35" s="209" t="s">
        <v>161</v>
      </c>
      <c r="H35" s="210" t="n">
        <v>402</v>
      </c>
      <c r="I35" s="10"/>
    </row>
    <row r="36" customFormat="false" ht="12.75" hidden="false" customHeight="false" outlineLevel="0" collapsed="false">
      <c r="A36" s="1" t="n">
        <v>35</v>
      </c>
      <c r="B36" s="59" t="s">
        <v>166</v>
      </c>
      <c r="C36" s="10" t="n">
        <v>1997</v>
      </c>
      <c r="D36" s="10" t="s">
        <v>192</v>
      </c>
      <c r="E36" s="10" t="s">
        <v>160</v>
      </c>
      <c r="F36" s="10" t="s">
        <v>161</v>
      </c>
      <c r="G36" s="10" t="s">
        <v>161</v>
      </c>
      <c r="H36" s="220" t="n">
        <v>679</v>
      </c>
      <c r="I36" s="10"/>
    </row>
    <row r="37" customFormat="false" ht="13.5" hidden="false" customHeight="false" outlineLevel="0" collapsed="false">
      <c r="A37" s="1" t="n">
        <v>36</v>
      </c>
      <c r="B37" s="211" t="s">
        <v>162</v>
      </c>
      <c r="C37" s="85" t="n">
        <v>1998</v>
      </c>
      <c r="D37" s="85" t="s">
        <v>192</v>
      </c>
      <c r="E37" s="85" t="s">
        <v>160</v>
      </c>
      <c r="F37" s="85" t="s">
        <v>161</v>
      </c>
      <c r="G37" s="85" t="s">
        <v>161</v>
      </c>
      <c r="H37" s="212" t="n">
        <v>65</v>
      </c>
      <c r="I37" s="10"/>
    </row>
    <row r="38" customFormat="false" ht="12.75" hidden="false" customHeight="false" outlineLevel="0" collapsed="false">
      <c r="A38" s="1" t="n">
        <v>37</v>
      </c>
      <c r="B38" s="10" t="s">
        <v>178</v>
      </c>
      <c r="C38" s="10" t="n">
        <v>1998</v>
      </c>
      <c r="D38" s="10" t="s">
        <v>193</v>
      </c>
      <c r="E38" s="10" t="s">
        <v>160</v>
      </c>
      <c r="F38" s="10" t="s">
        <v>160</v>
      </c>
      <c r="G38" s="10" t="s">
        <v>160</v>
      </c>
      <c r="H38" s="10" t="n">
        <v>177</v>
      </c>
      <c r="I38" s="10"/>
    </row>
    <row r="39" customFormat="false" ht="12.75" hidden="false" customHeight="false" outlineLevel="0" collapsed="false">
      <c r="A39" s="1" t="n">
        <v>38</v>
      </c>
      <c r="B39" s="10" t="s">
        <v>178</v>
      </c>
      <c r="C39" s="10" t="n">
        <v>1998</v>
      </c>
      <c r="D39" s="10" t="s">
        <v>193</v>
      </c>
      <c r="E39" s="10" t="s">
        <v>160</v>
      </c>
      <c r="F39" s="10" t="s">
        <v>161</v>
      </c>
      <c r="G39" s="10" t="s">
        <v>161</v>
      </c>
      <c r="H39" s="10" t="n">
        <v>1068</v>
      </c>
      <c r="I39" s="10"/>
    </row>
    <row r="40" customFormat="false" ht="12.75" hidden="false" customHeight="false" outlineLevel="0" collapsed="false">
      <c r="A40" s="1" t="n">
        <v>39</v>
      </c>
      <c r="B40" s="10" t="s">
        <v>166</v>
      </c>
      <c r="C40" s="10" t="n">
        <v>1997</v>
      </c>
      <c r="D40" s="10" t="s">
        <v>194</v>
      </c>
      <c r="E40" s="10" t="s">
        <v>160</v>
      </c>
      <c r="F40" s="10" t="s">
        <v>161</v>
      </c>
      <c r="G40" s="10" t="s">
        <v>161</v>
      </c>
      <c r="H40" s="10" t="n">
        <v>831</v>
      </c>
    </row>
    <row r="41" customFormat="false" ht="13.5" hidden="false" customHeight="false" outlineLevel="0" collapsed="false">
      <c r="A41" s="1" t="n">
        <v>40</v>
      </c>
      <c r="B41" s="10" t="s">
        <v>158</v>
      </c>
      <c r="C41" s="10" t="n">
        <v>1998</v>
      </c>
      <c r="D41" s="10" t="s">
        <v>195</v>
      </c>
      <c r="E41" s="10" t="s">
        <v>160</v>
      </c>
      <c r="F41" s="10" t="s">
        <v>161</v>
      </c>
      <c r="G41" s="10" t="s">
        <v>161</v>
      </c>
      <c r="H41" s="10" t="n">
        <v>335</v>
      </c>
      <c r="I41" s="10"/>
    </row>
    <row r="42" customFormat="false" ht="12.75" hidden="false" customHeight="false" outlineLevel="0" collapsed="false">
      <c r="A42" s="1" t="n">
        <v>41</v>
      </c>
      <c r="B42" s="208" t="s">
        <v>168</v>
      </c>
      <c r="C42" s="209" t="n">
        <v>1997</v>
      </c>
      <c r="D42" s="209" t="s">
        <v>196</v>
      </c>
      <c r="E42" s="209" t="s">
        <v>160</v>
      </c>
      <c r="F42" s="209" t="s">
        <v>161</v>
      </c>
      <c r="G42" s="209" t="s">
        <v>161</v>
      </c>
      <c r="H42" s="210" t="n">
        <v>170</v>
      </c>
      <c r="I42" s="10"/>
    </row>
    <row r="43" customFormat="false" ht="12.75" hidden="false" customHeight="false" outlineLevel="0" collapsed="false">
      <c r="A43" s="1" t="n">
        <v>42</v>
      </c>
      <c r="B43" s="59" t="s">
        <v>158</v>
      </c>
      <c r="C43" s="10" t="n">
        <v>1998</v>
      </c>
      <c r="D43" s="10" t="s">
        <v>196</v>
      </c>
      <c r="E43" s="10" t="s">
        <v>160</v>
      </c>
      <c r="F43" s="10" t="s">
        <v>161</v>
      </c>
      <c r="G43" s="10" t="s">
        <v>161</v>
      </c>
      <c r="H43" s="220" t="n">
        <v>464</v>
      </c>
      <c r="I43" s="10"/>
    </row>
    <row r="44" customFormat="false" ht="12.75" hidden="false" customHeight="false" outlineLevel="0" collapsed="false">
      <c r="A44" s="1" t="n">
        <v>43</v>
      </c>
      <c r="B44" s="59" t="s">
        <v>166</v>
      </c>
      <c r="C44" s="10" t="n">
        <v>1997</v>
      </c>
      <c r="D44" s="10" t="s">
        <v>196</v>
      </c>
      <c r="E44" s="10" t="s">
        <v>160</v>
      </c>
      <c r="F44" s="10" t="s">
        <v>161</v>
      </c>
      <c r="G44" s="10" t="s">
        <v>161</v>
      </c>
      <c r="H44" s="220" t="n">
        <v>1547</v>
      </c>
      <c r="I44" s="10"/>
    </row>
    <row r="45" customFormat="false" ht="12.75" hidden="false" customHeight="false" outlineLevel="0" collapsed="false">
      <c r="A45" s="1" t="n">
        <v>44</v>
      </c>
      <c r="B45" s="59" t="s">
        <v>166</v>
      </c>
      <c r="C45" s="10" t="n">
        <v>1997</v>
      </c>
      <c r="D45" s="10" t="s">
        <v>196</v>
      </c>
      <c r="E45" s="10" t="s">
        <v>161</v>
      </c>
      <c r="F45" s="10" t="s">
        <v>160</v>
      </c>
      <c r="G45" s="10" t="s">
        <v>161</v>
      </c>
      <c r="H45" s="220" t="n">
        <v>119</v>
      </c>
      <c r="I45" s="10"/>
    </row>
    <row r="46" customFormat="false" ht="12.75" hidden="false" customHeight="false" outlineLevel="0" collapsed="false">
      <c r="A46" s="1" t="n">
        <v>45</v>
      </c>
      <c r="B46" s="59" t="s">
        <v>166</v>
      </c>
      <c r="C46" s="10" t="n">
        <v>1997</v>
      </c>
      <c r="D46" s="10" t="s">
        <v>196</v>
      </c>
      <c r="E46" s="10" t="s">
        <v>161</v>
      </c>
      <c r="F46" s="10" t="s">
        <v>161</v>
      </c>
      <c r="G46" s="10" t="s">
        <v>161</v>
      </c>
      <c r="H46" s="220" t="n">
        <v>64</v>
      </c>
      <c r="I46" s="10"/>
    </row>
    <row r="47" customFormat="false" ht="13.5" hidden="false" customHeight="false" outlineLevel="0" collapsed="false">
      <c r="A47" s="1" t="n">
        <v>46</v>
      </c>
      <c r="B47" s="211" t="s">
        <v>162</v>
      </c>
      <c r="C47" s="85" t="n">
        <v>1998</v>
      </c>
      <c r="D47" s="85" t="s">
        <v>196</v>
      </c>
      <c r="E47" s="85" t="s">
        <v>160</v>
      </c>
      <c r="F47" s="85" t="s">
        <v>161</v>
      </c>
      <c r="G47" s="85" t="s">
        <v>161</v>
      </c>
      <c r="H47" s="212" t="n">
        <v>511</v>
      </c>
      <c r="I47" s="10"/>
    </row>
    <row r="48" customFormat="false" ht="12.75" hidden="false" customHeight="false" outlineLevel="0" collapsed="false">
      <c r="A48" s="1" t="n">
        <v>47</v>
      </c>
      <c r="B48" s="10" t="s">
        <v>178</v>
      </c>
      <c r="C48" s="10" t="n">
        <v>1998</v>
      </c>
      <c r="D48" s="10" t="s">
        <v>197</v>
      </c>
      <c r="E48" s="10" t="s">
        <v>160</v>
      </c>
      <c r="F48" s="10" t="s">
        <v>161</v>
      </c>
      <c r="G48" s="10" t="s">
        <v>161</v>
      </c>
      <c r="H48" s="10" t="n">
        <v>48</v>
      </c>
    </row>
    <row r="49" customFormat="false" ht="12.75" hidden="false" customHeight="false" outlineLevel="0" collapsed="false">
      <c r="A49" s="1" t="n">
        <v>48</v>
      </c>
      <c r="B49" s="10" t="s">
        <v>166</v>
      </c>
      <c r="C49" s="10" t="n">
        <v>1997</v>
      </c>
      <c r="D49" s="10" t="s">
        <v>198</v>
      </c>
      <c r="E49" s="10" t="s">
        <v>160</v>
      </c>
      <c r="F49" s="10" t="s">
        <v>161</v>
      </c>
      <c r="G49" s="10" t="s">
        <v>161</v>
      </c>
      <c r="H49" s="10" t="n">
        <v>1337</v>
      </c>
      <c r="I49" s="10"/>
    </row>
    <row r="50" customFormat="false" ht="12.75" hidden="false" customHeight="false" outlineLevel="0" collapsed="false">
      <c r="A50" s="1" t="n">
        <v>49</v>
      </c>
      <c r="B50" s="10" t="s">
        <v>178</v>
      </c>
      <c r="C50" s="10" t="n">
        <v>1998</v>
      </c>
      <c r="D50" s="10" t="s">
        <v>199</v>
      </c>
      <c r="E50" s="10" t="s">
        <v>160</v>
      </c>
      <c r="F50" s="10" t="s">
        <v>161</v>
      </c>
      <c r="G50" s="10" t="s">
        <v>161</v>
      </c>
      <c r="H50" s="10" t="n">
        <v>1468</v>
      </c>
    </row>
    <row r="52" customFormat="false" ht="13.5" hidden="false" customHeight="false" outlineLevel="0" collapsed="false">
      <c r="A52" s="86"/>
      <c r="B52" s="221"/>
      <c r="C52" s="85"/>
      <c r="D52" s="85"/>
      <c r="E52" s="85"/>
      <c r="F52" s="85"/>
      <c r="G52" s="85"/>
      <c r="H52" s="221"/>
      <c r="I52" s="221"/>
      <c r="J52" s="85"/>
      <c r="K52" s="85"/>
      <c r="L52" s="85"/>
      <c r="M52" s="85"/>
    </row>
    <row r="53" customFormat="false" ht="12.75" hidden="false" customHeight="false" outlineLevel="0" collapsed="false">
      <c r="B53" s="45" t="s">
        <v>200</v>
      </c>
      <c r="C53" s="117"/>
      <c r="I53" s="117"/>
      <c r="J53" s="45"/>
    </row>
    <row r="54" customFormat="false" ht="12.75" hidden="false" customHeight="false" outlineLevel="0" collapsed="false">
      <c r="B54" s="0"/>
      <c r="C54" s="117"/>
      <c r="I54" s="117"/>
      <c r="J54" s="45"/>
    </row>
    <row r="55" customFormat="false" ht="12.75" hidden="false" customHeight="false" outlineLevel="0" collapsed="false">
      <c r="B55" s="0" t="s">
        <v>152</v>
      </c>
      <c r="C55" s="0" t="s">
        <v>103</v>
      </c>
      <c r="D55" s="0" t="s">
        <v>153</v>
      </c>
      <c r="E55" s="0" t="s">
        <v>154</v>
      </c>
      <c r="F55" s="0" t="s">
        <v>155</v>
      </c>
      <c r="G55" s="0" t="s">
        <v>156</v>
      </c>
      <c r="H55" s="0" t="s">
        <v>157</v>
      </c>
    </row>
    <row r="56" customFormat="false" ht="12.75" hidden="false" customHeight="false" outlineLevel="0" collapsed="false">
      <c r="B56" s="0" t="s">
        <v>168</v>
      </c>
      <c r="C56" s="0" t="n">
        <v>1997</v>
      </c>
      <c r="D56" s="0" t="s">
        <v>169</v>
      </c>
      <c r="E56" s="0" t="s">
        <v>160</v>
      </c>
      <c r="F56" s="0" t="s">
        <v>161</v>
      </c>
      <c r="G56" s="0" t="s">
        <v>161</v>
      </c>
      <c r="H56" s="0" t="n">
        <v>1229</v>
      </c>
      <c r="J56" s="45"/>
    </row>
    <row r="57" customFormat="false" ht="12.75" hidden="false" customHeight="false" outlineLevel="0" collapsed="false">
      <c r="B57" s="0" t="s">
        <v>168</v>
      </c>
      <c r="C57" s="0" t="n">
        <v>1997</v>
      </c>
      <c r="D57" s="0" t="s">
        <v>171</v>
      </c>
      <c r="E57" s="0" t="s">
        <v>160</v>
      </c>
      <c r="F57" s="0" t="s">
        <v>161</v>
      </c>
      <c r="G57" s="0" t="s">
        <v>161</v>
      </c>
      <c r="H57" s="0" t="n">
        <v>863</v>
      </c>
    </row>
    <row r="58" customFormat="false" ht="12.75" hidden="false" customHeight="false" outlineLevel="0" collapsed="false">
      <c r="B58" s="0" t="s">
        <v>168</v>
      </c>
      <c r="C58" s="0" t="n">
        <v>1997</v>
      </c>
      <c r="D58" s="0" t="s">
        <v>172</v>
      </c>
      <c r="E58" s="0" t="s">
        <v>160</v>
      </c>
      <c r="F58" s="0" t="s">
        <v>161</v>
      </c>
      <c r="G58" s="0" t="s">
        <v>161</v>
      </c>
      <c r="H58" s="0" t="n">
        <v>1778</v>
      </c>
      <c r="J58" s="45"/>
    </row>
    <row r="59" customFormat="false" ht="12.75" hidden="false" customHeight="false" outlineLevel="0" collapsed="false">
      <c r="B59" s="0" t="s">
        <v>168</v>
      </c>
      <c r="C59" s="0" t="n">
        <v>1997</v>
      </c>
      <c r="D59" s="0" t="s">
        <v>181</v>
      </c>
      <c r="E59" s="0" t="s">
        <v>160</v>
      </c>
      <c r="F59" s="0" t="s">
        <v>161</v>
      </c>
      <c r="G59" s="0" t="s">
        <v>161</v>
      </c>
      <c r="H59" s="0" t="n">
        <v>361</v>
      </c>
    </row>
    <row r="60" customFormat="false" ht="12.75" hidden="false" customHeight="false" outlineLevel="0" collapsed="false">
      <c r="B60" s="0" t="s">
        <v>168</v>
      </c>
      <c r="C60" s="0" t="n">
        <v>1997</v>
      </c>
      <c r="D60" s="0" t="s">
        <v>183</v>
      </c>
      <c r="E60" s="0" t="s">
        <v>160</v>
      </c>
      <c r="F60" s="0" t="s">
        <v>161</v>
      </c>
      <c r="G60" s="0" t="s">
        <v>161</v>
      </c>
      <c r="H60" s="0" t="n">
        <v>1165</v>
      </c>
      <c r="J60" s="45"/>
    </row>
    <row r="61" customFormat="false" ht="12.75" hidden="false" customHeight="false" outlineLevel="0" collapsed="false">
      <c r="B61" s="0" t="s">
        <v>168</v>
      </c>
      <c r="C61" s="0" t="n">
        <v>1997</v>
      </c>
      <c r="D61" s="0" t="s">
        <v>191</v>
      </c>
      <c r="E61" s="0" t="s">
        <v>160</v>
      </c>
      <c r="F61" s="0" t="s">
        <v>160</v>
      </c>
      <c r="G61" s="0" t="s">
        <v>161</v>
      </c>
      <c r="H61" s="0" t="n">
        <v>11</v>
      </c>
    </row>
    <row r="62" customFormat="false" ht="12.75" hidden="false" customHeight="false" outlineLevel="0" collapsed="false">
      <c r="B62" s="0" t="s">
        <v>168</v>
      </c>
      <c r="C62" s="0" t="n">
        <v>1997</v>
      </c>
      <c r="D62" s="0" t="s">
        <v>191</v>
      </c>
      <c r="E62" s="0" t="s">
        <v>160</v>
      </c>
      <c r="F62" s="0" t="s">
        <v>161</v>
      </c>
      <c r="G62" s="0" t="s">
        <v>161</v>
      </c>
      <c r="H62" s="0" t="n">
        <v>356</v>
      </c>
    </row>
    <row r="63" customFormat="false" ht="12.75" hidden="false" customHeight="false" outlineLevel="0" collapsed="false">
      <c r="B63" s="0" t="s">
        <v>168</v>
      </c>
      <c r="C63" s="0" t="n">
        <v>1997</v>
      </c>
      <c r="D63" s="0" t="s">
        <v>192</v>
      </c>
      <c r="E63" s="0" t="s">
        <v>160</v>
      </c>
      <c r="F63" s="0" t="s">
        <v>161</v>
      </c>
      <c r="G63" s="0" t="s">
        <v>161</v>
      </c>
      <c r="H63" s="0" t="n">
        <v>402</v>
      </c>
    </row>
    <row r="64" customFormat="false" ht="12.75" hidden="false" customHeight="false" outlineLevel="0" collapsed="false">
      <c r="B64" s="0" t="s">
        <v>168</v>
      </c>
      <c r="C64" s="0" t="n">
        <v>1997</v>
      </c>
      <c r="D64" s="0" t="s">
        <v>196</v>
      </c>
      <c r="E64" s="0" t="s">
        <v>160</v>
      </c>
      <c r="F64" s="0" t="s">
        <v>161</v>
      </c>
      <c r="G64" s="0" t="s">
        <v>161</v>
      </c>
      <c r="H64" s="0" t="n">
        <v>170</v>
      </c>
    </row>
    <row r="65" customFormat="false" ht="12.75" hidden="false" customHeight="false" outlineLevel="0" collapsed="false">
      <c r="B65" s="45" t="s">
        <v>168</v>
      </c>
      <c r="C65" s="0"/>
      <c r="D65" s="0"/>
      <c r="E65" s="0"/>
      <c r="F65" s="0"/>
      <c r="G65" s="0"/>
      <c r="H65" s="45" t="n">
        <f aca="false">SUM(H56:H64)</f>
        <v>6335</v>
      </c>
    </row>
    <row r="66" customFormat="false" ht="12.75" hidden="false" customHeight="false" outlineLevel="0" collapsed="false">
      <c r="B66" s="45"/>
      <c r="C66" s="0"/>
      <c r="D66" s="0"/>
      <c r="E66" s="0"/>
      <c r="F66" s="0"/>
      <c r="G66" s="0"/>
      <c r="H66" s="0"/>
    </row>
    <row r="67" customFormat="false" ht="12.75" hidden="false" customHeight="false" outlineLevel="0" collapsed="false">
      <c r="B67" s="0" t="s">
        <v>158</v>
      </c>
      <c r="C67" s="0" t="n">
        <v>1997</v>
      </c>
      <c r="D67" s="0" t="s">
        <v>159</v>
      </c>
      <c r="E67" s="0" t="s">
        <v>160</v>
      </c>
      <c r="F67" s="0" t="s">
        <v>161</v>
      </c>
      <c r="G67" s="0" t="s">
        <v>161</v>
      </c>
      <c r="H67" s="0" t="n">
        <v>60</v>
      </c>
    </row>
    <row r="68" customFormat="false" ht="12.75" hidden="false" customHeight="false" outlineLevel="0" collapsed="false">
      <c r="B68" s="0" t="s">
        <v>158</v>
      </c>
      <c r="C68" s="0" t="n">
        <v>1997</v>
      </c>
      <c r="D68" s="0" t="s">
        <v>169</v>
      </c>
      <c r="E68" s="0" t="s">
        <v>160</v>
      </c>
      <c r="F68" s="0" t="s">
        <v>161</v>
      </c>
      <c r="G68" s="0" t="s">
        <v>161</v>
      </c>
      <c r="H68" s="0" t="n">
        <v>725</v>
      </c>
    </row>
    <row r="69" customFormat="false" ht="12.75" hidden="false" customHeight="false" outlineLevel="0" collapsed="false">
      <c r="B69" s="0" t="s">
        <v>158</v>
      </c>
      <c r="C69" s="0" t="n">
        <v>1997</v>
      </c>
      <c r="D69" s="0" t="s">
        <v>171</v>
      </c>
      <c r="E69" s="0" t="s">
        <v>160</v>
      </c>
      <c r="F69" s="0" t="s">
        <v>161</v>
      </c>
      <c r="G69" s="0" t="s">
        <v>161</v>
      </c>
      <c r="H69" s="0" t="n">
        <v>244</v>
      </c>
    </row>
    <row r="70" customFormat="false" ht="12.75" hidden="false" customHeight="false" outlineLevel="0" collapsed="false">
      <c r="B70" s="0" t="s">
        <v>158</v>
      </c>
      <c r="C70" s="0" t="n">
        <v>1997</v>
      </c>
      <c r="D70" s="0" t="s">
        <v>173</v>
      </c>
      <c r="E70" s="0" t="s">
        <v>160</v>
      </c>
      <c r="F70" s="0" t="s">
        <v>161</v>
      </c>
      <c r="G70" s="0" t="s">
        <v>161</v>
      </c>
      <c r="H70" s="0" t="n">
        <v>154</v>
      </c>
    </row>
    <row r="71" customFormat="false" ht="12.75" hidden="false" customHeight="false" outlineLevel="0" collapsed="false">
      <c r="B71" s="0" t="s">
        <v>158</v>
      </c>
      <c r="C71" s="0" t="n">
        <v>1997</v>
      </c>
      <c r="D71" s="0" t="s">
        <v>174</v>
      </c>
      <c r="E71" s="0" t="s">
        <v>160</v>
      </c>
      <c r="F71" s="0" t="s">
        <v>161</v>
      </c>
      <c r="G71" s="0" t="s">
        <v>161</v>
      </c>
      <c r="H71" s="0" t="n">
        <v>1229</v>
      </c>
    </row>
    <row r="72" customFormat="false" ht="12.75" hidden="false" customHeight="false" outlineLevel="0" collapsed="false">
      <c r="B72" s="0" t="s">
        <v>158</v>
      </c>
      <c r="C72" s="0" t="n">
        <v>1997</v>
      </c>
      <c r="D72" s="0" t="s">
        <v>174</v>
      </c>
      <c r="E72" s="0" t="s">
        <v>161</v>
      </c>
      <c r="F72" s="0" t="s">
        <v>161</v>
      </c>
      <c r="G72" s="0" t="s">
        <v>161</v>
      </c>
      <c r="H72" s="0" t="n">
        <v>386</v>
      </c>
    </row>
    <row r="73" customFormat="false" ht="12.75" hidden="false" customHeight="false" outlineLevel="0" collapsed="false">
      <c r="B73" s="0" t="s">
        <v>158</v>
      </c>
      <c r="C73" s="0" t="n">
        <v>1997</v>
      </c>
      <c r="D73" s="0" t="s">
        <v>185</v>
      </c>
      <c r="E73" s="0" t="s">
        <v>160</v>
      </c>
      <c r="F73" s="0" t="s">
        <v>161</v>
      </c>
      <c r="G73" s="0" t="s">
        <v>161</v>
      </c>
      <c r="H73" s="0" t="n">
        <v>462</v>
      </c>
    </row>
    <row r="74" customFormat="false" ht="12.75" hidden="false" customHeight="false" outlineLevel="0" collapsed="false">
      <c r="B74" s="0" t="s">
        <v>158</v>
      </c>
      <c r="C74" s="0" t="n">
        <v>1997</v>
      </c>
      <c r="D74" s="0" t="s">
        <v>191</v>
      </c>
      <c r="E74" s="0" t="s">
        <v>160</v>
      </c>
      <c r="F74" s="0" t="s">
        <v>160</v>
      </c>
      <c r="G74" s="0" t="s">
        <v>161</v>
      </c>
      <c r="H74" s="0" t="n">
        <v>11</v>
      </c>
    </row>
    <row r="75" customFormat="false" ht="12.75" hidden="false" customHeight="false" outlineLevel="0" collapsed="false">
      <c r="B75" s="0" t="s">
        <v>158</v>
      </c>
      <c r="C75" s="0" t="n">
        <v>1997</v>
      </c>
      <c r="D75" s="0" t="s">
        <v>195</v>
      </c>
      <c r="E75" s="0" t="s">
        <v>160</v>
      </c>
      <c r="F75" s="0" t="s">
        <v>161</v>
      </c>
      <c r="G75" s="0" t="s">
        <v>161</v>
      </c>
      <c r="H75" s="0" t="n">
        <v>335</v>
      </c>
    </row>
    <row r="76" customFormat="false" ht="12.75" hidden="false" customHeight="false" outlineLevel="0" collapsed="false">
      <c r="B76" s="0" t="s">
        <v>158</v>
      </c>
      <c r="C76" s="0" t="n">
        <v>1997</v>
      </c>
      <c r="D76" s="0" t="s">
        <v>196</v>
      </c>
      <c r="E76" s="0" t="s">
        <v>160</v>
      </c>
      <c r="F76" s="0" t="s">
        <v>161</v>
      </c>
      <c r="G76" s="0" t="s">
        <v>161</v>
      </c>
      <c r="H76" s="0" t="n">
        <v>537</v>
      </c>
    </row>
    <row r="77" customFormat="false" ht="12.75" hidden="false" customHeight="false" outlineLevel="0" collapsed="false">
      <c r="B77" s="45" t="s">
        <v>158</v>
      </c>
      <c r="C77" s="0"/>
      <c r="D77" s="0"/>
      <c r="E77" s="0"/>
      <c r="F77" s="0"/>
      <c r="G77" s="0"/>
      <c r="H77" s="45" t="n">
        <f aca="false">SUM(H67:H76)</f>
        <v>4143</v>
      </c>
    </row>
    <row r="78" customFormat="false" ht="12.75" hidden="false" customHeight="false" outlineLevel="0" collapsed="false">
      <c r="B78" s="0"/>
      <c r="C78" s="0"/>
      <c r="D78" s="0"/>
      <c r="E78" s="0"/>
      <c r="F78" s="0"/>
      <c r="G78" s="0"/>
      <c r="H78" s="0"/>
    </row>
    <row r="79" customFormat="false" ht="12.75" hidden="false" customHeight="false" outlineLevel="0" collapsed="false">
      <c r="B79" s="0" t="s">
        <v>158</v>
      </c>
      <c r="C79" s="0" t="n">
        <v>1998</v>
      </c>
      <c r="D79" s="0" t="s">
        <v>159</v>
      </c>
      <c r="E79" s="0" t="s">
        <v>160</v>
      </c>
      <c r="F79" s="0" t="s">
        <v>161</v>
      </c>
      <c r="G79" s="0" t="s">
        <v>161</v>
      </c>
      <c r="H79" s="0" t="n">
        <v>60</v>
      </c>
    </row>
    <row r="80" customFormat="false" ht="12.75" hidden="false" customHeight="false" outlineLevel="0" collapsed="false">
      <c r="B80" s="0" t="s">
        <v>158</v>
      </c>
      <c r="C80" s="0" t="n">
        <v>1998</v>
      </c>
      <c r="D80" s="0" t="s">
        <v>169</v>
      </c>
      <c r="E80" s="0" t="s">
        <v>160</v>
      </c>
      <c r="F80" s="0" t="s">
        <v>161</v>
      </c>
      <c r="G80" s="0" t="s">
        <v>161</v>
      </c>
      <c r="H80" s="0" t="n">
        <v>725</v>
      </c>
    </row>
    <row r="81" customFormat="false" ht="12.75" hidden="false" customHeight="false" outlineLevel="0" collapsed="false">
      <c r="B81" s="0" t="s">
        <v>158</v>
      </c>
      <c r="C81" s="0" t="n">
        <v>1998</v>
      </c>
      <c r="D81" s="0" t="s">
        <v>171</v>
      </c>
      <c r="E81" s="0" t="s">
        <v>160</v>
      </c>
      <c r="F81" s="0" t="s">
        <v>161</v>
      </c>
      <c r="G81" s="0" t="s">
        <v>161</v>
      </c>
      <c r="H81" s="0" t="n">
        <v>244</v>
      </c>
    </row>
    <row r="82" customFormat="false" ht="12.75" hidden="false" customHeight="false" outlineLevel="0" collapsed="false">
      <c r="B82" s="0" t="s">
        <v>158</v>
      </c>
      <c r="C82" s="0" t="n">
        <v>1998</v>
      </c>
      <c r="D82" s="0" t="s">
        <v>173</v>
      </c>
      <c r="E82" s="0" t="s">
        <v>160</v>
      </c>
      <c r="F82" s="0" t="s">
        <v>161</v>
      </c>
      <c r="G82" s="0" t="s">
        <v>161</v>
      </c>
      <c r="H82" s="0" t="n">
        <v>154</v>
      </c>
    </row>
    <row r="83" customFormat="false" ht="12.75" hidden="false" customHeight="false" outlineLevel="0" collapsed="false">
      <c r="B83" s="0" t="s">
        <v>158</v>
      </c>
      <c r="C83" s="0" t="n">
        <v>1998</v>
      </c>
      <c r="D83" s="0" t="s">
        <v>174</v>
      </c>
      <c r="E83" s="0" t="s">
        <v>160</v>
      </c>
      <c r="F83" s="0" t="s">
        <v>161</v>
      </c>
      <c r="G83" s="0" t="s">
        <v>161</v>
      </c>
      <c r="H83" s="0" t="n">
        <v>1229</v>
      </c>
    </row>
    <row r="84" customFormat="false" ht="12.75" hidden="false" customHeight="false" outlineLevel="0" collapsed="false">
      <c r="B84" s="0" t="s">
        <v>158</v>
      </c>
      <c r="C84" s="0" t="n">
        <v>1998</v>
      </c>
      <c r="D84" s="0" t="s">
        <v>174</v>
      </c>
      <c r="E84" s="0" t="s">
        <v>161</v>
      </c>
      <c r="F84" s="0" t="s">
        <v>161</v>
      </c>
      <c r="G84" s="0" t="s">
        <v>161</v>
      </c>
      <c r="H84" s="0" t="n">
        <v>386</v>
      </c>
    </row>
    <row r="85" customFormat="false" ht="12.75" hidden="false" customHeight="false" outlineLevel="0" collapsed="false">
      <c r="B85" s="0" t="s">
        <v>158</v>
      </c>
      <c r="C85" s="0" t="n">
        <v>1998</v>
      </c>
      <c r="D85" s="0" t="s">
        <v>185</v>
      </c>
      <c r="E85" s="0" t="s">
        <v>160</v>
      </c>
      <c r="F85" s="0" t="s">
        <v>161</v>
      </c>
      <c r="G85" s="0" t="s">
        <v>161</v>
      </c>
      <c r="H85" s="0" t="n">
        <v>462</v>
      </c>
    </row>
    <row r="86" customFormat="false" ht="12.75" hidden="false" customHeight="false" outlineLevel="0" collapsed="false">
      <c r="B86" s="0" t="s">
        <v>158</v>
      </c>
      <c r="C86" s="0" t="n">
        <v>1998</v>
      </c>
      <c r="D86" s="0" t="s">
        <v>191</v>
      </c>
      <c r="E86" s="0" t="s">
        <v>160</v>
      </c>
      <c r="F86" s="0" t="s">
        <v>160</v>
      </c>
      <c r="G86" s="0" t="s">
        <v>161</v>
      </c>
      <c r="H86" s="0" t="n">
        <v>12</v>
      </c>
    </row>
    <row r="87" customFormat="false" ht="12.75" hidden="false" customHeight="false" outlineLevel="0" collapsed="false">
      <c r="B87" s="0" t="s">
        <v>158</v>
      </c>
      <c r="C87" s="0" t="n">
        <v>1998</v>
      </c>
      <c r="D87" s="0" t="s">
        <v>195</v>
      </c>
      <c r="E87" s="0" t="s">
        <v>160</v>
      </c>
      <c r="F87" s="0" t="s">
        <v>161</v>
      </c>
      <c r="G87" s="0" t="s">
        <v>161</v>
      </c>
      <c r="H87" s="0" t="n">
        <v>335</v>
      </c>
    </row>
    <row r="88" customFormat="false" ht="12.75" hidden="false" customHeight="false" outlineLevel="0" collapsed="false">
      <c r="B88" s="0" t="s">
        <v>158</v>
      </c>
      <c r="C88" s="0" t="n">
        <v>1998</v>
      </c>
      <c r="D88" s="0" t="s">
        <v>196</v>
      </c>
      <c r="E88" s="0" t="s">
        <v>160</v>
      </c>
      <c r="F88" s="0" t="s">
        <v>161</v>
      </c>
      <c r="G88" s="0" t="s">
        <v>161</v>
      </c>
      <c r="H88" s="0" t="n">
        <v>464</v>
      </c>
    </row>
    <row r="89" customFormat="false" ht="12.75" hidden="false" customHeight="false" outlineLevel="0" collapsed="false">
      <c r="B89" s="45" t="s">
        <v>158</v>
      </c>
      <c r="C89" s="0"/>
      <c r="D89" s="0"/>
      <c r="E89" s="0"/>
      <c r="F89" s="0"/>
      <c r="G89" s="0"/>
      <c r="H89" s="45" t="n">
        <f aca="false">SUM(H79:H88)</f>
        <v>4071</v>
      </c>
    </row>
    <row r="90" customFormat="false" ht="12.75" hidden="false" customHeight="false" outlineLevel="0" collapsed="false">
      <c r="B90" s="0"/>
      <c r="C90" s="0"/>
      <c r="D90" s="0"/>
      <c r="E90" s="0"/>
      <c r="F90" s="0"/>
      <c r="G90" s="0"/>
      <c r="H90" s="0"/>
    </row>
    <row r="91" customFormat="false" ht="12.75" hidden="false" customHeight="false" outlineLevel="0" collapsed="false">
      <c r="B91" s="0" t="s">
        <v>201</v>
      </c>
      <c r="C91" s="0" t="n">
        <v>1998</v>
      </c>
      <c r="D91" s="0" t="s">
        <v>202</v>
      </c>
      <c r="E91" s="0" t="s">
        <v>160</v>
      </c>
      <c r="F91" s="0" t="s">
        <v>161</v>
      </c>
      <c r="G91" s="0" t="s">
        <v>161</v>
      </c>
      <c r="H91" s="0" t="n">
        <v>214</v>
      </c>
    </row>
    <row r="92" customFormat="false" ht="12.75" hidden="false" customHeight="false" outlineLevel="0" collapsed="false">
      <c r="B92" s="0" t="s">
        <v>201</v>
      </c>
      <c r="C92" s="0" t="n">
        <v>1998</v>
      </c>
      <c r="D92" s="0" t="s">
        <v>203</v>
      </c>
      <c r="E92" s="0" t="s">
        <v>160</v>
      </c>
      <c r="F92" s="0" t="s">
        <v>161</v>
      </c>
      <c r="G92" s="0" t="s">
        <v>161</v>
      </c>
      <c r="H92" s="0" t="n">
        <v>3212</v>
      </c>
    </row>
    <row r="93" customFormat="false" ht="12.75" hidden="false" customHeight="false" outlineLevel="0" collapsed="false">
      <c r="B93" s="0" t="s">
        <v>201</v>
      </c>
      <c r="C93" s="0" t="n">
        <v>1998</v>
      </c>
      <c r="D93" s="0" t="s">
        <v>174</v>
      </c>
      <c r="E93" s="0" t="s">
        <v>160</v>
      </c>
      <c r="F93" s="0" t="s">
        <v>161</v>
      </c>
      <c r="G93" s="0" t="s">
        <v>161</v>
      </c>
      <c r="H93" s="0" t="n">
        <v>701</v>
      </c>
    </row>
    <row r="94" customFormat="false" ht="12.75" hidden="false" customHeight="false" outlineLevel="0" collapsed="false">
      <c r="B94" s="0" t="s">
        <v>201</v>
      </c>
      <c r="C94" s="0" t="n">
        <v>1998</v>
      </c>
      <c r="D94" s="0" t="s">
        <v>185</v>
      </c>
      <c r="E94" s="0" t="s">
        <v>160</v>
      </c>
      <c r="F94" s="0" t="s">
        <v>161</v>
      </c>
      <c r="G94" s="0" t="s">
        <v>161</v>
      </c>
      <c r="H94" s="0" t="n">
        <v>221</v>
      </c>
    </row>
    <row r="95" customFormat="false" ht="12.75" hidden="false" customHeight="false" outlineLevel="0" collapsed="false">
      <c r="B95" s="0" t="s">
        <v>201</v>
      </c>
      <c r="C95" s="0" t="n">
        <v>1998</v>
      </c>
      <c r="D95" s="0" t="s">
        <v>196</v>
      </c>
      <c r="E95" s="0" t="s">
        <v>160</v>
      </c>
      <c r="F95" s="0" t="s">
        <v>161</v>
      </c>
      <c r="G95" s="0" t="s">
        <v>161</v>
      </c>
      <c r="H95" s="0" t="n">
        <v>419</v>
      </c>
      <c r="I95" s="0" t="s">
        <v>204</v>
      </c>
    </row>
    <row r="96" customFormat="false" ht="12.75" hidden="false" customHeight="false" outlineLevel="0" collapsed="false">
      <c r="B96" s="45" t="s">
        <v>201</v>
      </c>
      <c r="C96" s="0"/>
      <c r="D96" s="0"/>
      <c r="E96" s="0"/>
      <c r="F96" s="0"/>
      <c r="G96" s="0"/>
      <c r="H96" s="45" t="n">
        <f aca="false">SUM(H91:H95)</f>
        <v>4767</v>
      </c>
      <c r="I96" s="0" t="n">
        <v>4871</v>
      </c>
    </row>
    <row r="97" customFormat="false" ht="12.75" hidden="false" customHeight="false" outlineLevel="0" collapsed="false">
      <c r="B97" s="0"/>
      <c r="C97" s="0"/>
      <c r="D97" s="0"/>
      <c r="E97" s="0"/>
      <c r="F97" s="0"/>
      <c r="G97" s="0"/>
      <c r="H97" s="0"/>
    </row>
    <row r="98" customFormat="false" ht="12.75" hidden="false" customHeight="false" outlineLevel="0" collapsed="false">
      <c r="B98" s="0" t="s">
        <v>205</v>
      </c>
      <c r="C98" s="0" t="n">
        <v>1997</v>
      </c>
      <c r="D98" s="0" t="s">
        <v>167</v>
      </c>
      <c r="E98" s="0" t="s">
        <v>160</v>
      </c>
      <c r="F98" s="0" t="s">
        <v>160</v>
      </c>
      <c r="G98" s="0" t="s">
        <v>160</v>
      </c>
      <c r="H98" s="0" t="n">
        <v>197</v>
      </c>
    </row>
    <row r="99" customFormat="false" ht="12.75" hidden="false" customHeight="false" outlineLevel="0" collapsed="false">
      <c r="B99" s="0" t="s">
        <v>205</v>
      </c>
      <c r="C99" s="0" t="n">
        <v>1997</v>
      </c>
      <c r="D99" s="0" t="s">
        <v>182</v>
      </c>
      <c r="E99" s="0" t="s">
        <v>160</v>
      </c>
      <c r="F99" s="0" t="s">
        <v>160</v>
      </c>
      <c r="G99" s="0" t="s">
        <v>160</v>
      </c>
      <c r="H99" s="0" t="n">
        <v>130</v>
      </c>
    </row>
    <row r="100" customFormat="false" ht="12.75" hidden="false" customHeight="false" outlineLevel="0" collapsed="false">
      <c r="B100" s="0" t="s">
        <v>205</v>
      </c>
      <c r="C100" s="0" t="n">
        <v>1997</v>
      </c>
      <c r="D100" s="0" t="s">
        <v>206</v>
      </c>
      <c r="E100" s="0" t="s">
        <v>160</v>
      </c>
      <c r="F100" s="0" t="s">
        <v>160</v>
      </c>
      <c r="G100" s="0" t="s">
        <v>160</v>
      </c>
      <c r="H100" s="0" t="n">
        <v>181</v>
      </c>
    </row>
    <row r="101" customFormat="false" ht="12.75" hidden="false" customHeight="false" outlineLevel="0" collapsed="false">
      <c r="B101" s="0" t="s">
        <v>205</v>
      </c>
      <c r="C101" s="0" t="n">
        <v>1997</v>
      </c>
      <c r="D101" s="0" t="s">
        <v>207</v>
      </c>
      <c r="E101" s="0" t="s">
        <v>160</v>
      </c>
      <c r="F101" s="0" t="s">
        <v>160</v>
      </c>
      <c r="G101" s="0" t="s">
        <v>160</v>
      </c>
      <c r="H101" s="0" t="n">
        <v>281</v>
      </c>
    </row>
    <row r="102" customFormat="false" ht="12.75" hidden="false" customHeight="false" outlineLevel="0" collapsed="false">
      <c r="B102" s="0" t="s">
        <v>205</v>
      </c>
      <c r="C102" s="0" t="n">
        <v>1997</v>
      </c>
      <c r="D102" s="0" t="s">
        <v>194</v>
      </c>
      <c r="E102" s="0" t="s">
        <v>160</v>
      </c>
      <c r="F102" s="0" t="s">
        <v>160</v>
      </c>
      <c r="G102" s="0" t="s">
        <v>160</v>
      </c>
      <c r="H102" s="0" t="n">
        <v>182</v>
      </c>
      <c r="I102" s="0" t="s">
        <v>204</v>
      </c>
    </row>
    <row r="103" customFormat="false" ht="12.75" hidden="false" customHeight="false" outlineLevel="0" collapsed="false">
      <c r="B103" s="45" t="s">
        <v>205</v>
      </c>
      <c r="C103" s="0"/>
      <c r="D103" s="0"/>
      <c r="E103" s="0"/>
      <c r="F103" s="0"/>
      <c r="G103" s="0"/>
      <c r="H103" s="45" t="n">
        <f aca="false">SUM(H98:H102)</f>
        <v>971</v>
      </c>
      <c r="I103" s="0" t="n">
        <v>969</v>
      </c>
    </row>
    <row r="104" customFormat="false" ht="12.75" hidden="false" customHeight="false" outlineLevel="0" collapsed="false">
      <c r="B104" s="0"/>
      <c r="C104" s="0"/>
      <c r="D104" s="0"/>
      <c r="E104" s="0"/>
      <c r="F104" s="0"/>
      <c r="G104" s="0"/>
      <c r="H104" s="0"/>
    </row>
    <row r="105" customFormat="false" ht="12.75" hidden="false" customHeight="false" outlineLevel="0" collapsed="false">
      <c r="B105" s="0" t="s">
        <v>205</v>
      </c>
      <c r="C105" s="0" t="n">
        <v>1998</v>
      </c>
      <c r="D105" s="0" t="s">
        <v>167</v>
      </c>
      <c r="E105" s="0" t="s">
        <v>160</v>
      </c>
      <c r="F105" s="0" t="s">
        <v>160</v>
      </c>
      <c r="G105" s="0" t="s">
        <v>160</v>
      </c>
      <c r="H105" s="0" t="n">
        <v>439</v>
      </c>
    </row>
    <row r="106" customFormat="false" ht="12.75" hidden="false" customHeight="false" outlineLevel="0" collapsed="false">
      <c r="B106" s="0" t="s">
        <v>205</v>
      </c>
      <c r="C106" s="0" t="n">
        <v>1998</v>
      </c>
      <c r="D106" s="0" t="s">
        <v>169</v>
      </c>
      <c r="E106" s="0" t="s">
        <v>160</v>
      </c>
      <c r="F106" s="0" t="s">
        <v>160</v>
      </c>
      <c r="G106" s="0" t="s">
        <v>160</v>
      </c>
      <c r="H106" s="0" t="n">
        <v>151</v>
      </c>
    </row>
    <row r="107" customFormat="false" ht="12.75" hidden="false" customHeight="false" outlineLevel="0" collapsed="false">
      <c r="B107" s="0" t="s">
        <v>205</v>
      </c>
      <c r="C107" s="0" t="n">
        <v>1998</v>
      </c>
      <c r="D107" s="0" t="s">
        <v>182</v>
      </c>
      <c r="E107" s="0" t="s">
        <v>160</v>
      </c>
      <c r="F107" s="0" t="s">
        <v>160</v>
      </c>
      <c r="G107" s="0" t="s">
        <v>160</v>
      </c>
      <c r="H107" s="0" t="n">
        <v>130</v>
      </c>
    </row>
    <row r="108" customFormat="false" ht="12.75" hidden="false" customHeight="false" outlineLevel="0" collapsed="false">
      <c r="B108" s="0" t="s">
        <v>205</v>
      </c>
      <c r="C108" s="0" t="n">
        <v>1998</v>
      </c>
      <c r="D108" s="0" t="s">
        <v>206</v>
      </c>
      <c r="E108" s="0" t="s">
        <v>160</v>
      </c>
      <c r="F108" s="0" t="s">
        <v>160</v>
      </c>
      <c r="G108" s="0" t="s">
        <v>160</v>
      </c>
      <c r="H108" s="0" t="n">
        <v>181</v>
      </c>
    </row>
    <row r="109" customFormat="false" ht="12.75" hidden="false" customHeight="false" outlineLevel="0" collapsed="false">
      <c r="B109" s="0" t="s">
        <v>205</v>
      </c>
      <c r="C109" s="0" t="n">
        <v>1998</v>
      </c>
      <c r="D109" s="0" t="s">
        <v>207</v>
      </c>
      <c r="E109" s="0" t="s">
        <v>160</v>
      </c>
      <c r="F109" s="0" t="s">
        <v>160</v>
      </c>
      <c r="G109" s="0" t="s">
        <v>160</v>
      </c>
      <c r="H109" s="0" t="n">
        <v>281</v>
      </c>
    </row>
    <row r="110" customFormat="false" ht="12.75" hidden="false" customHeight="false" outlineLevel="0" collapsed="false">
      <c r="B110" s="0" t="s">
        <v>205</v>
      </c>
      <c r="C110" s="0" t="n">
        <v>1998</v>
      </c>
      <c r="D110" s="0" t="s">
        <v>194</v>
      </c>
      <c r="E110" s="0" t="s">
        <v>160</v>
      </c>
      <c r="F110" s="0" t="s">
        <v>160</v>
      </c>
      <c r="G110" s="0" t="s">
        <v>160</v>
      </c>
      <c r="H110" s="0" t="n">
        <v>182</v>
      </c>
    </row>
    <row r="111" customFormat="false" ht="12.75" hidden="false" customHeight="false" outlineLevel="0" collapsed="false">
      <c r="B111" s="45" t="s">
        <v>205</v>
      </c>
      <c r="C111" s="0"/>
      <c r="D111" s="0"/>
      <c r="E111" s="0"/>
      <c r="F111" s="0"/>
      <c r="G111" s="0"/>
      <c r="H111" s="45" t="n">
        <f aca="false">SUM(H105:H110)</f>
        <v>1364</v>
      </c>
    </row>
    <row r="112" customFormat="false" ht="12.75" hidden="false" customHeight="false" outlineLevel="0" collapsed="false">
      <c r="B112" s="0"/>
      <c r="C112" s="0"/>
      <c r="D112" s="0"/>
      <c r="E112" s="0"/>
      <c r="F112" s="0"/>
      <c r="G112" s="0"/>
      <c r="H112" s="0"/>
    </row>
    <row r="113" customFormat="false" ht="12.75" hidden="false" customHeight="false" outlineLevel="0" collapsed="false">
      <c r="B113" s="0" t="s">
        <v>166</v>
      </c>
      <c r="C113" s="0" t="n">
        <v>1997</v>
      </c>
      <c r="D113" s="0" t="s">
        <v>167</v>
      </c>
      <c r="E113" s="0" t="s">
        <v>160</v>
      </c>
      <c r="F113" s="0" t="s">
        <v>161</v>
      </c>
      <c r="G113" s="0" t="s">
        <v>161</v>
      </c>
      <c r="H113" s="0" t="n">
        <v>4333</v>
      </c>
    </row>
    <row r="114" customFormat="false" ht="12.75" hidden="false" customHeight="false" outlineLevel="0" collapsed="false">
      <c r="B114" s="0" t="s">
        <v>166</v>
      </c>
      <c r="C114" s="0" t="n">
        <v>1997</v>
      </c>
      <c r="D114" s="0" t="s">
        <v>169</v>
      </c>
      <c r="E114" s="0" t="s">
        <v>160</v>
      </c>
      <c r="F114" s="0" t="s">
        <v>161</v>
      </c>
      <c r="G114" s="0" t="s">
        <v>161</v>
      </c>
      <c r="H114" s="0" t="n">
        <v>23</v>
      </c>
    </row>
    <row r="115" customFormat="false" ht="12.75" hidden="false" customHeight="false" outlineLevel="0" collapsed="false">
      <c r="B115" s="0" t="s">
        <v>166</v>
      </c>
      <c r="C115" s="0" t="n">
        <v>1997</v>
      </c>
      <c r="D115" s="0" t="s">
        <v>172</v>
      </c>
      <c r="E115" s="0" t="s">
        <v>160</v>
      </c>
      <c r="F115" s="0" t="s">
        <v>161</v>
      </c>
      <c r="G115" s="0" t="s">
        <v>161</v>
      </c>
      <c r="H115" s="0" t="n">
        <v>2244</v>
      </c>
    </row>
    <row r="116" customFormat="false" ht="12.75" hidden="false" customHeight="false" outlineLevel="0" collapsed="false">
      <c r="B116" s="0" t="s">
        <v>166</v>
      </c>
      <c r="C116" s="0" t="n">
        <v>1997</v>
      </c>
      <c r="D116" s="0" t="s">
        <v>174</v>
      </c>
      <c r="E116" s="0" t="s">
        <v>161</v>
      </c>
      <c r="F116" s="0" t="s">
        <v>160</v>
      </c>
      <c r="G116" s="0" t="s">
        <v>161</v>
      </c>
      <c r="H116" s="0" t="n">
        <v>56</v>
      </c>
    </row>
    <row r="117" customFormat="false" ht="12.75" hidden="false" customHeight="false" outlineLevel="0" collapsed="false">
      <c r="B117" s="0" t="s">
        <v>166</v>
      </c>
      <c r="C117" s="0" t="n">
        <v>1997</v>
      </c>
      <c r="D117" s="0" t="s">
        <v>174</v>
      </c>
      <c r="E117" s="0" t="s">
        <v>161</v>
      </c>
      <c r="F117" s="0" t="s">
        <v>161</v>
      </c>
      <c r="G117" s="0" t="s">
        <v>161</v>
      </c>
      <c r="H117" s="0" t="n">
        <v>32</v>
      </c>
    </row>
    <row r="118" customFormat="false" ht="12.75" hidden="false" customHeight="false" outlineLevel="0" collapsed="false">
      <c r="B118" s="0" t="s">
        <v>166</v>
      </c>
      <c r="C118" s="0" t="n">
        <v>1997</v>
      </c>
      <c r="D118" s="0" t="s">
        <v>181</v>
      </c>
      <c r="E118" s="0" t="s">
        <v>160</v>
      </c>
      <c r="F118" s="0" t="s">
        <v>161</v>
      </c>
      <c r="G118" s="0" t="s">
        <v>161</v>
      </c>
      <c r="H118" s="0" t="n">
        <v>274</v>
      </c>
    </row>
    <row r="119" customFormat="false" ht="12.75" hidden="false" customHeight="false" outlineLevel="0" collapsed="false">
      <c r="B119" s="0" t="s">
        <v>166</v>
      </c>
      <c r="C119" s="0" t="n">
        <v>1997</v>
      </c>
      <c r="D119" s="0" t="s">
        <v>182</v>
      </c>
      <c r="E119" s="0" t="s">
        <v>160</v>
      </c>
      <c r="F119" s="0" t="s">
        <v>161</v>
      </c>
      <c r="G119" s="0" t="s">
        <v>161</v>
      </c>
      <c r="H119" s="0" t="n">
        <v>3121</v>
      </c>
    </row>
    <row r="120" customFormat="false" ht="12.75" hidden="false" customHeight="false" outlineLevel="0" collapsed="false">
      <c r="B120" s="0" t="s">
        <v>166</v>
      </c>
      <c r="C120" s="0" t="n">
        <v>1997</v>
      </c>
      <c r="D120" s="0" t="s">
        <v>187</v>
      </c>
      <c r="E120" s="0" t="s">
        <v>160</v>
      </c>
      <c r="F120" s="0" t="s">
        <v>161</v>
      </c>
      <c r="G120" s="0" t="s">
        <v>161</v>
      </c>
      <c r="H120" s="0" t="n">
        <v>1677</v>
      </c>
    </row>
    <row r="121" customFormat="false" ht="12.75" hidden="false" customHeight="false" outlineLevel="0" collapsed="false">
      <c r="B121" s="0" t="s">
        <v>166</v>
      </c>
      <c r="C121" s="0" t="n">
        <v>1997</v>
      </c>
      <c r="D121" s="0" t="s">
        <v>189</v>
      </c>
      <c r="E121" s="0" t="s">
        <v>160</v>
      </c>
      <c r="F121" s="0" t="s">
        <v>161</v>
      </c>
      <c r="G121" s="0" t="s">
        <v>161</v>
      </c>
      <c r="H121" s="0" t="n">
        <v>90</v>
      </c>
    </row>
    <row r="122" customFormat="false" ht="12.75" hidden="false" customHeight="false" outlineLevel="0" collapsed="false">
      <c r="B122" s="0" t="s">
        <v>166</v>
      </c>
      <c r="C122" s="0" t="n">
        <v>1997</v>
      </c>
      <c r="D122" s="0" t="s">
        <v>192</v>
      </c>
      <c r="E122" s="0" t="s">
        <v>160</v>
      </c>
      <c r="F122" s="0" t="s">
        <v>161</v>
      </c>
      <c r="G122" s="0" t="s">
        <v>161</v>
      </c>
      <c r="H122" s="0" t="n">
        <v>679</v>
      </c>
    </row>
    <row r="123" customFormat="false" ht="12.75" hidden="false" customHeight="false" outlineLevel="0" collapsed="false">
      <c r="B123" s="0" t="s">
        <v>166</v>
      </c>
      <c r="C123" s="0" t="n">
        <v>1997</v>
      </c>
      <c r="D123" s="0" t="s">
        <v>194</v>
      </c>
      <c r="E123" s="0" t="s">
        <v>160</v>
      </c>
      <c r="F123" s="0" t="s">
        <v>161</v>
      </c>
      <c r="G123" s="0" t="s">
        <v>161</v>
      </c>
      <c r="H123" s="0" t="n">
        <v>831</v>
      </c>
    </row>
    <row r="124" customFormat="false" ht="12.75" hidden="false" customHeight="false" outlineLevel="0" collapsed="false">
      <c r="B124" s="0" t="s">
        <v>166</v>
      </c>
      <c r="C124" s="0" t="n">
        <v>1997</v>
      </c>
      <c r="D124" s="0" t="s">
        <v>196</v>
      </c>
      <c r="E124" s="0" t="s">
        <v>160</v>
      </c>
      <c r="F124" s="0" t="s">
        <v>161</v>
      </c>
      <c r="G124" s="0" t="s">
        <v>161</v>
      </c>
      <c r="H124" s="0" t="n">
        <v>1547</v>
      </c>
    </row>
    <row r="125" customFormat="false" ht="12.75" hidden="false" customHeight="false" outlineLevel="0" collapsed="false">
      <c r="B125" s="0" t="s">
        <v>166</v>
      </c>
      <c r="C125" s="0" t="n">
        <v>1997</v>
      </c>
      <c r="D125" s="0" t="s">
        <v>196</v>
      </c>
      <c r="E125" s="0" t="s">
        <v>161</v>
      </c>
      <c r="F125" s="0" t="s">
        <v>160</v>
      </c>
      <c r="G125" s="0" t="s">
        <v>161</v>
      </c>
      <c r="H125" s="0" t="n">
        <v>119</v>
      </c>
    </row>
    <row r="126" customFormat="false" ht="12.75" hidden="false" customHeight="false" outlineLevel="0" collapsed="false">
      <c r="B126" s="0" t="s">
        <v>166</v>
      </c>
      <c r="C126" s="0" t="n">
        <v>1997</v>
      </c>
      <c r="D126" s="0" t="s">
        <v>196</v>
      </c>
      <c r="E126" s="0" t="s">
        <v>161</v>
      </c>
      <c r="F126" s="0" t="s">
        <v>161</v>
      </c>
      <c r="G126" s="0" t="s">
        <v>161</v>
      </c>
      <c r="H126" s="0" t="n">
        <v>64</v>
      </c>
    </row>
    <row r="127" customFormat="false" ht="12.75" hidden="false" customHeight="false" outlineLevel="0" collapsed="false">
      <c r="B127" s="0" t="s">
        <v>166</v>
      </c>
      <c r="C127" s="0" t="n">
        <v>1997</v>
      </c>
      <c r="D127" s="0" t="s">
        <v>198</v>
      </c>
      <c r="E127" s="0" t="s">
        <v>160</v>
      </c>
      <c r="F127" s="0" t="s">
        <v>161</v>
      </c>
      <c r="G127" s="0" t="s">
        <v>161</v>
      </c>
      <c r="H127" s="0" t="n">
        <v>1337</v>
      </c>
      <c r="I127" s="0" t="s">
        <v>204</v>
      </c>
    </row>
    <row r="128" customFormat="false" ht="12.75" hidden="false" customHeight="false" outlineLevel="0" collapsed="false">
      <c r="B128" s="45" t="s">
        <v>166</v>
      </c>
      <c r="C128" s="0"/>
      <c r="D128" s="0"/>
      <c r="E128" s="0"/>
      <c r="F128" s="0"/>
      <c r="G128" s="0"/>
      <c r="H128" s="45" t="n">
        <f aca="false">SUM(H113:H127)</f>
        <v>16427</v>
      </c>
      <c r="I128" s="0" t="n">
        <v>16802</v>
      </c>
    </row>
    <row r="129" customFormat="false" ht="12.75" hidden="false" customHeight="false" outlineLevel="0" collapsed="false">
      <c r="B129" s="0"/>
      <c r="C129" s="0"/>
      <c r="D129" s="0"/>
      <c r="E129" s="0"/>
      <c r="F129" s="0"/>
      <c r="G129" s="0"/>
      <c r="H129" s="0"/>
    </row>
    <row r="130" customFormat="false" ht="12.75" hidden="false" customHeight="false" outlineLevel="0" collapsed="false">
      <c r="B130" s="0" t="s">
        <v>162</v>
      </c>
      <c r="C130" s="0" t="n">
        <v>1997</v>
      </c>
      <c r="D130" s="0" t="s">
        <v>163</v>
      </c>
      <c r="E130" s="0" t="s">
        <v>160</v>
      </c>
      <c r="F130" s="0" t="s">
        <v>161</v>
      </c>
      <c r="G130" s="0" t="s">
        <v>161</v>
      </c>
      <c r="H130" s="0" t="n">
        <v>694</v>
      </c>
    </row>
    <row r="131" customFormat="false" ht="12.75" hidden="false" customHeight="false" outlineLevel="0" collapsed="false">
      <c r="B131" s="0" t="s">
        <v>162</v>
      </c>
      <c r="C131" s="0" t="n">
        <v>1997</v>
      </c>
      <c r="D131" s="0" t="s">
        <v>164</v>
      </c>
      <c r="E131" s="0" t="s">
        <v>160</v>
      </c>
      <c r="F131" s="0" t="s">
        <v>161</v>
      </c>
      <c r="G131" s="0" t="s">
        <v>161</v>
      </c>
      <c r="H131" s="0" t="n">
        <v>1</v>
      </c>
    </row>
    <row r="132" customFormat="false" ht="12.75" hidden="false" customHeight="false" outlineLevel="0" collapsed="false">
      <c r="B132" s="0" t="s">
        <v>162</v>
      </c>
      <c r="C132" s="0" t="n">
        <v>1997</v>
      </c>
      <c r="D132" s="0" t="s">
        <v>165</v>
      </c>
      <c r="E132" s="0" t="s">
        <v>160</v>
      </c>
      <c r="F132" s="0" t="s">
        <v>160</v>
      </c>
      <c r="G132" s="0" t="s">
        <v>161</v>
      </c>
      <c r="H132" s="0" t="n">
        <v>11</v>
      </c>
    </row>
    <row r="133" customFormat="false" ht="12.75" hidden="false" customHeight="false" outlineLevel="0" collapsed="false">
      <c r="B133" s="0" t="s">
        <v>162</v>
      </c>
      <c r="C133" s="0" t="n">
        <v>1997</v>
      </c>
      <c r="D133" s="0" t="s">
        <v>189</v>
      </c>
      <c r="E133" s="0" t="s">
        <v>160</v>
      </c>
      <c r="F133" s="0" t="s">
        <v>160</v>
      </c>
      <c r="G133" s="0" t="s">
        <v>160</v>
      </c>
      <c r="H133" s="0" t="n">
        <v>23</v>
      </c>
    </row>
    <row r="134" customFormat="false" ht="12.75" hidden="false" customHeight="false" outlineLevel="0" collapsed="false">
      <c r="B134" s="0" t="s">
        <v>162</v>
      </c>
      <c r="C134" s="0" t="n">
        <v>1997</v>
      </c>
      <c r="D134" s="0" t="s">
        <v>189</v>
      </c>
      <c r="E134" s="0" t="s">
        <v>160</v>
      </c>
      <c r="F134" s="0" t="s">
        <v>161</v>
      </c>
      <c r="G134" s="0" t="s">
        <v>161</v>
      </c>
      <c r="H134" s="0" t="n">
        <v>1184</v>
      </c>
    </row>
    <row r="135" customFormat="false" ht="12.75" hidden="false" customHeight="false" outlineLevel="0" collapsed="false">
      <c r="B135" s="0" t="s">
        <v>162</v>
      </c>
      <c r="C135" s="0" t="n">
        <v>1997</v>
      </c>
      <c r="D135" s="0" t="s">
        <v>192</v>
      </c>
      <c r="E135" s="0" t="s">
        <v>160</v>
      </c>
      <c r="F135" s="0" t="s">
        <v>161</v>
      </c>
      <c r="G135" s="0" t="s">
        <v>161</v>
      </c>
      <c r="H135" s="0" t="n">
        <v>65</v>
      </c>
    </row>
    <row r="136" customFormat="false" ht="12.75" hidden="false" customHeight="false" outlineLevel="0" collapsed="false">
      <c r="B136" s="0" t="s">
        <v>162</v>
      </c>
      <c r="C136" s="0" t="n">
        <v>1997</v>
      </c>
      <c r="D136" s="0" t="s">
        <v>196</v>
      </c>
      <c r="E136" s="0" t="s">
        <v>160</v>
      </c>
      <c r="F136" s="0" t="s">
        <v>161</v>
      </c>
      <c r="G136" s="0" t="s">
        <v>161</v>
      </c>
      <c r="H136" s="0" t="n">
        <v>511</v>
      </c>
    </row>
    <row r="137" customFormat="false" ht="12.75" hidden="false" customHeight="false" outlineLevel="0" collapsed="false">
      <c r="B137" s="45" t="s">
        <v>162</v>
      </c>
      <c r="C137" s="0"/>
      <c r="D137" s="0"/>
      <c r="E137" s="0"/>
      <c r="F137" s="0"/>
      <c r="G137" s="0"/>
      <c r="H137" s="45" t="n">
        <f aca="false">SUM(H130:H136)</f>
        <v>2489</v>
      </c>
    </row>
    <row r="138" customFormat="false" ht="12.75" hidden="false" customHeight="false" outlineLevel="0" collapsed="false">
      <c r="B138" s="45"/>
      <c r="C138" s="0"/>
      <c r="D138" s="0"/>
      <c r="E138" s="0"/>
      <c r="F138" s="0"/>
      <c r="G138" s="0"/>
      <c r="H138" s="45"/>
    </row>
    <row r="139" customFormat="false" ht="12.75" hidden="false" customHeight="false" outlineLevel="0" collapsed="false">
      <c r="B139" s="0" t="s">
        <v>162</v>
      </c>
      <c r="C139" s="0" t="n">
        <v>1998</v>
      </c>
      <c r="D139" s="0" t="s">
        <v>163</v>
      </c>
      <c r="E139" s="0" t="s">
        <v>160</v>
      </c>
      <c r="F139" s="0" t="s">
        <v>161</v>
      </c>
      <c r="G139" s="0" t="s">
        <v>161</v>
      </c>
      <c r="H139" s="0" t="n">
        <v>694</v>
      </c>
    </row>
    <row r="140" customFormat="false" ht="12.75" hidden="false" customHeight="false" outlineLevel="0" collapsed="false">
      <c r="B140" s="0" t="s">
        <v>162</v>
      </c>
      <c r="C140" s="0" t="n">
        <v>1998</v>
      </c>
      <c r="D140" s="0" t="s">
        <v>164</v>
      </c>
      <c r="E140" s="0" t="s">
        <v>160</v>
      </c>
      <c r="F140" s="0" t="s">
        <v>161</v>
      </c>
      <c r="G140" s="0" t="s">
        <v>161</v>
      </c>
      <c r="H140" s="0" t="n">
        <v>1</v>
      </c>
    </row>
    <row r="141" customFormat="false" ht="12.75" hidden="false" customHeight="false" outlineLevel="0" collapsed="false">
      <c r="B141" s="0" t="s">
        <v>162</v>
      </c>
      <c r="C141" s="0" t="n">
        <v>1998</v>
      </c>
      <c r="D141" s="0" t="s">
        <v>165</v>
      </c>
      <c r="E141" s="0" t="s">
        <v>160</v>
      </c>
      <c r="F141" s="0" t="s">
        <v>160</v>
      </c>
      <c r="G141" s="0" t="s">
        <v>161</v>
      </c>
      <c r="H141" s="0" t="n">
        <v>11</v>
      </c>
    </row>
    <row r="142" customFormat="false" ht="12.75" hidden="false" customHeight="false" outlineLevel="0" collapsed="false">
      <c r="B142" s="0" t="s">
        <v>162</v>
      </c>
      <c r="C142" s="0" t="n">
        <v>1998</v>
      </c>
      <c r="D142" s="0" t="s">
        <v>189</v>
      </c>
      <c r="E142" s="0" t="s">
        <v>160</v>
      </c>
      <c r="F142" s="0" t="s">
        <v>160</v>
      </c>
      <c r="G142" s="0" t="s">
        <v>160</v>
      </c>
      <c r="H142" s="0" t="n">
        <v>23</v>
      </c>
    </row>
    <row r="143" customFormat="false" ht="12.75" hidden="false" customHeight="false" outlineLevel="0" collapsed="false">
      <c r="B143" s="0" t="s">
        <v>162</v>
      </c>
      <c r="C143" s="0" t="n">
        <v>1998</v>
      </c>
      <c r="D143" s="0" t="s">
        <v>189</v>
      </c>
      <c r="E143" s="0" t="s">
        <v>160</v>
      </c>
      <c r="F143" s="0" t="s">
        <v>161</v>
      </c>
      <c r="G143" s="0" t="s">
        <v>161</v>
      </c>
      <c r="H143" s="0" t="n">
        <v>1209</v>
      </c>
    </row>
    <row r="144" customFormat="false" ht="12.75" hidden="false" customHeight="false" outlineLevel="0" collapsed="false">
      <c r="B144" s="0" t="s">
        <v>162</v>
      </c>
      <c r="C144" s="0" t="n">
        <v>1998</v>
      </c>
      <c r="D144" s="0" t="s">
        <v>192</v>
      </c>
      <c r="E144" s="0" t="s">
        <v>160</v>
      </c>
      <c r="F144" s="0" t="s">
        <v>161</v>
      </c>
      <c r="G144" s="0" t="s">
        <v>161</v>
      </c>
      <c r="H144" s="0" t="n">
        <v>65</v>
      </c>
    </row>
    <row r="145" customFormat="false" ht="12.75" hidden="false" customHeight="false" outlineLevel="0" collapsed="false">
      <c r="B145" s="0" t="s">
        <v>162</v>
      </c>
      <c r="C145" s="0" t="n">
        <v>1998</v>
      </c>
      <c r="D145" s="0" t="s">
        <v>196</v>
      </c>
      <c r="E145" s="0" t="s">
        <v>160</v>
      </c>
      <c r="F145" s="0" t="s">
        <v>161</v>
      </c>
      <c r="G145" s="0" t="s">
        <v>161</v>
      </c>
      <c r="H145" s="0" t="n">
        <v>511</v>
      </c>
      <c r="I145" s="0" t="s">
        <v>204</v>
      </c>
    </row>
    <row r="146" customFormat="false" ht="12.75" hidden="false" customHeight="false" outlineLevel="0" collapsed="false">
      <c r="B146" s="45" t="s">
        <v>162</v>
      </c>
      <c r="C146" s="0"/>
      <c r="D146" s="0"/>
      <c r="E146" s="0"/>
      <c r="F146" s="0"/>
      <c r="G146" s="0"/>
      <c r="H146" s="45" t="n">
        <f aca="false">SUM(H139:H145)</f>
        <v>2514</v>
      </c>
      <c r="I146" s="0" t="n">
        <v>2512</v>
      </c>
    </row>
    <row r="147" customFormat="false" ht="12.75" hidden="false" customHeight="false" outlineLevel="0" collapsed="false">
      <c r="B147" s="0"/>
      <c r="C147" s="0"/>
      <c r="D147" s="0"/>
      <c r="E147" s="0"/>
      <c r="F147" s="0"/>
      <c r="G147" s="0"/>
      <c r="H147" s="0"/>
    </row>
    <row r="148" customFormat="false" ht="12.75" hidden="false" customHeight="false" outlineLevel="0" collapsed="false">
      <c r="B148" s="0"/>
      <c r="C148" s="0"/>
      <c r="D148" s="0"/>
      <c r="E148" s="0"/>
      <c r="F148" s="0"/>
      <c r="G148" s="0"/>
      <c r="H148" s="0"/>
    </row>
    <row r="149" customFormat="false" ht="12.75" hidden="false" customHeight="false" outlineLevel="0" collapsed="false">
      <c r="B149" s="0" t="s">
        <v>162</v>
      </c>
      <c r="C149" s="0" t="n">
        <v>1996</v>
      </c>
      <c r="D149" s="0" t="n">
        <v>2533</v>
      </c>
      <c r="E149" s="0"/>
      <c r="F149" s="0"/>
      <c r="G149" s="0"/>
      <c r="H149" s="0"/>
    </row>
    <row r="150" customFormat="false" ht="12.75" hidden="false" customHeight="false" outlineLevel="0" collapsed="false">
      <c r="B150" s="0" t="s">
        <v>166</v>
      </c>
      <c r="C150" s="0" t="n">
        <v>1996</v>
      </c>
      <c r="D150" s="0" t="n">
        <v>15637</v>
      </c>
      <c r="E150" s="0"/>
      <c r="F150" s="0"/>
      <c r="G150" s="0"/>
      <c r="H150" s="0"/>
    </row>
    <row r="151" customFormat="false" ht="12.75" hidden="false" customHeight="false" outlineLevel="0" collapsed="false">
      <c r="B151" s="0" t="s">
        <v>168</v>
      </c>
      <c r="C151" s="0" t="n">
        <v>1996</v>
      </c>
      <c r="D151" s="0" t="n">
        <v>6468</v>
      </c>
      <c r="E151" s="0"/>
      <c r="F151" s="0"/>
      <c r="G151" s="0"/>
      <c r="H151" s="0"/>
    </row>
    <row r="152" customFormat="false" ht="12.75" hidden="false" customHeight="false" outlineLevel="0" collapsed="false">
      <c r="B152" s="0" t="s">
        <v>158</v>
      </c>
      <c r="C152" s="0" t="n">
        <v>1996</v>
      </c>
      <c r="D152" s="0" t="n">
        <v>4134</v>
      </c>
      <c r="E152" s="0"/>
      <c r="F152" s="0"/>
      <c r="G152" s="0"/>
      <c r="H152" s="0"/>
    </row>
    <row r="153" customFormat="false" ht="12.75" hidden="false" customHeight="false" outlineLevel="0" collapsed="false">
      <c r="B153" s="0"/>
      <c r="C153" s="0"/>
      <c r="D153" s="0"/>
      <c r="E153" s="0"/>
      <c r="F153" s="0"/>
      <c r="G153" s="0"/>
      <c r="H153" s="0"/>
    </row>
  </sheetData>
  <mergeCells count="5">
    <mergeCell ref="J9:K9"/>
    <mergeCell ref="J19:K19"/>
    <mergeCell ref="J23:M23"/>
    <mergeCell ref="J24:M24"/>
    <mergeCell ref="J25:M25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0"/>
  <sheetViews>
    <sheetView showFormulas="false" showGridLines="true" showRowColHeaders="true" showZeros="true" rightToLeft="false" tabSelected="false" showOutlineSymbols="true" defaultGridColor="true" view="normal" topLeftCell="A77" colorId="64" zoomScale="100" zoomScaleNormal="100" zoomScalePageLayoutView="100" workbookViewId="0">
      <selection pane="topLeft" activeCell="A97" activeCellId="0" sqref="A97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18" width="26.7"/>
    <col collapsed="false" customWidth="true" hidden="false" outlineLevel="0" max="2" min="2" style="18" width="5.99"/>
    <col collapsed="false" customWidth="true" hidden="false" outlineLevel="0" max="3" min="3" style="18" width="17.14"/>
    <col collapsed="false" customWidth="true" hidden="false" outlineLevel="0" max="5" min="4" style="18" width="14.85"/>
    <col collapsed="false" customWidth="true" hidden="false" outlineLevel="0" max="6" min="6" style="18" width="19.14"/>
    <col collapsed="false" customWidth="true" hidden="false" outlineLevel="0" max="7" min="7" style="18" width="10.41"/>
    <col collapsed="false" customWidth="true" hidden="false" outlineLevel="0" max="8" min="8" style="18" width="17.99"/>
    <col collapsed="false" customWidth="true" hidden="false" outlineLevel="0" max="11" min="9" style="18" width="10.85"/>
    <col collapsed="false" customWidth="true" hidden="false" outlineLevel="0" max="12" min="12" style="18" width="11.85"/>
    <col collapsed="false" customWidth="true" hidden="false" outlineLevel="0" max="14" min="13" style="18" width="11.7"/>
    <col collapsed="false" customWidth="true" hidden="false" outlineLevel="0" max="15" min="15" style="18" width="10.41"/>
    <col collapsed="false" customWidth="false" hidden="false" outlineLevel="0" max="257" min="16" style="18" width="9.14"/>
  </cols>
  <sheetData>
    <row r="1" customFormat="false" ht="11.25" hidden="false" customHeight="false" outlineLevel="0" collapsed="false">
      <c r="A1" s="222" t="s">
        <v>208</v>
      </c>
    </row>
    <row r="3" customFormat="false" ht="11.25" hidden="false" customHeight="false" outlineLevel="0" collapsed="false">
      <c r="A3" s="18" t="s">
        <v>209</v>
      </c>
      <c r="B3" s="18" t="s">
        <v>103</v>
      </c>
      <c r="C3" s="18" t="s">
        <v>210</v>
      </c>
    </row>
    <row r="4" customFormat="false" ht="11.25" hidden="false" customHeight="false" outlineLevel="0" collapsed="false">
      <c r="A4" s="18" t="s">
        <v>168</v>
      </c>
      <c r="B4" s="18" t="n">
        <v>1996</v>
      </c>
      <c r="C4" s="223" t="n">
        <v>49739629</v>
      </c>
    </row>
    <row r="5" customFormat="false" ht="11.25" hidden="false" customHeight="false" outlineLevel="0" collapsed="false">
      <c r="A5" s="18" t="s">
        <v>158</v>
      </c>
      <c r="B5" s="18" t="n">
        <v>1996</v>
      </c>
      <c r="C5" s="223" t="n">
        <v>27308228</v>
      </c>
      <c r="G5" s="28" t="s">
        <v>211</v>
      </c>
      <c r="H5" s="28"/>
      <c r="I5" s="28"/>
      <c r="J5" s="28"/>
      <c r="K5" s="28"/>
    </row>
    <row r="6" customFormat="false" ht="11.25" hidden="false" customHeight="false" outlineLevel="0" collapsed="false">
      <c r="A6" s="18" t="s">
        <v>178</v>
      </c>
      <c r="B6" s="18" t="n">
        <v>1996</v>
      </c>
      <c r="C6" s="223" t="n">
        <v>74227058</v>
      </c>
      <c r="G6" s="18" t="s">
        <v>95</v>
      </c>
      <c r="H6" s="18" t="s">
        <v>96</v>
      </c>
      <c r="I6" s="18" t="s">
        <v>97</v>
      </c>
      <c r="J6" s="18" t="s">
        <v>88</v>
      </c>
      <c r="K6" s="18" t="s">
        <v>89</v>
      </c>
    </row>
    <row r="7" customFormat="false" ht="11.25" hidden="false" customHeight="false" outlineLevel="0" collapsed="false">
      <c r="A7" s="18" t="s">
        <v>166</v>
      </c>
      <c r="B7" s="18" t="n">
        <v>1996</v>
      </c>
      <c r="C7" s="223" t="n">
        <v>72155927</v>
      </c>
      <c r="F7" s="18" t="n">
        <v>1992</v>
      </c>
      <c r="G7" s="18" t="n">
        <v>1534</v>
      </c>
      <c r="H7" s="18" t="n">
        <v>639</v>
      </c>
      <c r="I7" s="18" t="n">
        <v>1923</v>
      </c>
      <c r="J7" s="18" t="n">
        <v>1551</v>
      </c>
      <c r="K7" s="18" t="n">
        <v>441</v>
      </c>
    </row>
    <row r="8" customFormat="false" ht="11.25" hidden="false" customHeight="false" outlineLevel="0" collapsed="false">
      <c r="A8" s="18" t="s">
        <v>162</v>
      </c>
      <c r="B8" s="18" t="n">
        <v>1996</v>
      </c>
      <c r="C8" s="223" t="n">
        <v>18564555</v>
      </c>
      <c r="F8" s="18" t="n">
        <v>1993</v>
      </c>
      <c r="G8" s="18" t="n">
        <v>1184</v>
      </c>
      <c r="H8" s="18" t="n">
        <v>610</v>
      </c>
      <c r="I8" s="18" t="n">
        <v>1838</v>
      </c>
      <c r="J8" s="18" t="n">
        <v>1165</v>
      </c>
      <c r="K8" s="18" t="n">
        <v>358</v>
      </c>
    </row>
    <row r="9" customFormat="false" ht="11.25" hidden="false" customHeight="false" outlineLevel="0" collapsed="false">
      <c r="A9" s="18" t="s">
        <v>168</v>
      </c>
      <c r="B9" s="18" t="n">
        <v>1997</v>
      </c>
      <c r="C9" s="223" t="n">
        <v>43180531</v>
      </c>
      <c r="F9" s="18" t="n">
        <v>1994</v>
      </c>
      <c r="G9" s="18" t="n">
        <v>1107</v>
      </c>
      <c r="H9" s="18" t="n">
        <v>589</v>
      </c>
      <c r="I9" s="18" t="n">
        <v>1734</v>
      </c>
      <c r="J9" s="18" t="n">
        <v>1229</v>
      </c>
      <c r="K9" s="18" t="n">
        <v>375</v>
      </c>
    </row>
    <row r="10" customFormat="false" ht="11.25" hidden="false" customHeight="false" outlineLevel="0" collapsed="false">
      <c r="A10" s="18" t="s">
        <v>158</v>
      </c>
      <c r="B10" s="18" t="n">
        <v>1997</v>
      </c>
      <c r="C10" s="223" t="n">
        <v>18668519</v>
      </c>
      <c r="F10" s="18" t="n">
        <v>1995</v>
      </c>
      <c r="G10" s="18" t="n">
        <v>967</v>
      </c>
      <c r="H10" s="18" t="n">
        <v>573</v>
      </c>
      <c r="I10" s="18" t="n">
        <v>1541</v>
      </c>
      <c r="J10" s="18" t="n">
        <v>1188</v>
      </c>
      <c r="K10" s="18" t="n">
        <v>251</v>
      </c>
    </row>
    <row r="11" customFormat="false" ht="11.25" hidden="false" customHeight="false" outlineLevel="0" collapsed="false">
      <c r="A11" s="18" t="s">
        <v>178</v>
      </c>
      <c r="B11" s="18" t="n">
        <v>1997</v>
      </c>
      <c r="C11" s="223" t="n">
        <v>67130685</v>
      </c>
    </row>
    <row r="12" customFormat="false" ht="11.25" hidden="false" customHeight="false" outlineLevel="0" collapsed="false">
      <c r="A12" s="18" t="s">
        <v>166</v>
      </c>
      <c r="B12" s="18" t="n">
        <v>1997</v>
      </c>
      <c r="C12" s="223" t="n">
        <v>73507362</v>
      </c>
    </row>
    <row r="13" customFormat="false" ht="11.25" hidden="false" customHeight="false" outlineLevel="0" collapsed="false">
      <c r="A13" s="18" t="s">
        <v>162</v>
      </c>
      <c r="B13" s="18" t="n">
        <v>1997</v>
      </c>
      <c r="C13" s="223" t="n">
        <v>18528531</v>
      </c>
      <c r="D13" s="18" t="s">
        <v>212</v>
      </c>
      <c r="E13" s="18" t="s">
        <v>213</v>
      </c>
      <c r="F13" s="18" t="s">
        <v>214</v>
      </c>
      <c r="H13" s="224" t="s">
        <v>215</v>
      </c>
      <c r="I13" s="224"/>
      <c r="J13" s="224"/>
    </row>
    <row r="14" customFormat="false" ht="11.25" hidden="false" customHeight="false" outlineLevel="0" collapsed="false">
      <c r="A14" s="18" t="s">
        <v>168</v>
      </c>
      <c r="B14" s="18" t="n">
        <v>1998</v>
      </c>
      <c r="C14" s="223" t="n">
        <v>42123102</v>
      </c>
      <c r="D14" s="18" t="n">
        <f aca="false">G10</f>
        <v>967</v>
      </c>
      <c r="E14" s="223" t="n">
        <f aca="false">C14/D14</f>
        <v>43560.6018614271</v>
      </c>
      <c r="F14" s="223" t="n">
        <f aca="false">(C14+C15)/(D14+D15)</f>
        <v>37862.7058441559</v>
      </c>
      <c r="G14" s="18" t="s">
        <v>33</v>
      </c>
      <c r="H14" s="225"/>
      <c r="I14" s="28" t="s">
        <v>33</v>
      </c>
      <c r="J14" s="226" t="s">
        <v>97</v>
      </c>
    </row>
    <row r="15" customFormat="false" ht="11.25" hidden="false" customHeight="false" outlineLevel="0" collapsed="false">
      <c r="A15" s="18" t="s">
        <v>158</v>
      </c>
      <c r="B15" s="18" t="n">
        <v>1998</v>
      </c>
      <c r="C15" s="223" t="n">
        <v>16185465</v>
      </c>
      <c r="D15" s="18" t="n">
        <f aca="false">H10</f>
        <v>573</v>
      </c>
      <c r="E15" s="223" t="n">
        <f aca="false">C15/D15</f>
        <v>28246.8848167539</v>
      </c>
      <c r="F15" s="223"/>
      <c r="H15" s="225" t="s">
        <v>175</v>
      </c>
      <c r="I15" s="227" t="n">
        <f aca="false">Results!H48</f>
        <v>60949743.3214316</v>
      </c>
      <c r="J15" s="228" t="n">
        <f aca="false">Results!M48</f>
        <v>22718565.9372867</v>
      </c>
    </row>
    <row r="16" customFormat="false" ht="11.25" hidden="false" customHeight="false" outlineLevel="0" collapsed="false">
      <c r="A16" s="18" t="s">
        <v>178</v>
      </c>
      <c r="B16" s="18" t="n">
        <v>1998</v>
      </c>
      <c r="C16" s="223" t="n">
        <v>62891355</v>
      </c>
      <c r="D16" s="18" t="n">
        <f aca="false">I10</f>
        <v>1541</v>
      </c>
      <c r="E16" s="223" t="n">
        <f aca="false">C16/D16</f>
        <v>40812.0408825438</v>
      </c>
      <c r="F16" s="223" t="n">
        <f aca="false">E16</f>
        <v>40812.0408825438</v>
      </c>
      <c r="G16" s="18" t="s">
        <v>97</v>
      </c>
      <c r="H16" s="229" t="s">
        <v>216</v>
      </c>
      <c r="I16" s="230" t="n">
        <f aca="false">I15*H31</f>
        <v>20790269.0391971</v>
      </c>
      <c r="J16" s="231" t="n">
        <f aca="false">J15*H32</f>
        <v>6893312.59566947</v>
      </c>
    </row>
    <row r="17" customFormat="false" ht="11.25" hidden="false" customHeight="false" outlineLevel="0" collapsed="false">
      <c r="A17" s="18" t="s">
        <v>166</v>
      </c>
      <c r="B17" s="18" t="n">
        <v>1998</v>
      </c>
      <c r="C17" s="223" t="n">
        <v>72128271</v>
      </c>
      <c r="D17" s="18" t="n">
        <f aca="false">J10</f>
        <v>1188</v>
      </c>
      <c r="E17" s="223" t="n">
        <f aca="false">C17/D17</f>
        <v>60714.0328282828</v>
      </c>
      <c r="F17" s="223" t="n">
        <f aca="false">(C17+C18)/(D17+D18)</f>
        <v>61138.4225156359</v>
      </c>
      <c r="G17" s="18" t="s">
        <v>217</v>
      </c>
    </row>
    <row r="18" customFormat="false" ht="11.25" hidden="false" customHeight="false" outlineLevel="0" collapsed="false">
      <c r="A18" s="18" t="s">
        <v>162</v>
      </c>
      <c r="B18" s="18" t="n">
        <v>1998</v>
      </c>
      <c r="C18" s="223" t="n">
        <v>15849919</v>
      </c>
      <c r="D18" s="18" t="n">
        <f aca="false">K10</f>
        <v>251</v>
      </c>
      <c r="E18" s="223" t="n">
        <f aca="false">C18/D18</f>
        <v>63147.0876494024</v>
      </c>
      <c r="F18" s="223"/>
      <c r="G18" s="223"/>
      <c r="H18" s="224" t="s">
        <v>218</v>
      </c>
      <c r="I18" s="224"/>
      <c r="J18" s="224"/>
    </row>
    <row r="19" customFormat="false" ht="11.25" hidden="false" customHeight="false" outlineLevel="0" collapsed="false">
      <c r="H19" s="225"/>
      <c r="I19" s="28" t="s">
        <v>33</v>
      </c>
      <c r="J19" s="226" t="s">
        <v>97</v>
      </c>
    </row>
    <row r="20" customFormat="false" ht="12" hidden="false" customHeight="false" outlineLevel="0" collapsed="false">
      <c r="H20" s="225" t="s">
        <v>175</v>
      </c>
      <c r="I20" s="232" t="n">
        <f aca="false">I16/F14</f>
        <v>549.096230067935</v>
      </c>
      <c r="J20" s="233" t="n">
        <f aca="false">J16/F16</f>
        <v>168.903893228674</v>
      </c>
    </row>
    <row r="21" customFormat="false" ht="12" hidden="false" customHeight="false" outlineLevel="0" collapsed="false">
      <c r="H21" s="229" t="s">
        <v>219</v>
      </c>
      <c r="I21" s="234" t="n">
        <f aca="false">I20/(D14+D15)</f>
        <v>0.356555993550607</v>
      </c>
      <c r="J21" s="234" t="n">
        <f aca="false">J20/(D16)</f>
        <v>0.109606679577336</v>
      </c>
    </row>
    <row r="22" customFormat="false" ht="12" hidden="false" customHeight="false" outlineLevel="0" collapsed="false">
      <c r="A22" s="18" t="s">
        <v>209</v>
      </c>
      <c r="B22" s="18" t="s">
        <v>103</v>
      </c>
      <c r="C22" s="18" t="s">
        <v>220</v>
      </c>
      <c r="D22" s="18" t="s">
        <v>221</v>
      </c>
      <c r="E22" s="235" t="s">
        <v>222</v>
      </c>
    </row>
    <row r="23" customFormat="false" ht="11.25" hidden="false" customHeight="false" outlineLevel="0" collapsed="false">
      <c r="A23" s="18" t="s">
        <v>162</v>
      </c>
      <c r="B23" s="18" t="n">
        <v>1998</v>
      </c>
      <c r="C23" s="223" t="n">
        <v>7106479</v>
      </c>
      <c r="D23" s="223" t="n">
        <v>20092145</v>
      </c>
      <c r="E23" s="236" t="n">
        <f aca="false">C23/D23</f>
        <v>0.353694391514694</v>
      </c>
      <c r="H23" s="8" t="s">
        <v>223</v>
      </c>
      <c r="I23" s="8"/>
      <c r="J23" s="8"/>
    </row>
    <row r="24" customFormat="false" ht="11.25" hidden="false" customHeight="false" outlineLevel="0" collapsed="false">
      <c r="A24" s="18" t="s">
        <v>162</v>
      </c>
      <c r="B24" s="18" t="n">
        <v>1997</v>
      </c>
      <c r="C24" s="223" t="n">
        <v>7881778</v>
      </c>
      <c r="D24" s="223" t="n">
        <v>18656996</v>
      </c>
      <c r="E24" s="236" t="n">
        <f aca="false">C24/D24</f>
        <v>0.42245697002883</v>
      </c>
      <c r="H24" s="202"/>
      <c r="I24" s="237" t="s">
        <v>224</v>
      </c>
      <c r="J24" s="17" t="s">
        <v>225</v>
      </c>
    </row>
    <row r="25" customFormat="false" ht="11.25" hidden="false" customHeight="false" outlineLevel="0" collapsed="false">
      <c r="A25" s="18" t="s">
        <v>162</v>
      </c>
      <c r="B25" s="18" t="n">
        <v>1996</v>
      </c>
      <c r="C25" s="223" t="n">
        <v>7209625</v>
      </c>
      <c r="D25" s="223" t="n">
        <v>8238910</v>
      </c>
      <c r="E25" s="236" t="n">
        <f aca="false">C25/D25</f>
        <v>0.875070245942728</v>
      </c>
      <c r="H25" s="27" t="s">
        <v>226</v>
      </c>
      <c r="I25" s="227" t="n">
        <f aca="false">I20*F14</f>
        <v>20790269.0391971</v>
      </c>
      <c r="J25" s="238" t="n">
        <f aca="false">J20*F16</f>
        <v>6893312.59566947</v>
      </c>
    </row>
    <row r="26" customFormat="false" ht="11.25" hidden="false" customHeight="false" outlineLevel="0" collapsed="false">
      <c r="C26" s="223"/>
      <c r="D26" s="223"/>
      <c r="E26" s="236"/>
      <c r="H26" s="239" t="s">
        <v>227</v>
      </c>
      <c r="I26" s="240" t="n">
        <f aca="false">I25*0.1</f>
        <v>2079026.90391971</v>
      </c>
      <c r="J26" s="241" t="n">
        <f aca="false">J25*0.1</f>
        <v>689331.259566947</v>
      </c>
    </row>
    <row r="27" customFormat="false" ht="12" hidden="false" customHeight="false" outlineLevel="0" collapsed="false">
      <c r="A27" s="18" t="s">
        <v>166</v>
      </c>
      <c r="B27" s="18" t="n">
        <v>1998</v>
      </c>
      <c r="C27" s="223" t="n">
        <v>30660621</v>
      </c>
      <c r="D27" s="223" t="n">
        <v>91469234</v>
      </c>
      <c r="E27" s="236" t="n">
        <f aca="false">C27/D27</f>
        <v>0.335201462384609</v>
      </c>
      <c r="H27" s="37" t="s">
        <v>228</v>
      </c>
      <c r="I27" s="242" t="n">
        <f aca="false">I25+I26</f>
        <v>22869295.9431169</v>
      </c>
      <c r="J27" s="243" t="n">
        <f aca="false">J25+J26</f>
        <v>7582643.85523642</v>
      </c>
    </row>
    <row r="28" customFormat="false" ht="11.25" hidden="false" customHeight="false" outlineLevel="0" collapsed="false">
      <c r="A28" s="18" t="s">
        <v>166</v>
      </c>
      <c r="B28" s="18" t="n">
        <v>1997</v>
      </c>
      <c r="C28" s="223" t="n">
        <v>31528473</v>
      </c>
      <c r="D28" s="223" t="n">
        <v>95553390</v>
      </c>
      <c r="E28" s="236" t="n">
        <f aca="false">C28/D28</f>
        <v>0.329956613784189</v>
      </c>
    </row>
    <row r="29" customFormat="false" ht="11.25" hidden="false" customHeight="false" outlineLevel="0" collapsed="false">
      <c r="A29" s="18" t="s">
        <v>166</v>
      </c>
      <c r="B29" s="18" t="n">
        <v>1996</v>
      </c>
      <c r="C29" s="223" t="n">
        <v>33576068</v>
      </c>
      <c r="D29" s="223" t="n">
        <v>99621407</v>
      </c>
      <c r="E29" s="236" t="n">
        <f aca="false">C29/D29</f>
        <v>0.337036677267568</v>
      </c>
    </row>
    <row r="30" customFormat="false" ht="11.25" hidden="false" customHeight="true" outlineLevel="0" collapsed="false">
      <c r="C30" s="223"/>
      <c r="D30" s="223"/>
      <c r="E30" s="236"/>
      <c r="H30" s="244" t="s">
        <v>229</v>
      </c>
      <c r="I30" s="244"/>
    </row>
    <row r="31" customFormat="false" ht="11.25" hidden="false" customHeight="false" outlineLevel="0" collapsed="false">
      <c r="A31" s="18" t="s">
        <v>178</v>
      </c>
      <c r="B31" s="18" t="n">
        <v>1998</v>
      </c>
      <c r="C31" s="223" t="n">
        <v>14492102</v>
      </c>
      <c r="D31" s="235" t="n">
        <v>47762200</v>
      </c>
      <c r="E31" s="236" t="n">
        <f aca="false">C31/D31</f>
        <v>0.303421994799235</v>
      </c>
      <c r="H31" s="245" t="n">
        <f aca="false">(C35+C39)/(D35+D39)</f>
        <v>0.341105112281691</v>
      </c>
      <c r="I31" s="246" t="s">
        <v>230</v>
      </c>
    </row>
    <row r="32" customFormat="false" ht="11.25" hidden="false" customHeight="false" outlineLevel="0" collapsed="false">
      <c r="A32" s="18" t="s">
        <v>178</v>
      </c>
      <c r="B32" s="18" t="n">
        <v>1997</v>
      </c>
      <c r="C32" s="223" t="n">
        <v>13283055</v>
      </c>
      <c r="D32" s="235" t="n">
        <v>52153684</v>
      </c>
      <c r="E32" s="236" t="n">
        <f aca="false">C32/D32</f>
        <v>0.254690637002748</v>
      </c>
      <c r="H32" s="247" t="n">
        <f aca="false">E31</f>
        <v>0.303421994799235</v>
      </c>
      <c r="I32" s="248" t="s">
        <v>231</v>
      </c>
    </row>
    <row r="33" customFormat="false" ht="11.25" hidden="false" customHeight="false" outlineLevel="0" collapsed="false">
      <c r="A33" s="18" t="s">
        <v>178</v>
      </c>
      <c r="B33" s="18" t="n">
        <v>1996</v>
      </c>
      <c r="C33" s="223" t="n">
        <v>13424544</v>
      </c>
      <c r="D33" s="235" t="n">
        <v>41312174</v>
      </c>
      <c r="E33" s="236" t="n">
        <f aca="false">C33/D33</f>
        <v>0.32495370492969</v>
      </c>
    </row>
    <row r="34" customFormat="false" ht="11.25" hidden="false" customHeight="false" outlineLevel="0" collapsed="false">
      <c r="C34" s="223"/>
      <c r="D34" s="235"/>
      <c r="E34" s="236"/>
    </row>
    <row r="35" customFormat="false" ht="11.25" hidden="false" customHeight="false" outlineLevel="0" collapsed="false">
      <c r="A35" s="18" t="s">
        <v>158</v>
      </c>
      <c r="B35" s="18" t="n">
        <v>1998</v>
      </c>
      <c r="C35" s="223" t="n">
        <v>15932622</v>
      </c>
      <c r="D35" s="223" t="n">
        <v>36179656</v>
      </c>
      <c r="E35" s="236" t="n">
        <f aca="false">C35/D35</f>
        <v>0.440375165535018</v>
      </c>
    </row>
    <row r="36" customFormat="false" ht="11.25" hidden="false" customHeight="false" outlineLevel="0" collapsed="false">
      <c r="A36" s="18" t="s">
        <v>158</v>
      </c>
      <c r="B36" s="18" t="n">
        <v>1997</v>
      </c>
      <c r="C36" s="223" t="n">
        <v>17615404</v>
      </c>
      <c r="D36" s="223" t="n">
        <v>37537546</v>
      </c>
      <c r="E36" s="236" t="n">
        <f aca="false">C36/D36</f>
        <v>0.469274256766812</v>
      </c>
    </row>
    <row r="37" customFormat="false" ht="11.25" hidden="false" customHeight="false" outlineLevel="0" collapsed="false">
      <c r="A37" s="18" t="s">
        <v>158</v>
      </c>
      <c r="B37" s="18" t="n">
        <v>1996</v>
      </c>
      <c r="C37" s="223" t="n">
        <v>17972746</v>
      </c>
      <c r="D37" s="223" t="n">
        <v>40421836</v>
      </c>
      <c r="E37" s="236" t="n">
        <f aca="false">C37/D37</f>
        <v>0.444629630380965</v>
      </c>
    </row>
    <row r="38" customFormat="false" ht="11.25" hidden="false" customHeight="false" outlineLevel="0" collapsed="false">
      <c r="C38" s="223"/>
      <c r="D38" s="223"/>
      <c r="E38" s="236"/>
    </row>
    <row r="39" customFormat="false" ht="11.25" hidden="false" customHeight="false" outlineLevel="0" collapsed="false">
      <c r="A39" s="18" t="s">
        <v>168</v>
      </c>
      <c r="B39" s="18" t="n">
        <v>1998</v>
      </c>
      <c r="C39" s="223" t="n">
        <v>27543453</v>
      </c>
      <c r="D39" s="223" t="n">
        <v>91276877</v>
      </c>
      <c r="E39" s="236" t="n">
        <f aca="false">C39/D39</f>
        <v>0.301757179970125</v>
      </c>
    </row>
    <row r="40" customFormat="false" ht="11.25" hidden="false" customHeight="false" outlineLevel="0" collapsed="false">
      <c r="A40" s="18" t="s">
        <v>168</v>
      </c>
      <c r="B40" s="18" t="n">
        <v>1997</v>
      </c>
      <c r="C40" s="223" t="n">
        <v>22833864</v>
      </c>
      <c r="D40" s="223" t="n">
        <v>85474507</v>
      </c>
      <c r="E40" s="236" t="n">
        <f aca="false">C40/D40</f>
        <v>0.267142389016646</v>
      </c>
    </row>
    <row r="41" customFormat="false" ht="11.25" hidden="false" customHeight="false" outlineLevel="0" collapsed="false">
      <c r="A41" s="18" t="s">
        <v>168</v>
      </c>
      <c r="B41" s="18" t="n">
        <v>1996</v>
      </c>
      <c r="C41" s="223" t="n">
        <v>25105733</v>
      </c>
      <c r="D41" s="223" t="n">
        <v>85871296</v>
      </c>
      <c r="E41" s="236" t="n">
        <f aca="false">C41/D41</f>
        <v>0.29236466863153</v>
      </c>
    </row>
    <row r="42" customFormat="false" ht="11.25" hidden="false" customHeight="false" outlineLevel="0" collapsed="false">
      <c r="C42" s="223"/>
      <c r="D42" s="223"/>
      <c r="E42" s="236"/>
    </row>
    <row r="43" customFormat="false" ht="11.25" hidden="false" customHeight="false" outlineLevel="0" collapsed="false">
      <c r="A43" s="18" t="s">
        <v>232</v>
      </c>
      <c r="C43" s="223" t="n">
        <f aca="false">SUM(C23:C41)</f>
        <v>286166567</v>
      </c>
      <c r="D43" s="223" t="n">
        <f aca="false">SUM(D23:D41)</f>
        <v>851621858</v>
      </c>
      <c r="E43" s="249" t="n">
        <f aca="false">C43/D43</f>
        <v>0.336025390038779</v>
      </c>
    </row>
    <row r="44" customFormat="false" ht="12" hidden="false" customHeight="false" outlineLevel="0" collapsed="false">
      <c r="A44" s="38"/>
      <c r="B44" s="38"/>
      <c r="C44" s="242"/>
      <c r="D44" s="242"/>
      <c r="E44" s="250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38"/>
      <c r="AI44" s="38"/>
      <c r="AJ44" s="38"/>
      <c r="AK44" s="38"/>
      <c r="AL44" s="38"/>
      <c r="AM44" s="38"/>
      <c r="AN44" s="38"/>
      <c r="AO44" s="38"/>
      <c r="AP44" s="38"/>
      <c r="AQ44" s="38"/>
      <c r="AR44" s="38"/>
      <c r="AS44" s="38"/>
      <c r="AT44" s="38"/>
      <c r="AU44" s="38"/>
      <c r="AV44" s="38"/>
      <c r="AW44" s="38"/>
      <c r="AX44" s="38"/>
      <c r="AY44" s="38"/>
      <c r="AZ44" s="38"/>
      <c r="BA44" s="38"/>
      <c r="BB44" s="38"/>
      <c r="BC44" s="38"/>
      <c r="BD44" s="38"/>
      <c r="BE44" s="38"/>
      <c r="BF44" s="38"/>
      <c r="BG44" s="38"/>
      <c r="BH44" s="38"/>
      <c r="BI44" s="38"/>
      <c r="BJ44" s="38"/>
      <c r="BK44" s="38"/>
      <c r="BL44" s="38"/>
      <c r="BM44" s="38"/>
      <c r="BN44" s="38"/>
      <c r="BO44" s="38"/>
      <c r="BP44" s="38"/>
      <c r="BQ44" s="38"/>
      <c r="BR44" s="38"/>
      <c r="BS44" s="38"/>
      <c r="BT44" s="38"/>
      <c r="BU44" s="38"/>
      <c r="BV44" s="38"/>
      <c r="BW44" s="38"/>
      <c r="BX44" s="38"/>
      <c r="BY44" s="38"/>
      <c r="BZ44" s="38"/>
      <c r="CA44" s="38"/>
      <c r="CB44" s="38"/>
      <c r="CC44" s="38"/>
      <c r="CD44" s="38"/>
      <c r="CE44" s="38"/>
      <c r="CF44" s="38"/>
      <c r="CG44" s="38"/>
      <c r="CH44" s="38"/>
      <c r="CI44" s="38"/>
      <c r="CJ44" s="38"/>
      <c r="CK44" s="38"/>
      <c r="CL44" s="38"/>
      <c r="CM44" s="38"/>
      <c r="CN44" s="38"/>
      <c r="CO44" s="38"/>
      <c r="CP44" s="38"/>
      <c r="CQ44" s="38"/>
      <c r="CR44" s="38"/>
      <c r="CS44" s="38"/>
      <c r="CT44" s="38"/>
      <c r="CU44" s="38"/>
      <c r="CV44" s="38"/>
      <c r="CW44" s="38"/>
      <c r="CX44" s="38"/>
      <c r="CY44" s="38"/>
      <c r="CZ44" s="38"/>
      <c r="DA44" s="38"/>
      <c r="DB44" s="38"/>
      <c r="DC44" s="38"/>
      <c r="DD44" s="38"/>
      <c r="DE44" s="38"/>
      <c r="DF44" s="38"/>
      <c r="DG44" s="38"/>
      <c r="DH44" s="38"/>
      <c r="DI44" s="38"/>
      <c r="DJ44" s="38"/>
      <c r="DK44" s="38"/>
      <c r="DL44" s="38"/>
      <c r="DM44" s="38"/>
      <c r="DN44" s="38"/>
      <c r="DO44" s="38"/>
      <c r="DP44" s="38"/>
      <c r="DQ44" s="38"/>
      <c r="DR44" s="38"/>
      <c r="DS44" s="38"/>
      <c r="DT44" s="38"/>
      <c r="DU44" s="38"/>
      <c r="DV44" s="38"/>
      <c r="DW44" s="38"/>
      <c r="DX44" s="38"/>
      <c r="DY44" s="38"/>
      <c r="DZ44" s="38"/>
      <c r="EA44" s="38"/>
      <c r="EB44" s="38"/>
      <c r="EC44" s="38"/>
      <c r="ED44" s="38"/>
      <c r="EE44" s="38"/>
      <c r="EF44" s="38"/>
      <c r="EG44" s="38"/>
      <c r="EH44" s="38"/>
      <c r="EI44" s="38"/>
      <c r="EJ44" s="38"/>
      <c r="EK44" s="38"/>
      <c r="EL44" s="38"/>
      <c r="EM44" s="38"/>
      <c r="EN44" s="38"/>
      <c r="EO44" s="38"/>
      <c r="EP44" s="38"/>
      <c r="EQ44" s="38"/>
      <c r="ER44" s="38"/>
      <c r="ES44" s="38"/>
      <c r="ET44" s="38"/>
      <c r="EU44" s="38"/>
      <c r="EV44" s="38"/>
      <c r="EW44" s="38"/>
      <c r="EX44" s="38"/>
      <c r="EY44" s="38"/>
      <c r="EZ44" s="38"/>
      <c r="FA44" s="38"/>
      <c r="FB44" s="38"/>
      <c r="FC44" s="38"/>
      <c r="FD44" s="38"/>
      <c r="FE44" s="38"/>
      <c r="FF44" s="38"/>
      <c r="FG44" s="38"/>
      <c r="FH44" s="38"/>
      <c r="FI44" s="38"/>
      <c r="FJ44" s="38"/>
      <c r="FK44" s="38"/>
      <c r="FL44" s="38"/>
      <c r="FM44" s="38"/>
      <c r="FN44" s="38"/>
      <c r="FO44" s="38"/>
      <c r="FP44" s="38"/>
      <c r="FQ44" s="38"/>
      <c r="FR44" s="38"/>
      <c r="FS44" s="38"/>
      <c r="FT44" s="38"/>
      <c r="FU44" s="38"/>
      <c r="FV44" s="38"/>
      <c r="FW44" s="38"/>
      <c r="FX44" s="38"/>
      <c r="FY44" s="38"/>
      <c r="FZ44" s="38"/>
      <c r="GA44" s="38"/>
      <c r="GB44" s="38"/>
      <c r="GC44" s="38"/>
      <c r="GD44" s="38"/>
      <c r="GE44" s="38"/>
      <c r="GF44" s="38"/>
      <c r="GG44" s="38"/>
      <c r="GH44" s="38"/>
      <c r="GI44" s="38"/>
      <c r="GJ44" s="38"/>
      <c r="GK44" s="38"/>
      <c r="GL44" s="38"/>
      <c r="GM44" s="38"/>
      <c r="GN44" s="38"/>
      <c r="GO44" s="38"/>
      <c r="GP44" s="38"/>
      <c r="GQ44" s="38"/>
      <c r="GR44" s="38"/>
      <c r="GS44" s="38"/>
      <c r="GT44" s="38"/>
      <c r="GU44" s="38"/>
      <c r="GV44" s="38"/>
      <c r="GW44" s="38"/>
      <c r="GX44" s="38"/>
      <c r="GY44" s="38"/>
      <c r="GZ44" s="38"/>
      <c r="HA44" s="38"/>
      <c r="HB44" s="38"/>
      <c r="HC44" s="38"/>
      <c r="HD44" s="38"/>
      <c r="HE44" s="38"/>
      <c r="HF44" s="38"/>
      <c r="HG44" s="38"/>
      <c r="HH44" s="38"/>
      <c r="HI44" s="38"/>
      <c r="HJ44" s="38"/>
      <c r="HK44" s="38"/>
      <c r="HL44" s="38"/>
      <c r="HM44" s="38"/>
      <c r="HN44" s="38"/>
      <c r="HO44" s="38"/>
      <c r="HP44" s="38"/>
      <c r="HQ44" s="38"/>
      <c r="HR44" s="38"/>
      <c r="HS44" s="38"/>
      <c r="HT44" s="38"/>
      <c r="HU44" s="38"/>
      <c r="HV44" s="38"/>
      <c r="HW44" s="38"/>
      <c r="HX44" s="38"/>
      <c r="HY44" s="38"/>
      <c r="HZ44" s="38"/>
      <c r="IA44" s="38"/>
      <c r="IB44" s="38"/>
      <c r="IC44" s="38"/>
      <c r="ID44" s="38"/>
      <c r="IE44" s="38"/>
      <c r="IF44" s="38"/>
      <c r="IG44" s="38"/>
      <c r="IH44" s="38"/>
      <c r="II44" s="38"/>
      <c r="IJ44" s="38"/>
      <c r="IK44" s="38"/>
      <c r="IL44" s="38"/>
      <c r="IM44" s="38"/>
      <c r="IN44" s="38"/>
      <c r="IO44" s="38"/>
      <c r="IP44" s="38"/>
      <c r="IQ44" s="38"/>
      <c r="IR44" s="38"/>
      <c r="IS44" s="38"/>
      <c r="IT44" s="38"/>
      <c r="IU44" s="38"/>
      <c r="IV44" s="38"/>
      <c r="IW44" s="38"/>
    </row>
    <row r="45" customFormat="false" ht="11.25" hidden="false" customHeight="false" outlineLevel="0" collapsed="false">
      <c r="A45" s="19"/>
      <c r="B45" s="19"/>
      <c r="C45" s="227"/>
      <c r="D45" s="227"/>
      <c r="E45" s="236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9"/>
      <c r="AS45" s="19"/>
      <c r="AT45" s="19"/>
      <c r="AU45" s="19"/>
      <c r="AV45" s="19"/>
      <c r="AW45" s="19"/>
      <c r="AX45" s="19"/>
      <c r="AY45" s="19"/>
      <c r="AZ45" s="19"/>
      <c r="BA45" s="19"/>
      <c r="BB45" s="19"/>
      <c r="BC45" s="19"/>
      <c r="BD45" s="19"/>
      <c r="BE45" s="19"/>
      <c r="BF45" s="19"/>
      <c r="BG45" s="19"/>
      <c r="BH45" s="19"/>
      <c r="BI45" s="19"/>
      <c r="BJ45" s="19"/>
      <c r="BK45" s="19"/>
      <c r="BL45" s="19"/>
      <c r="BM45" s="19"/>
      <c r="BN45" s="19"/>
      <c r="BO45" s="19"/>
      <c r="BP45" s="19"/>
      <c r="BQ45" s="19"/>
      <c r="BR45" s="19"/>
      <c r="BS45" s="19"/>
      <c r="BT45" s="19"/>
      <c r="BU45" s="19"/>
      <c r="BV45" s="19"/>
      <c r="BW45" s="19"/>
      <c r="BX45" s="19"/>
      <c r="BY45" s="19"/>
      <c r="BZ45" s="19"/>
      <c r="CA45" s="19"/>
      <c r="CB45" s="19"/>
      <c r="CC45" s="19"/>
      <c r="CD45" s="19"/>
      <c r="CE45" s="19"/>
      <c r="CF45" s="19"/>
      <c r="CG45" s="19"/>
      <c r="CH45" s="19"/>
      <c r="CI45" s="19"/>
      <c r="CJ45" s="19"/>
      <c r="CK45" s="19"/>
      <c r="CL45" s="19"/>
      <c r="CM45" s="19"/>
      <c r="CN45" s="19"/>
      <c r="CO45" s="19"/>
      <c r="CP45" s="19"/>
      <c r="CQ45" s="19"/>
      <c r="CR45" s="19"/>
      <c r="CS45" s="19"/>
      <c r="CT45" s="19"/>
      <c r="CU45" s="19"/>
      <c r="CV45" s="19"/>
      <c r="CW45" s="19"/>
      <c r="CX45" s="19"/>
      <c r="CY45" s="19"/>
      <c r="CZ45" s="19"/>
      <c r="DA45" s="19"/>
      <c r="DB45" s="19"/>
      <c r="DC45" s="19"/>
      <c r="DD45" s="19"/>
      <c r="DE45" s="19"/>
      <c r="DF45" s="19"/>
      <c r="DG45" s="19"/>
      <c r="DH45" s="19"/>
      <c r="DI45" s="19"/>
      <c r="DJ45" s="19"/>
      <c r="DK45" s="19"/>
      <c r="DL45" s="19"/>
      <c r="DM45" s="19"/>
      <c r="DN45" s="19"/>
      <c r="DO45" s="19"/>
      <c r="DP45" s="19"/>
      <c r="DQ45" s="19"/>
      <c r="DR45" s="19"/>
      <c r="DS45" s="19"/>
      <c r="DT45" s="19"/>
      <c r="DU45" s="19"/>
      <c r="DV45" s="19"/>
      <c r="DW45" s="19"/>
      <c r="DX45" s="19"/>
      <c r="DY45" s="19"/>
      <c r="DZ45" s="19"/>
      <c r="EA45" s="19"/>
      <c r="EB45" s="19"/>
      <c r="EC45" s="19"/>
      <c r="ED45" s="19"/>
      <c r="EE45" s="19"/>
      <c r="EF45" s="19"/>
      <c r="EG45" s="19"/>
      <c r="EH45" s="19"/>
      <c r="EI45" s="19"/>
      <c r="EJ45" s="19"/>
      <c r="EK45" s="19"/>
      <c r="EL45" s="19"/>
      <c r="EM45" s="19"/>
      <c r="EN45" s="19"/>
      <c r="EO45" s="19"/>
      <c r="EP45" s="19"/>
      <c r="EQ45" s="19"/>
      <c r="ER45" s="19"/>
      <c r="ES45" s="19"/>
      <c r="ET45" s="19"/>
      <c r="EU45" s="19"/>
      <c r="EV45" s="19"/>
      <c r="EW45" s="19"/>
      <c r="EX45" s="19"/>
      <c r="EY45" s="19"/>
      <c r="EZ45" s="19"/>
      <c r="FA45" s="19"/>
      <c r="FB45" s="19"/>
      <c r="FC45" s="19"/>
      <c r="FD45" s="19"/>
      <c r="FE45" s="19"/>
      <c r="FF45" s="19"/>
      <c r="FG45" s="19"/>
      <c r="FH45" s="19"/>
      <c r="FI45" s="19"/>
      <c r="FJ45" s="19"/>
      <c r="FK45" s="19"/>
      <c r="FL45" s="19"/>
      <c r="FM45" s="19"/>
      <c r="FN45" s="19"/>
      <c r="FO45" s="19"/>
      <c r="FP45" s="19"/>
      <c r="FQ45" s="19"/>
      <c r="FR45" s="19"/>
      <c r="FS45" s="19"/>
      <c r="FT45" s="19"/>
      <c r="FU45" s="19"/>
      <c r="FV45" s="19"/>
      <c r="FW45" s="19"/>
      <c r="FX45" s="19"/>
      <c r="FY45" s="19"/>
      <c r="FZ45" s="19"/>
      <c r="GA45" s="19"/>
      <c r="GB45" s="19"/>
      <c r="GC45" s="19"/>
      <c r="GD45" s="19"/>
      <c r="GE45" s="19"/>
      <c r="GF45" s="19"/>
      <c r="GG45" s="19"/>
      <c r="GH45" s="19"/>
      <c r="GI45" s="19"/>
      <c r="GJ45" s="19"/>
      <c r="GK45" s="19"/>
      <c r="GL45" s="19"/>
      <c r="GM45" s="19"/>
      <c r="GN45" s="19"/>
      <c r="GO45" s="19"/>
      <c r="GP45" s="19"/>
      <c r="GQ45" s="19"/>
      <c r="GR45" s="19"/>
      <c r="GS45" s="19"/>
      <c r="GT45" s="19"/>
      <c r="GU45" s="19"/>
      <c r="GV45" s="19"/>
      <c r="GW45" s="19"/>
      <c r="GX45" s="19"/>
      <c r="GY45" s="19"/>
      <c r="GZ45" s="19"/>
      <c r="HA45" s="19"/>
      <c r="HB45" s="19"/>
      <c r="HC45" s="19"/>
      <c r="HD45" s="19"/>
      <c r="HE45" s="19"/>
      <c r="HF45" s="19"/>
      <c r="HG45" s="19"/>
      <c r="HH45" s="19"/>
      <c r="HI45" s="19"/>
      <c r="HJ45" s="19"/>
      <c r="HK45" s="19"/>
      <c r="HL45" s="19"/>
      <c r="HM45" s="19"/>
      <c r="HN45" s="19"/>
      <c r="HO45" s="19"/>
      <c r="HP45" s="19"/>
      <c r="HQ45" s="19"/>
      <c r="HR45" s="19"/>
      <c r="HS45" s="19"/>
      <c r="HT45" s="19"/>
      <c r="HU45" s="19"/>
      <c r="HV45" s="19"/>
      <c r="HW45" s="19"/>
      <c r="HX45" s="19"/>
      <c r="HY45" s="19"/>
      <c r="HZ45" s="19"/>
      <c r="IA45" s="19"/>
      <c r="IB45" s="19"/>
      <c r="IC45" s="19"/>
      <c r="ID45" s="19"/>
      <c r="IE45" s="19"/>
      <c r="IF45" s="19"/>
      <c r="IG45" s="19"/>
      <c r="IH45" s="19"/>
      <c r="II45" s="19"/>
      <c r="IJ45" s="19"/>
      <c r="IK45" s="19"/>
      <c r="IL45" s="19"/>
      <c r="IM45" s="19"/>
      <c r="IN45" s="19"/>
      <c r="IO45" s="19"/>
      <c r="IP45" s="19"/>
      <c r="IQ45" s="19"/>
      <c r="IR45" s="19"/>
      <c r="IS45" s="19"/>
      <c r="IT45" s="19"/>
      <c r="IU45" s="19"/>
      <c r="IV45" s="19"/>
      <c r="IW45" s="19"/>
    </row>
    <row r="46" customFormat="false" ht="12" hidden="false" customHeight="false" outlineLevel="0" collapsed="false">
      <c r="A46" s="222" t="s">
        <v>233</v>
      </c>
      <c r="C46" s="223"/>
      <c r="D46" s="223"/>
      <c r="E46" s="236"/>
    </row>
    <row r="47" customFormat="false" ht="12" hidden="false" customHeight="true" outlineLevel="0" collapsed="false">
      <c r="C47" s="251" t="s">
        <v>234</v>
      </c>
      <c r="D47" s="252" t="n">
        <v>0.09</v>
      </c>
      <c r="E47" s="253"/>
    </row>
    <row r="48" customFormat="false" ht="13.5" hidden="false" customHeight="true" outlineLevel="0" collapsed="false">
      <c r="C48" s="251"/>
      <c r="D48" s="252"/>
      <c r="E48" s="253"/>
    </row>
    <row r="49" customFormat="false" ht="11.25" hidden="false" customHeight="false" outlineLevel="0" collapsed="false">
      <c r="C49" s="223"/>
      <c r="D49" s="223"/>
      <c r="E49" s="236"/>
    </row>
    <row r="50" customFormat="false" ht="11.25" hidden="false" customHeight="false" outlineLevel="0" collapsed="false">
      <c r="A50" s="18" t="s">
        <v>101</v>
      </c>
      <c r="B50" s="18" t="s">
        <v>103</v>
      </c>
      <c r="C50" s="18" t="s">
        <v>235</v>
      </c>
      <c r="D50" s="232" t="s">
        <v>236</v>
      </c>
      <c r="E50" s="254" t="s">
        <v>237</v>
      </c>
      <c r="F50" s="18" t="s">
        <v>238</v>
      </c>
      <c r="G50" s="18" t="s">
        <v>239</v>
      </c>
      <c r="H50" s="18" t="s">
        <v>240</v>
      </c>
      <c r="I50" s="254"/>
    </row>
    <row r="51" customFormat="false" ht="11.25" hidden="false" customHeight="false" outlineLevel="0" collapsed="false">
      <c r="A51" s="18" t="s">
        <v>106</v>
      </c>
      <c r="B51" s="18" t="n">
        <v>1998</v>
      </c>
      <c r="C51" s="223" t="n">
        <v>9045313</v>
      </c>
      <c r="D51" s="255" t="n">
        <f aca="false">3485</f>
        <v>3485</v>
      </c>
      <c r="E51" s="256" t="n">
        <v>5.02</v>
      </c>
      <c r="F51" s="255" t="n">
        <f aca="false">D51*E51/100</f>
        <v>174.947</v>
      </c>
      <c r="G51" s="223" t="n">
        <v>132363266</v>
      </c>
      <c r="H51" s="223" t="n">
        <f aca="false">C51/F51</f>
        <v>51703.1615289202</v>
      </c>
      <c r="I51" s="256"/>
    </row>
    <row r="52" customFormat="false" ht="11.25" hidden="false" customHeight="false" outlineLevel="0" collapsed="false">
      <c r="A52" s="18" t="s">
        <v>108</v>
      </c>
      <c r="B52" s="18" t="n">
        <v>1998</v>
      </c>
      <c r="C52" s="223" t="n">
        <v>2139439</v>
      </c>
      <c r="D52" s="255" t="n">
        <f aca="false">1490</f>
        <v>1490</v>
      </c>
      <c r="E52" s="256" t="n">
        <v>2.43</v>
      </c>
      <c r="F52" s="255" t="n">
        <f aca="false">D52*E52/100</f>
        <v>36.207</v>
      </c>
      <c r="G52" s="223" t="n">
        <v>71947343</v>
      </c>
      <c r="H52" s="223" t="n">
        <f aca="false">C52/F52</f>
        <v>59089.0987930511</v>
      </c>
      <c r="I52" s="256"/>
    </row>
    <row r="53" customFormat="false" ht="12" hidden="false" customHeight="false" outlineLevel="0" collapsed="false">
      <c r="A53" s="18" t="s">
        <v>109</v>
      </c>
      <c r="B53" s="18" t="n">
        <v>1998</v>
      </c>
      <c r="C53" s="223" t="n">
        <v>7561583</v>
      </c>
      <c r="D53" s="255" t="n">
        <f aca="false">3058</f>
        <v>3058</v>
      </c>
      <c r="E53" s="256" t="n">
        <v>4.42</v>
      </c>
      <c r="F53" s="255" t="n">
        <f aca="false">D53*E53/100</f>
        <v>135.1636</v>
      </c>
      <c r="G53" s="223" t="n">
        <v>139190297</v>
      </c>
      <c r="H53" s="223" t="n">
        <f aca="false">C53/F53</f>
        <v>55943.9301705489</v>
      </c>
      <c r="I53" s="256"/>
    </row>
    <row r="54" customFormat="false" ht="11.25" hidden="false" customHeight="false" outlineLevel="0" collapsed="false">
      <c r="A54" s="18" t="s">
        <v>110</v>
      </c>
      <c r="B54" s="18" t="n">
        <v>1998</v>
      </c>
      <c r="C54" s="223" t="n">
        <v>1182791</v>
      </c>
      <c r="D54" s="255" t="n">
        <f aca="false">690</f>
        <v>690</v>
      </c>
      <c r="E54" s="256" t="n">
        <v>3.78</v>
      </c>
      <c r="F54" s="255" t="n">
        <f aca="false">D54*E54/100</f>
        <v>26.082</v>
      </c>
      <c r="G54" s="223" t="n">
        <v>22469833</v>
      </c>
      <c r="H54" s="223" t="n">
        <f aca="false">C54/F54</f>
        <v>45348.93796488</v>
      </c>
      <c r="I54" s="256"/>
      <c r="J54" s="8" t="s">
        <v>241</v>
      </c>
      <c r="K54" s="8"/>
      <c r="L54" s="8"/>
      <c r="M54" s="8"/>
      <c r="N54" s="8"/>
      <c r="O54" s="8"/>
    </row>
    <row r="55" customFormat="false" ht="11.25" hidden="false" customHeight="false" outlineLevel="0" collapsed="false">
      <c r="A55" s="18" t="s">
        <v>111</v>
      </c>
      <c r="B55" s="18" t="n">
        <v>1998</v>
      </c>
      <c r="C55" s="223" t="n">
        <v>267088</v>
      </c>
      <c r="D55" s="255" t="n">
        <f aca="false">64</f>
        <v>64</v>
      </c>
      <c r="E55" s="256" t="n">
        <v>7.64</v>
      </c>
      <c r="F55" s="255" t="n">
        <f aca="false">D55*E55/100</f>
        <v>4.8896</v>
      </c>
      <c r="G55" s="223" t="n">
        <v>2608141</v>
      </c>
      <c r="H55" s="223" t="n">
        <f aca="false">C55/F55</f>
        <v>54623.6910994764</v>
      </c>
      <c r="I55" s="256"/>
      <c r="J55" s="202"/>
      <c r="K55" s="237" t="s">
        <v>242</v>
      </c>
      <c r="L55" s="237" t="s">
        <v>224</v>
      </c>
      <c r="M55" s="237" t="s">
        <v>243</v>
      </c>
      <c r="N55" s="237" t="s">
        <v>225</v>
      </c>
      <c r="O55" s="17" t="s">
        <v>244</v>
      </c>
    </row>
    <row r="56" customFormat="false" ht="11.25" hidden="false" customHeight="false" outlineLevel="0" collapsed="false">
      <c r="A56" s="18" t="s">
        <v>113</v>
      </c>
      <c r="B56" s="18" t="n">
        <v>1998</v>
      </c>
      <c r="C56" s="223" t="n">
        <v>7234853</v>
      </c>
      <c r="D56" s="255" t="n">
        <f aca="false">3241</f>
        <v>3241</v>
      </c>
      <c r="E56" s="256" t="n">
        <v>4.79</v>
      </c>
      <c r="F56" s="255" t="n">
        <f aca="false">D56*E56/100</f>
        <v>155.2439</v>
      </c>
      <c r="G56" s="223" t="n">
        <v>122771098</v>
      </c>
      <c r="H56" s="223" t="n">
        <f aca="false">C56/F56</f>
        <v>46603.1386740477</v>
      </c>
      <c r="I56" s="256"/>
      <c r="J56" s="27" t="s">
        <v>226</v>
      </c>
      <c r="K56" s="227" t="n">
        <f aca="false">H58*F58*K60</f>
        <v>2492571.78</v>
      </c>
      <c r="L56" s="227" t="n">
        <f aca="false">H59*F59*K60</f>
        <v>376764.3</v>
      </c>
      <c r="M56" s="227" t="n">
        <f aca="false">H61*F61*K60</f>
        <v>1627760.52</v>
      </c>
      <c r="N56" s="227" t="n">
        <f aca="false">H60*F60*K60</f>
        <v>1547056.26</v>
      </c>
      <c r="O56" s="238" t="n">
        <f aca="false">H66*F66*K60</f>
        <v>897155.28</v>
      </c>
    </row>
    <row r="57" customFormat="false" ht="11.25" hidden="false" customHeight="false" outlineLevel="0" collapsed="false">
      <c r="A57" s="18" t="s">
        <v>114</v>
      </c>
      <c r="B57" s="18" t="n">
        <v>1998</v>
      </c>
      <c r="C57" s="223" t="n">
        <v>264175</v>
      </c>
      <c r="D57" s="255" t="n">
        <f aca="false">80</f>
        <v>80</v>
      </c>
      <c r="E57" s="256" t="n">
        <v>6.82</v>
      </c>
      <c r="F57" s="255" t="n">
        <f aca="false">D57*E57/100</f>
        <v>5.456</v>
      </c>
      <c r="G57" s="223" t="n">
        <v>2854329</v>
      </c>
      <c r="H57" s="223" t="n">
        <f aca="false">C57/F57</f>
        <v>48419.1715542522</v>
      </c>
      <c r="I57" s="256"/>
      <c r="J57" s="239" t="s">
        <v>245</v>
      </c>
      <c r="K57" s="240" t="n">
        <f aca="false">K56*K61</f>
        <v>249257.178</v>
      </c>
      <c r="L57" s="240" t="n">
        <f aca="false">L56*K61</f>
        <v>37676.43</v>
      </c>
      <c r="M57" s="240" t="n">
        <f aca="false">M56*K61</f>
        <v>162776.052</v>
      </c>
      <c r="N57" s="240" t="n">
        <f aca="false">N56*K61</f>
        <v>154705.626</v>
      </c>
      <c r="O57" s="241" t="n">
        <f aca="false">O56*K61</f>
        <v>89715.528</v>
      </c>
    </row>
    <row r="58" customFormat="false" ht="12" hidden="false" customHeight="false" outlineLevel="0" collapsed="false">
      <c r="A58" s="222" t="s">
        <v>246</v>
      </c>
      <c r="C58" s="223" t="n">
        <f aca="false">SUM(C51:C57)</f>
        <v>27695242</v>
      </c>
      <c r="F58" s="254" t="n">
        <f aca="false">SUM(F51:F57)</f>
        <v>537.9891</v>
      </c>
      <c r="G58" s="223"/>
      <c r="H58" s="257" t="n">
        <f aca="false">C58/F58</f>
        <v>51479.1879612431</v>
      </c>
      <c r="I58" s="256"/>
      <c r="J58" s="37" t="s">
        <v>228</v>
      </c>
      <c r="K58" s="242" t="n">
        <f aca="false">K56+K57</f>
        <v>2741828.958</v>
      </c>
      <c r="L58" s="242" t="n">
        <f aca="false">L56+L57</f>
        <v>414440.73</v>
      </c>
      <c r="M58" s="242" t="n">
        <f aca="false">M56+M57</f>
        <v>1790536.572</v>
      </c>
      <c r="N58" s="242" t="n">
        <f aca="false">N56+N57</f>
        <v>1701761.886</v>
      </c>
      <c r="O58" s="243" t="n">
        <f aca="false">O56+O57</f>
        <v>986870.808</v>
      </c>
    </row>
    <row r="59" customFormat="false" ht="11.25" hidden="false" customHeight="false" outlineLevel="0" collapsed="false">
      <c r="A59" s="222" t="s">
        <v>247</v>
      </c>
      <c r="B59" s="18" t="n">
        <v>1998</v>
      </c>
      <c r="C59" s="223" t="n">
        <v>4186270</v>
      </c>
      <c r="D59" s="258" t="n">
        <f aca="false">5527</f>
        <v>5527</v>
      </c>
      <c r="E59" s="259" t="n">
        <v>1.27</v>
      </c>
      <c r="F59" s="255" t="n">
        <f aca="false">D59*E59/100</f>
        <v>70.1929</v>
      </c>
      <c r="G59" s="223" t="n">
        <v>234792794</v>
      </c>
      <c r="H59" s="257" t="n">
        <f aca="false">C59/F59</f>
        <v>59639.5076994967</v>
      </c>
      <c r="I59" s="259"/>
      <c r="J59" s="222"/>
    </row>
    <row r="60" customFormat="false" ht="11.25" hidden="false" customHeight="false" outlineLevel="0" collapsed="false">
      <c r="A60" s="222" t="s">
        <v>117</v>
      </c>
      <c r="B60" s="18" t="n">
        <v>1998</v>
      </c>
      <c r="C60" s="223" t="n">
        <v>17189514</v>
      </c>
      <c r="D60" s="258" t="n">
        <f aca="false">8981</f>
        <v>8981</v>
      </c>
      <c r="E60" s="259" t="n">
        <v>3.15</v>
      </c>
      <c r="F60" s="255" t="n">
        <f aca="false">D60*E60/100</f>
        <v>282.9015</v>
      </c>
      <c r="G60" s="223" t="n">
        <v>427665010</v>
      </c>
      <c r="H60" s="257" t="n">
        <f aca="false">C60/F60</f>
        <v>60761.480585999</v>
      </c>
      <c r="I60" s="259"/>
      <c r="J60" s="260" t="s">
        <v>248</v>
      </c>
      <c r="K60" s="261" t="n">
        <f aca="false">D47</f>
        <v>0.09</v>
      </c>
    </row>
    <row r="61" customFormat="false" ht="11.25" hidden="false" customHeight="false" outlineLevel="0" collapsed="false">
      <c r="A61" s="222" t="s">
        <v>119</v>
      </c>
      <c r="B61" s="18" t="n">
        <v>1998</v>
      </c>
      <c r="C61" s="223" t="n">
        <v>18086228</v>
      </c>
      <c r="D61" s="258" t="n">
        <f aca="false">8388</f>
        <v>8388</v>
      </c>
      <c r="E61" s="259" t="n">
        <v>3.31</v>
      </c>
      <c r="F61" s="255" t="n">
        <f aca="false">D61*E61/100</f>
        <v>277.6428</v>
      </c>
      <c r="G61" s="223" t="n">
        <v>449860437</v>
      </c>
      <c r="H61" s="257" t="n">
        <f aca="false">C61/F61</f>
        <v>65142.0746369076</v>
      </c>
      <c r="I61" s="259"/>
      <c r="J61" s="229" t="s">
        <v>249</v>
      </c>
      <c r="K61" s="262" t="n">
        <v>0.1</v>
      </c>
    </row>
    <row r="62" customFormat="false" ht="11.25" hidden="false" customHeight="false" outlineLevel="0" collapsed="false">
      <c r="A62" s="18" t="s">
        <v>121</v>
      </c>
      <c r="B62" s="18" t="n">
        <v>1998</v>
      </c>
      <c r="C62" s="223" t="n">
        <v>3970509</v>
      </c>
      <c r="D62" s="255" t="n">
        <f aca="false">1778</f>
        <v>1778</v>
      </c>
      <c r="E62" s="256" t="n">
        <v>2.75</v>
      </c>
      <c r="F62" s="255" t="n">
        <f aca="false">D62*E62/100</f>
        <v>48.895</v>
      </c>
      <c r="G62" s="223" t="n">
        <v>117998267</v>
      </c>
      <c r="H62" s="223" t="n">
        <f aca="false">C62/F62</f>
        <v>81204.8062174046</v>
      </c>
      <c r="I62" s="256"/>
    </row>
    <row r="63" customFormat="false" ht="11.25" hidden="false" customHeight="false" outlineLevel="0" collapsed="false">
      <c r="A63" s="18" t="s">
        <v>123</v>
      </c>
      <c r="B63" s="18" t="n">
        <v>1998</v>
      </c>
      <c r="C63" s="223" t="n">
        <v>3430114</v>
      </c>
      <c r="D63" s="255" t="n">
        <f aca="false">1907</f>
        <v>1907</v>
      </c>
      <c r="E63" s="256" t="n">
        <v>3.23</v>
      </c>
      <c r="F63" s="255" t="n">
        <f aca="false">D63*E63/100</f>
        <v>61.5961</v>
      </c>
      <c r="G63" s="223" t="n">
        <v>88834805</v>
      </c>
      <c r="H63" s="223" t="n">
        <f aca="false">C63/F63</f>
        <v>55687.1944814688</v>
      </c>
      <c r="I63" s="256"/>
    </row>
    <row r="64" customFormat="false" ht="11.25" hidden="false" customHeight="false" outlineLevel="0" collapsed="false">
      <c r="A64" s="18" t="s">
        <v>124</v>
      </c>
      <c r="B64" s="18" t="n">
        <v>1998</v>
      </c>
      <c r="C64" s="223" t="n">
        <v>1215232</v>
      </c>
      <c r="D64" s="255" t="n">
        <f aca="false">866</f>
        <v>866</v>
      </c>
      <c r="E64" s="256" t="n">
        <v>2.36</v>
      </c>
      <c r="F64" s="255" t="n">
        <f aca="false">D64*E64/100</f>
        <v>20.4376</v>
      </c>
      <c r="G64" s="223" t="n">
        <v>47010535</v>
      </c>
      <c r="H64" s="223" t="n">
        <f aca="false">C64/F64</f>
        <v>59460.6020276353</v>
      </c>
      <c r="I64" s="256"/>
    </row>
    <row r="65" customFormat="false" ht="11.25" hidden="false" customHeight="false" outlineLevel="0" collapsed="false">
      <c r="A65" s="18" t="s">
        <v>125</v>
      </c>
      <c r="B65" s="18" t="n">
        <v>1998</v>
      </c>
      <c r="C65" s="223" t="n">
        <v>1352537</v>
      </c>
      <c r="D65" s="255" t="n">
        <f aca="false">971</f>
        <v>971</v>
      </c>
      <c r="E65" s="256" t="n">
        <v>1.6</v>
      </c>
      <c r="F65" s="255" t="n">
        <f aca="false">D65*E65/100</f>
        <v>15.536</v>
      </c>
      <c r="G65" s="223" t="n">
        <v>70522183</v>
      </c>
      <c r="H65" s="223" t="n">
        <f aca="false">C65/F65</f>
        <v>87058.2518022657</v>
      </c>
    </row>
    <row r="66" customFormat="false" ht="11.25" hidden="false" customHeight="false" outlineLevel="0" collapsed="false">
      <c r="A66" s="222" t="s">
        <v>250</v>
      </c>
      <c r="C66" s="223" t="n">
        <f aca="false">SUM(C62:C65)</f>
        <v>9968392</v>
      </c>
      <c r="D66" s="223" t="n">
        <f aca="false">SUM(D62:D65)</f>
        <v>5522</v>
      </c>
      <c r="F66" s="255" t="n">
        <f aca="false">SUM(F62:F65)</f>
        <v>146.4647</v>
      </c>
      <c r="H66" s="257" t="n">
        <f aca="false">C66/F66</f>
        <v>68060.0308470232</v>
      </c>
    </row>
    <row r="67" customFormat="false" ht="11.25" hidden="false" customHeight="false" outlineLevel="0" collapsed="false">
      <c r="A67" s="222" t="s">
        <v>251</v>
      </c>
      <c r="E67" s="222"/>
      <c r="F67" s="254" t="n">
        <f aca="false">F58+F59+F60+F61+F66</f>
        <v>1315.191</v>
      </c>
    </row>
    <row r="68" customFormat="false" ht="11.25" hidden="false" customHeight="false" outlineLevel="0" collapsed="false">
      <c r="G68" s="222"/>
      <c r="H68" s="222"/>
    </row>
    <row r="69" customFormat="false" ht="11.25" hidden="false" customHeight="false" outlineLevel="0" collapsed="false">
      <c r="H69" s="222"/>
    </row>
    <row r="70" customFormat="false" ht="11.25" hidden="false" customHeight="false" outlineLevel="0" collapsed="false">
      <c r="A70" s="18" t="s">
        <v>106</v>
      </c>
      <c r="B70" s="18" t="n">
        <v>1997</v>
      </c>
      <c r="C70" s="18" t="n">
        <v>8796175</v>
      </c>
      <c r="E70" s="18" t="n">
        <v>118277743</v>
      </c>
    </row>
    <row r="71" customFormat="false" ht="11.25" hidden="false" customHeight="false" outlineLevel="0" collapsed="false">
      <c r="A71" s="18" t="s">
        <v>108</v>
      </c>
      <c r="B71" s="18" t="n">
        <v>1997</v>
      </c>
      <c r="C71" s="18" t="n">
        <v>2130656</v>
      </c>
      <c r="E71" s="18" t="n">
        <v>71437942</v>
      </c>
    </row>
    <row r="72" customFormat="false" ht="11.25" hidden="false" customHeight="false" outlineLevel="0" collapsed="false">
      <c r="A72" s="18" t="s">
        <v>109</v>
      </c>
      <c r="B72" s="18" t="n">
        <v>1997</v>
      </c>
      <c r="C72" s="18" t="n">
        <v>7183550</v>
      </c>
      <c r="E72" s="18" t="n">
        <v>140181961</v>
      </c>
    </row>
    <row r="73" customFormat="false" ht="11.25" hidden="false" customHeight="false" outlineLevel="0" collapsed="false">
      <c r="A73" s="18" t="s">
        <v>110</v>
      </c>
      <c r="B73" s="18" t="n">
        <v>1997</v>
      </c>
      <c r="C73" s="18" t="n">
        <v>1026397</v>
      </c>
      <c r="E73" s="18" t="n">
        <v>24729389</v>
      </c>
    </row>
    <row r="74" customFormat="false" ht="11.25" hidden="false" customHeight="false" outlineLevel="0" collapsed="false">
      <c r="A74" s="18" t="s">
        <v>111</v>
      </c>
      <c r="B74" s="18" t="n">
        <v>1997</v>
      </c>
      <c r="C74" s="18" t="n">
        <v>301169</v>
      </c>
      <c r="E74" s="18" t="n">
        <v>2684382</v>
      </c>
    </row>
    <row r="75" customFormat="false" ht="11.25" hidden="false" customHeight="false" outlineLevel="0" collapsed="false">
      <c r="A75" s="18" t="s">
        <v>113</v>
      </c>
      <c r="B75" s="18" t="n">
        <v>1997</v>
      </c>
      <c r="C75" s="18" t="n">
        <v>7245623</v>
      </c>
      <c r="E75" s="18" t="n">
        <v>121200898</v>
      </c>
    </row>
    <row r="76" customFormat="false" ht="11.25" hidden="false" customHeight="false" outlineLevel="0" collapsed="false">
      <c r="A76" s="18" t="s">
        <v>114</v>
      </c>
      <c r="B76" s="18" t="n">
        <v>1997</v>
      </c>
      <c r="C76" s="18" t="n">
        <v>275877</v>
      </c>
      <c r="E76" s="18" t="n">
        <v>3026751</v>
      </c>
    </row>
    <row r="77" customFormat="false" ht="11.25" hidden="false" customHeight="false" outlineLevel="0" collapsed="false">
      <c r="A77" s="18" t="s">
        <v>247</v>
      </c>
      <c r="B77" s="18" t="n">
        <v>1997</v>
      </c>
      <c r="C77" s="18" t="n">
        <v>3967341</v>
      </c>
      <c r="E77" s="18" t="n">
        <v>222813003</v>
      </c>
    </row>
    <row r="78" customFormat="false" ht="11.25" hidden="false" customHeight="false" outlineLevel="0" collapsed="false">
      <c r="A78" s="18" t="s">
        <v>117</v>
      </c>
      <c r="B78" s="18" t="n">
        <v>1997</v>
      </c>
      <c r="C78" s="18" t="n">
        <v>14255957</v>
      </c>
      <c r="E78" s="18" t="n">
        <v>420570801</v>
      </c>
    </row>
    <row r="79" customFormat="false" ht="11.25" hidden="false" customHeight="false" outlineLevel="0" collapsed="false">
      <c r="A79" s="18" t="s">
        <v>119</v>
      </c>
      <c r="B79" s="18" t="n">
        <v>1997</v>
      </c>
      <c r="C79" s="18" t="n">
        <v>15837118</v>
      </c>
      <c r="E79" s="18" t="n">
        <v>403043410</v>
      </c>
    </row>
    <row r="80" customFormat="false" ht="11.25" hidden="false" customHeight="false" outlineLevel="0" collapsed="false">
      <c r="A80" s="18" t="s">
        <v>121</v>
      </c>
      <c r="B80" s="18" t="n">
        <v>1997</v>
      </c>
      <c r="C80" s="18" t="n">
        <v>5566038</v>
      </c>
      <c r="E80" s="18" t="n">
        <v>86573096</v>
      </c>
    </row>
    <row r="81" customFormat="false" ht="11.25" hidden="false" customHeight="false" outlineLevel="0" collapsed="false">
      <c r="A81" s="18" t="s">
        <v>123</v>
      </c>
      <c r="B81" s="18" t="n">
        <v>1997</v>
      </c>
      <c r="C81" s="18" t="n">
        <v>6712621</v>
      </c>
      <c r="E81" s="18" t="n">
        <v>131743506</v>
      </c>
    </row>
    <row r="82" customFormat="false" ht="11.25" hidden="false" customHeight="false" outlineLevel="0" collapsed="false">
      <c r="A82" s="18" t="s">
        <v>124</v>
      </c>
      <c r="B82" s="18" t="n">
        <v>1997</v>
      </c>
      <c r="C82" s="18" t="n">
        <v>1704174</v>
      </c>
      <c r="E82" s="18" t="n">
        <v>22814882</v>
      </c>
    </row>
    <row r="83" customFormat="false" ht="11.25" hidden="false" customHeight="false" outlineLevel="0" collapsed="false">
      <c r="A83" s="18" t="s">
        <v>125</v>
      </c>
      <c r="B83" s="18" t="n">
        <v>1997</v>
      </c>
      <c r="C83" s="18" t="n">
        <v>1470541</v>
      </c>
      <c r="E83" s="18" t="n">
        <v>48926837</v>
      </c>
    </row>
    <row r="84" customFormat="false" ht="11.25" hidden="false" customHeight="false" outlineLevel="0" collapsed="false">
      <c r="A84" s="18" t="s">
        <v>106</v>
      </c>
      <c r="B84" s="18" t="n">
        <v>1996</v>
      </c>
      <c r="C84" s="18" t="n">
        <v>10052540</v>
      </c>
      <c r="E84" s="18" t="n">
        <v>127620876</v>
      </c>
    </row>
    <row r="85" customFormat="false" ht="11.25" hidden="false" customHeight="false" outlineLevel="0" collapsed="false">
      <c r="A85" s="18" t="s">
        <v>108</v>
      </c>
      <c r="B85" s="18" t="n">
        <v>1996</v>
      </c>
      <c r="C85" s="18" t="n">
        <v>3337837</v>
      </c>
      <c r="E85" s="18" t="n">
        <v>74003053</v>
      </c>
    </row>
    <row r="86" customFormat="false" ht="11.25" hidden="false" customHeight="false" outlineLevel="0" collapsed="false">
      <c r="A86" s="18" t="s">
        <v>109</v>
      </c>
      <c r="B86" s="18" t="n">
        <v>1996</v>
      </c>
      <c r="C86" s="18" t="n">
        <v>7747155</v>
      </c>
      <c r="E86" s="18" t="n">
        <v>126379204</v>
      </c>
    </row>
    <row r="87" customFormat="false" ht="11.25" hidden="false" customHeight="false" outlineLevel="0" collapsed="false">
      <c r="A87" s="18" t="s">
        <v>110</v>
      </c>
      <c r="B87" s="18" t="n">
        <v>1996</v>
      </c>
      <c r="C87" s="18" t="n">
        <v>1097187</v>
      </c>
      <c r="E87" s="18" t="n">
        <v>26362900</v>
      </c>
    </row>
    <row r="88" customFormat="false" ht="11.25" hidden="false" customHeight="false" outlineLevel="0" collapsed="false">
      <c r="A88" s="18" t="s">
        <v>111</v>
      </c>
      <c r="B88" s="18" t="n">
        <v>1996</v>
      </c>
      <c r="C88" s="18" t="n">
        <v>252259</v>
      </c>
      <c r="E88" s="18" t="n">
        <v>3255794</v>
      </c>
    </row>
    <row r="89" customFormat="false" ht="11.25" hidden="false" customHeight="false" outlineLevel="0" collapsed="false">
      <c r="A89" s="18" t="s">
        <v>113</v>
      </c>
      <c r="B89" s="18" t="n">
        <v>1996</v>
      </c>
      <c r="C89" s="18" t="n">
        <v>7257659</v>
      </c>
      <c r="E89" s="18" t="n">
        <v>132938891</v>
      </c>
    </row>
    <row r="90" customFormat="false" ht="11.25" hidden="false" customHeight="false" outlineLevel="0" collapsed="false">
      <c r="A90" s="18" t="s">
        <v>114</v>
      </c>
      <c r="B90" s="18" t="n">
        <v>1996</v>
      </c>
      <c r="C90" s="18" t="n">
        <v>149460</v>
      </c>
      <c r="E90" s="18" t="n">
        <v>3260110</v>
      </c>
    </row>
    <row r="91" customFormat="false" ht="11.25" hidden="false" customHeight="false" outlineLevel="0" collapsed="false">
      <c r="A91" s="18" t="s">
        <v>247</v>
      </c>
      <c r="B91" s="18" t="n">
        <v>1996</v>
      </c>
      <c r="C91" s="18" t="n">
        <v>3741362</v>
      </c>
      <c r="E91" s="18" t="n">
        <v>231212760</v>
      </c>
    </row>
    <row r="92" customFormat="false" ht="11.25" hidden="false" customHeight="false" outlineLevel="0" collapsed="false">
      <c r="A92" s="18" t="s">
        <v>117</v>
      </c>
      <c r="B92" s="18" t="n">
        <v>1996</v>
      </c>
      <c r="C92" s="18" t="n">
        <v>12287820</v>
      </c>
      <c r="E92" s="18" t="n">
        <v>454827274</v>
      </c>
    </row>
    <row r="93" customFormat="false" ht="11.25" hidden="false" customHeight="false" outlineLevel="0" collapsed="false">
      <c r="A93" s="18" t="s">
        <v>119</v>
      </c>
      <c r="B93" s="18" t="n">
        <v>1996</v>
      </c>
      <c r="C93" s="18" t="n">
        <v>14016090</v>
      </c>
      <c r="E93" s="18" t="n">
        <v>421462026</v>
      </c>
    </row>
    <row r="94" customFormat="false" ht="11.25" hidden="false" customHeight="false" outlineLevel="0" collapsed="false">
      <c r="A94" s="18" t="s">
        <v>121</v>
      </c>
      <c r="B94" s="18" t="n">
        <v>1996</v>
      </c>
      <c r="C94" s="18" t="n">
        <v>6459797</v>
      </c>
      <c r="E94" s="18" t="n">
        <v>94838524</v>
      </c>
    </row>
    <row r="95" customFormat="false" ht="11.25" hidden="false" customHeight="false" outlineLevel="0" collapsed="false">
      <c r="A95" s="18" t="s">
        <v>123</v>
      </c>
      <c r="B95" s="18" t="n">
        <v>1996</v>
      </c>
      <c r="C95" s="18" t="n">
        <v>7000460</v>
      </c>
      <c r="E95" s="18" t="n">
        <v>138261433</v>
      </c>
    </row>
    <row r="96" customFormat="false" ht="11.25" hidden="false" customHeight="false" outlineLevel="0" collapsed="false">
      <c r="A96" s="18" t="s">
        <v>124</v>
      </c>
      <c r="B96" s="18" t="n">
        <v>1996</v>
      </c>
      <c r="C96" s="18" t="n">
        <v>1635914</v>
      </c>
      <c r="E96" s="18" t="n">
        <v>23205691</v>
      </c>
    </row>
    <row r="97" customFormat="false" ht="11.25" hidden="false" customHeight="false" outlineLevel="0" collapsed="false">
      <c r="A97" s="18" t="s">
        <v>125</v>
      </c>
      <c r="B97" s="18" t="n">
        <v>1996</v>
      </c>
      <c r="C97" s="18" t="n">
        <v>2011443</v>
      </c>
      <c r="E97" s="18" t="n">
        <v>54391830</v>
      </c>
    </row>
    <row r="99" customFormat="false" ht="12" hidden="false" customHeight="false" outlineLevel="0" collapsed="false">
      <c r="A99" s="38"/>
      <c r="B99" s="38"/>
      <c r="C99" s="38"/>
      <c r="D99" s="38"/>
      <c r="E99" s="38"/>
      <c r="F99" s="38"/>
      <c r="G99" s="38"/>
      <c r="H99" s="38"/>
      <c r="I99" s="38"/>
      <c r="J99" s="38"/>
      <c r="K99" s="38"/>
      <c r="L99" s="38"/>
      <c r="M99" s="38"/>
    </row>
    <row r="101" customFormat="false" ht="11.25" hidden="false" customHeight="false" outlineLevel="0" collapsed="false">
      <c r="A101" s="18" t="s">
        <v>252</v>
      </c>
      <c r="I101" s="18" t="s">
        <v>253</v>
      </c>
    </row>
    <row r="102" customFormat="false" ht="12" hidden="false" customHeight="false" outlineLevel="0" collapsed="false">
      <c r="N102" s="38"/>
      <c r="O102" s="38"/>
      <c r="P102" s="38"/>
      <c r="Q102" s="38"/>
      <c r="R102" s="38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F102" s="38"/>
      <c r="AG102" s="38"/>
      <c r="AH102" s="38"/>
      <c r="AI102" s="38"/>
      <c r="AJ102" s="38"/>
      <c r="AK102" s="38"/>
      <c r="AL102" s="38"/>
      <c r="AM102" s="38"/>
      <c r="AN102" s="38"/>
      <c r="AO102" s="38"/>
      <c r="AP102" s="38"/>
      <c r="AQ102" s="38"/>
      <c r="AR102" s="38"/>
      <c r="AS102" s="38"/>
      <c r="AT102" s="38"/>
      <c r="AU102" s="38"/>
      <c r="AV102" s="38"/>
      <c r="AW102" s="38"/>
      <c r="AX102" s="38"/>
      <c r="AY102" s="38"/>
      <c r="AZ102" s="38"/>
      <c r="BA102" s="38"/>
      <c r="BB102" s="38"/>
      <c r="BC102" s="38"/>
      <c r="BD102" s="38"/>
      <c r="BE102" s="38"/>
      <c r="BF102" s="38"/>
      <c r="BG102" s="38"/>
      <c r="BH102" s="38"/>
      <c r="BI102" s="38"/>
      <c r="BJ102" s="38"/>
      <c r="BK102" s="38"/>
      <c r="BL102" s="38"/>
      <c r="BM102" s="38"/>
      <c r="BN102" s="38"/>
      <c r="BO102" s="38"/>
      <c r="BP102" s="38"/>
      <c r="BQ102" s="38"/>
      <c r="BR102" s="38"/>
      <c r="BS102" s="38"/>
      <c r="BT102" s="38"/>
      <c r="BU102" s="38"/>
      <c r="BV102" s="38"/>
      <c r="BW102" s="38"/>
      <c r="BX102" s="38"/>
      <c r="BY102" s="38"/>
      <c r="BZ102" s="38"/>
      <c r="CA102" s="38"/>
      <c r="CB102" s="38"/>
      <c r="CC102" s="38"/>
      <c r="CD102" s="38"/>
      <c r="CE102" s="38"/>
      <c r="CF102" s="38"/>
      <c r="CG102" s="38"/>
      <c r="CH102" s="38"/>
      <c r="CI102" s="38"/>
      <c r="CJ102" s="38"/>
      <c r="CK102" s="38"/>
      <c r="CL102" s="38"/>
      <c r="CM102" s="38"/>
      <c r="CN102" s="38"/>
      <c r="CO102" s="38"/>
      <c r="CP102" s="38"/>
      <c r="CQ102" s="38"/>
      <c r="CR102" s="38"/>
      <c r="CS102" s="38"/>
      <c r="CT102" s="38"/>
      <c r="CU102" s="38"/>
      <c r="CV102" s="38"/>
      <c r="CW102" s="38"/>
      <c r="CX102" s="38"/>
      <c r="CY102" s="38"/>
      <c r="CZ102" s="38"/>
      <c r="DA102" s="38"/>
      <c r="DB102" s="38"/>
      <c r="DC102" s="38"/>
      <c r="DD102" s="38"/>
      <c r="DE102" s="38"/>
      <c r="DF102" s="38"/>
      <c r="DG102" s="38"/>
      <c r="DH102" s="38"/>
      <c r="DI102" s="38"/>
      <c r="DJ102" s="38"/>
      <c r="DK102" s="38"/>
      <c r="DL102" s="38"/>
      <c r="DM102" s="38"/>
      <c r="DN102" s="38"/>
      <c r="DO102" s="38"/>
      <c r="DP102" s="38"/>
      <c r="DQ102" s="38"/>
      <c r="DR102" s="38"/>
      <c r="DS102" s="38"/>
      <c r="DT102" s="38"/>
      <c r="DU102" s="38"/>
      <c r="DV102" s="38"/>
      <c r="DW102" s="38"/>
      <c r="DX102" s="38"/>
      <c r="DY102" s="38"/>
      <c r="DZ102" s="38"/>
      <c r="EA102" s="38"/>
      <c r="EB102" s="38"/>
      <c r="EC102" s="38"/>
      <c r="ED102" s="38"/>
      <c r="EE102" s="38"/>
      <c r="EF102" s="38"/>
      <c r="EG102" s="38"/>
      <c r="EH102" s="38"/>
      <c r="EI102" s="38"/>
      <c r="EJ102" s="38"/>
      <c r="EK102" s="38"/>
      <c r="EL102" s="38"/>
      <c r="EM102" s="38"/>
      <c r="EN102" s="38"/>
      <c r="EO102" s="38"/>
      <c r="EP102" s="38"/>
      <c r="EQ102" s="38"/>
      <c r="ER102" s="38"/>
      <c r="ES102" s="38"/>
      <c r="ET102" s="38"/>
      <c r="EU102" s="38"/>
      <c r="EV102" s="38"/>
      <c r="EW102" s="38"/>
      <c r="EX102" s="38"/>
      <c r="EY102" s="38"/>
      <c r="EZ102" s="38"/>
      <c r="FA102" s="38"/>
      <c r="FB102" s="38"/>
      <c r="FC102" s="38"/>
      <c r="FD102" s="38"/>
      <c r="FE102" s="38"/>
      <c r="FF102" s="38"/>
      <c r="FG102" s="38"/>
      <c r="FH102" s="38"/>
      <c r="FI102" s="38"/>
      <c r="FJ102" s="38"/>
      <c r="FK102" s="38"/>
      <c r="FL102" s="38"/>
      <c r="FM102" s="38"/>
      <c r="FN102" s="38"/>
      <c r="FO102" s="38"/>
      <c r="FP102" s="38"/>
      <c r="FQ102" s="38"/>
      <c r="FR102" s="38"/>
      <c r="FS102" s="38"/>
      <c r="FT102" s="38"/>
      <c r="FU102" s="38"/>
      <c r="FV102" s="38"/>
      <c r="FW102" s="38"/>
      <c r="FX102" s="38"/>
      <c r="FY102" s="38"/>
      <c r="FZ102" s="38"/>
      <c r="GA102" s="38"/>
      <c r="GB102" s="38"/>
      <c r="GC102" s="38"/>
      <c r="GD102" s="38"/>
      <c r="GE102" s="38"/>
      <c r="GF102" s="38"/>
      <c r="GG102" s="38"/>
      <c r="GH102" s="38"/>
      <c r="GI102" s="38"/>
      <c r="GJ102" s="38"/>
      <c r="GK102" s="38"/>
      <c r="GL102" s="38"/>
      <c r="GM102" s="38"/>
      <c r="GN102" s="38"/>
      <c r="GO102" s="38"/>
      <c r="GP102" s="38"/>
      <c r="GQ102" s="38"/>
      <c r="GR102" s="38"/>
      <c r="GS102" s="38"/>
      <c r="GT102" s="38"/>
      <c r="GU102" s="38"/>
      <c r="GV102" s="38"/>
      <c r="GW102" s="38"/>
      <c r="GX102" s="38"/>
      <c r="GY102" s="38"/>
      <c r="GZ102" s="38"/>
      <c r="HA102" s="38"/>
      <c r="HB102" s="38"/>
      <c r="HC102" s="38"/>
      <c r="HD102" s="38"/>
      <c r="HE102" s="38"/>
      <c r="HF102" s="38"/>
      <c r="HG102" s="38"/>
      <c r="HH102" s="38"/>
      <c r="HI102" s="38"/>
      <c r="HJ102" s="38"/>
      <c r="HK102" s="38"/>
      <c r="HL102" s="38"/>
      <c r="HM102" s="38"/>
      <c r="HN102" s="38"/>
      <c r="HO102" s="38"/>
      <c r="HP102" s="38"/>
      <c r="HQ102" s="38"/>
      <c r="HR102" s="38"/>
      <c r="HS102" s="38"/>
      <c r="HT102" s="38"/>
      <c r="HU102" s="38"/>
      <c r="HV102" s="38"/>
      <c r="HW102" s="38"/>
      <c r="HX102" s="38"/>
      <c r="HY102" s="38"/>
      <c r="HZ102" s="38"/>
      <c r="IA102" s="38"/>
      <c r="IB102" s="38"/>
      <c r="IC102" s="38"/>
      <c r="ID102" s="38"/>
      <c r="IE102" s="38"/>
      <c r="IF102" s="38"/>
      <c r="IG102" s="38"/>
      <c r="IH102" s="38"/>
      <c r="II102" s="38"/>
      <c r="IJ102" s="38"/>
      <c r="IK102" s="38"/>
      <c r="IL102" s="38"/>
      <c r="IM102" s="38"/>
      <c r="IN102" s="38"/>
      <c r="IO102" s="38"/>
      <c r="IP102" s="38"/>
      <c r="IQ102" s="38"/>
      <c r="IR102" s="38"/>
      <c r="IS102" s="38"/>
      <c r="IT102" s="38"/>
      <c r="IU102" s="38"/>
      <c r="IV102" s="38"/>
      <c r="IW102" s="38"/>
    </row>
    <row r="103" customFormat="false" ht="11.25" hidden="false" customHeight="false" outlineLevel="0" collapsed="false">
      <c r="B103" s="263" t="s">
        <v>95</v>
      </c>
      <c r="C103" s="263" t="s">
        <v>96</v>
      </c>
      <c r="D103" s="263" t="s">
        <v>97</v>
      </c>
      <c r="E103" s="263"/>
      <c r="F103" s="263" t="s">
        <v>88</v>
      </c>
      <c r="G103" s="263" t="s">
        <v>89</v>
      </c>
      <c r="J103" s="18" t="s">
        <v>95</v>
      </c>
      <c r="K103" s="18" t="s">
        <v>96</v>
      </c>
      <c r="L103" s="18" t="s">
        <v>97</v>
      </c>
    </row>
    <row r="104" customFormat="false" ht="11.25" hidden="false" customHeight="false" outlineLevel="0" collapsed="false">
      <c r="A104" s="18" t="n">
        <v>1992</v>
      </c>
      <c r="B104" s="18" t="n">
        <v>1534</v>
      </c>
      <c r="C104" s="18" t="n">
        <v>639</v>
      </c>
      <c r="D104" s="18" t="n">
        <v>1923</v>
      </c>
      <c r="F104" s="18" t="n">
        <v>1551</v>
      </c>
      <c r="G104" s="18" t="n">
        <v>441</v>
      </c>
      <c r="I104" s="18" t="n">
        <v>1992</v>
      </c>
      <c r="J104" s="223" t="n">
        <v>484095791</v>
      </c>
      <c r="K104" s="223" t="n">
        <v>773261839</v>
      </c>
      <c r="L104" s="223" t="n">
        <v>683774853</v>
      </c>
    </row>
    <row r="105" customFormat="false" ht="11.25" hidden="false" customHeight="false" outlineLevel="0" collapsed="false">
      <c r="A105" s="18" t="n">
        <v>1993</v>
      </c>
      <c r="B105" s="18" t="n">
        <v>1184</v>
      </c>
      <c r="C105" s="18" t="n">
        <v>610</v>
      </c>
      <c r="D105" s="18" t="n">
        <v>1838</v>
      </c>
      <c r="F105" s="18" t="n">
        <v>1165</v>
      </c>
      <c r="G105" s="18" t="n">
        <v>358</v>
      </c>
      <c r="I105" s="18" t="n">
        <v>1993</v>
      </c>
      <c r="J105" s="223" t="n">
        <v>428764121</v>
      </c>
      <c r="K105" s="223" t="n">
        <v>440270698</v>
      </c>
      <c r="L105" s="223" t="n">
        <v>1026951052</v>
      </c>
    </row>
    <row r="106" customFormat="false" ht="11.25" hidden="false" customHeight="false" outlineLevel="0" collapsed="false">
      <c r="A106" s="18" t="n">
        <v>1994</v>
      </c>
      <c r="B106" s="18" t="n">
        <v>1107</v>
      </c>
      <c r="C106" s="18" t="n">
        <v>589</v>
      </c>
      <c r="D106" s="18" t="n">
        <v>1734</v>
      </c>
      <c r="F106" s="18" t="n">
        <v>1229</v>
      </c>
      <c r="G106" s="18" t="n">
        <v>375</v>
      </c>
      <c r="I106" s="18" t="n">
        <v>1994</v>
      </c>
      <c r="J106" s="223" t="n">
        <v>384771104</v>
      </c>
      <c r="K106" s="223" t="n">
        <v>352193770</v>
      </c>
      <c r="L106" s="223" t="n">
        <v>488753661</v>
      </c>
    </row>
    <row r="107" customFormat="false" ht="11.25" hidden="false" customHeight="false" outlineLevel="0" collapsed="false">
      <c r="A107" s="18" t="n">
        <v>1995</v>
      </c>
      <c r="B107" s="18" t="n">
        <v>967</v>
      </c>
      <c r="C107" s="18" t="n">
        <v>573</v>
      </c>
      <c r="D107" s="18" t="n">
        <v>1541</v>
      </c>
      <c r="F107" s="18" t="n">
        <v>1188</v>
      </c>
      <c r="G107" s="18" t="n">
        <v>251</v>
      </c>
      <c r="I107" s="18" t="n">
        <v>1995</v>
      </c>
      <c r="J107" s="223" t="n">
        <v>369718664</v>
      </c>
      <c r="K107" s="223" t="n">
        <v>158314714</v>
      </c>
      <c r="L107" s="223" t="n">
        <v>501084776</v>
      </c>
    </row>
    <row r="109" customFormat="false" ht="11.25" hidden="false" customHeight="false" outlineLevel="0" collapsed="false">
      <c r="A109" s="18" t="s">
        <v>254</v>
      </c>
      <c r="B109" s="264" t="n">
        <f aca="false">(B107/B104)^0.333333333-1</f>
        <v>-0.142566649794595</v>
      </c>
      <c r="C109" s="264" t="n">
        <f aca="false">(C107/C104)^0.333333333-1</f>
        <v>-0.0356872226691815</v>
      </c>
      <c r="D109" s="264" t="n">
        <f aca="false">(D107/D104)^0.333333333-1</f>
        <v>-0.0711595542917678</v>
      </c>
      <c r="E109" s="264"/>
      <c r="F109" s="264" t="n">
        <f aca="false">(F107/F104)^0.333333333-1</f>
        <v>-0.0850411807428554</v>
      </c>
      <c r="G109" s="264" t="n">
        <f aca="false">(G107/G104)^0.333333333-1</f>
        <v>-0.171272575755587</v>
      </c>
      <c r="I109" s="265" t="s">
        <v>255</v>
      </c>
      <c r="J109" s="18" t="s">
        <v>95</v>
      </c>
      <c r="K109" s="18" t="s">
        <v>96</v>
      </c>
      <c r="L109" s="18" t="s">
        <v>97</v>
      </c>
    </row>
    <row r="110" customFormat="false" ht="11.25" hidden="false" customHeight="false" outlineLevel="0" collapsed="false">
      <c r="B110" s="264"/>
      <c r="C110" s="266"/>
      <c r="D110" s="266"/>
      <c r="E110" s="266"/>
      <c r="I110" s="18" t="n">
        <v>1992</v>
      </c>
      <c r="J110" s="223" t="n">
        <f aca="false">J104/B104</f>
        <v>315577.438722295</v>
      </c>
      <c r="K110" s="223" t="n">
        <f aca="false">K104/C104</f>
        <v>1210112.42410016</v>
      </c>
      <c r="L110" s="223" t="n">
        <f aca="false">L104/D104</f>
        <v>355577.146645866</v>
      </c>
    </row>
    <row r="111" customFormat="false" ht="11.25" hidden="false" customHeight="false" outlineLevel="0" collapsed="false">
      <c r="A111" s="18" t="s">
        <v>256</v>
      </c>
      <c r="B111" s="266"/>
      <c r="C111" s="266"/>
      <c r="D111" s="266"/>
      <c r="E111" s="266"/>
      <c r="I111" s="18" t="n">
        <v>1993</v>
      </c>
      <c r="J111" s="223" t="n">
        <f aca="false">J105/B105</f>
        <v>362131.858952703</v>
      </c>
      <c r="K111" s="223" t="n">
        <f aca="false">K105/C105</f>
        <v>721755.242622951</v>
      </c>
      <c r="L111" s="223" t="n">
        <f aca="false">L105/D105</f>
        <v>558732.890097933</v>
      </c>
    </row>
    <row r="112" customFormat="false" ht="11.25" hidden="false" customHeight="false" outlineLevel="0" collapsed="false">
      <c r="A112" s="18" t="n">
        <v>1993</v>
      </c>
      <c r="B112" s="264" t="n">
        <f aca="false">(B104-B105)/B104</f>
        <v>0.228161668839635</v>
      </c>
      <c r="C112" s="264" t="n">
        <f aca="false">(C104-C105)/C104</f>
        <v>0.0453834115805947</v>
      </c>
      <c r="D112" s="264" t="n">
        <f aca="false">(D104-D105)/D104</f>
        <v>0.0442017680707228</v>
      </c>
      <c r="E112" s="264"/>
      <c r="F112" s="264" t="n">
        <f aca="false">(F104-F105)/F104</f>
        <v>0.248871695680206</v>
      </c>
      <c r="G112" s="264" t="n">
        <f aca="false">(G104-G105)/G104</f>
        <v>0.188208616780045</v>
      </c>
      <c r="I112" s="18" t="n">
        <v>1994</v>
      </c>
      <c r="J112" s="223" t="n">
        <f aca="false">J106/B106</f>
        <v>347580.039747064</v>
      </c>
      <c r="K112" s="223" t="n">
        <f aca="false">K106/C106</f>
        <v>597952.071307301</v>
      </c>
      <c r="L112" s="223" t="n">
        <f aca="false">L106/D106</f>
        <v>281864.856401384</v>
      </c>
    </row>
    <row r="113" customFormat="false" ht="11.25" hidden="false" customHeight="false" outlineLevel="0" collapsed="false">
      <c r="A113" s="18" t="n">
        <v>1994</v>
      </c>
      <c r="B113" s="264" t="n">
        <f aca="false">(B105-B106)/B105</f>
        <v>0.0650337837837838</v>
      </c>
      <c r="C113" s="264" t="n">
        <f aca="false">(C105-C106)/C105</f>
        <v>0.0344262295081967</v>
      </c>
      <c r="D113" s="264" t="n">
        <f aca="false">(D105-D106)/D105</f>
        <v>0.0565832426550598</v>
      </c>
      <c r="E113" s="264"/>
      <c r="F113" s="264" t="n">
        <f aca="false">(F105-F106)/F105</f>
        <v>-0.0549356223175966</v>
      </c>
      <c r="G113" s="264" t="n">
        <f aca="false">(G105-G106)/G105</f>
        <v>-0.0474860335195531</v>
      </c>
      <c r="I113" s="18" t="n">
        <v>1995</v>
      </c>
      <c r="J113" s="223" t="n">
        <f aca="false">J107/B107</f>
        <v>382335.743536712</v>
      </c>
      <c r="K113" s="223" t="n">
        <f aca="false">K107/C107</f>
        <v>276290.94938918</v>
      </c>
      <c r="L113" s="223" t="n">
        <f aca="false">L107/D107</f>
        <v>325168.576249189</v>
      </c>
    </row>
    <row r="114" customFormat="false" ht="11.25" hidden="false" customHeight="false" outlineLevel="0" collapsed="false">
      <c r="A114" s="18" t="n">
        <v>1995</v>
      </c>
      <c r="B114" s="264" t="n">
        <f aca="false">(B106-B107)/B106</f>
        <v>0.12646793134598</v>
      </c>
      <c r="C114" s="264" t="n">
        <f aca="false">(C106-C107)/C106</f>
        <v>0.0271646859083192</v>
      </c>
      <c r="D114" s="264" t="n">
        <f aca="false">(D106-D107)/D106</f>
        <v>0.111303344867359</v>
      </c>
      <c r="E114" s="264"/>
      <c r="F114" s="264" t="n">
        <f aca="false">(F106-F107)/F106</f>
        <v>0.0333604556550041</v>
      </c>
      <c r="G114" s="264" t="n">
        <f aca="false">(G106-G107)/G106</f>
        <v>0.330666666666667</v>
      </c>
      <c r="J114" s="223"/>
      <c r="K114" s="223"/>
      <c r="L114" s="223"/>
    </row>
    <row r="115" customFormat="false" ht="11.25" hidden="false" customHeight="false" outlineLevel="0" collapsed="false">
      <c r="B115" s="264"/>
      <c r="C115" s="264"/>
      <c r="D115" s="264"/>
      <c r="E115" s="264"/>
      <c r="F115" s="264"/>
      <c r="G115" s="264"/>
      <c r="J115" s="223"/>
      <c r="K115" s="223"/>
      <c r="L115" s="223"/>
    </row>
    <row r="116" customFormat="false" ht="11.25" hidden="false" customHeight="false" outlineLevel="0" collapsed="false">
      <c r="A116" s="18" t="s">
        <v>257</v>
      </c>
    </row>
    <row r="117" customFormat="false" ht="11.25" hidden="false" customHeight="false" outlineLevel="0" collapsed="false">
      <c r="A117" s="18" t="n">
        <v>1995</v>
      </c>
      <c r="B117" s="18" t="n">
        <v>967</v>
      </c>
      <c r="C117" s="18" t="n">
        <v>573</v>
      </c>
      <c r="D117" s="18" t="n">
        <v>1541</v>
      </c>
      <c r="F117" s="18" t="n">
        <v>1188</v>
      </c>
      <c r="G117" s="18" t="n">
        <v>251</v>
      </c>
    </row>
    <row r="118" customFormat="false" ht="11.25" hidden="false" customHeight="false" outlineLevel="0" collapsed="false">
      <c r="A118" s="18" t="n">
        <v>1996</v>
      </c>
      <c r="B118" s="267" t="n">
        <f aca="false">B117*(1+$B$109)</f>
        <v>829.138049648627</v>
      </c>
      <c r="C118" s="267" t="n">
        <f aca="false">C117*(1+$C$109)</f>
        <v>552.551221410559</v>
      </c>
      <c r="D118" s="267" t="n">
        <f aca="false">D117*(1+$D$109)</f>
        <v>1431.34312683639</v>
      </c>
      <c r="E118" s="267"/>
      <c r="F118" s="267" t="n">
        <f aca="false">F117*(1+$D$109)</f>
        <v>1103.46244950138</v>
      </c>
      <c r="G118" s="267" t="n">
        <f aca="false">G117*(1+$D$109)</f>
        <v>233.138951872766</v>
      </c>
    </row>
    <row r="119" customFormat="false" ht="11.25" hidden="false" customHeight="false" outlineLevel="0" collapsed="false">
      <c r="A119" s="18" t="n">
        <v>1997</v>
      </c>
      <c r="B119" s="267" t="n">
        <f aca="false">B118*(1+$B$109)</f>
        <v>710.930615692997</v>
      </c>
      <c r="C119" s="267" t="n">
        <f aca="false">C118*(1+$C$109)</f>
        <v>532.832202935952</v>
      </c>
      <c r="D119" s="267" t="n">
        <f aca="false">D118*(1+$D$109)</f>
        <v>1329.48938789212</v>
      </c>
      <c r="E119" s="267"/>
      <c r="F119" s="267" t="n">
        <f aca="false">F118*(1+$D$109)</f>
        <v>1024.94055341716</v>
      </c>
      <c r="G119" s="267" t="n">
        <f aca="false">G118*(1+$D$109)</f>
        <v>216.54888796945</v>
      </c>
    </row>
    <row r="120" customFormat="false" ht="11.25" hidden="false" customHeight="false" outlineLevel="0" collapsed="false">
      <c r="A120" s="18" t="n">
        <v>1998</v>
      </c>
      <c r="B120" s="267" t="n">
        <f aca="false">B119*(1+$B$109)</f>
        <v>609.575619577238</v>
      </c>
      <c r="C120" s="267" t="n">
        <f aca="false">C119*(1+$C$109)</f>
        <v>513.816901464466</v>
      </c>
      <c r="D120" s="267" t="n">
        <f aca="false">D119*(1+$D$109)</f>
        <v>1234.88351561408</v>
      </c>
      <c r="E120" s="267"/>
      <c r="F120" s="267" t="n">
        <f aca="false">F119*(1+$D$109)</f>
        <v>952.006240460437</v>
      </c>
      <c r="G120" s="267" t="n">
        <f aca="false">G119*(1+$D$109)</f>
        <v>201.139365619166</v>
      </c>
    </row>
  </sheetData>
  <mergeCells count="8">
    <mergeCell ref="G5:K5"/>
    <mergeCell ref="H13:J13"/>
    <mergeCell ref="H18:J18"/>
    <mergeCell ref="H23:J23"/>
    <mergeCell ref="H30:I30"/>
    <mergeCell ref="C47:C48"/>
    <mergeCell ref="D47:D48"/>
    <mergeCell ref="J54:O5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6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0" activeCellId="0" sqref="A30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9" width="33.14"/>
    <col collapsed="false" customWidth="true" hidden="false" outlineLevel="0" max="2" min="2" style="268" width="6.56"/>
    <col collapsed="false" customWidth="true" hidden="false" outlineLevel="0" max="3" min="3" style="9" width="10.71"/>
    <col collapsed="false" customWidth="true" hidden="false" outlineLevel="0" max="5" min="4" style="9" width="10.13"/>
    <col collapsed="false" customWidth="true" hidden="false" outlineLevel="0" max="6" min="6" style="9" width="18.56"/>
    <col collapsed="false" customWidth="true" hidden="false" outlineLevel="0" max="7" min="7" style="9" width="21.7"/>
    <col collapsed="false" customWidth="false" hidden="false" outlineLevel="0" max="257" min="8" style="9" width="9.14"/>
  </cols>
  <sheetData>
    <row r="1" customFormat="false" ht="12.75" hidden="false" customHeight="false" outlineLevel="0" collapsed="false">
      <c r="A1" s="9" t="s">
        <v>209</v>
      </c>
      <c r="B1" s="268" t="s">
        <v>103</v>
      </c>
      <c r="C1" s="9" t="s">
        <v>258</v>
      </c>
      <c r="D1" s="9" t="s">
        <v>259</v>
      </c>
      <c r="E1" s="9" t="s">
        <v>260</v>
      </c>
      <c r="F1" s="9" t="s">
        <v>261</v>
      </c>
      <c r="G1" s="269" t="s">
        <v>262</v>
      </c>
    </row>
    <row r="2" customFormat="false" ht="12.75" hidden="false" customHeight="false" outlineLevel="0" collapsed="false">
      <c r="A2" s="9" t="s">
        <v>168</v>
      </c>
      <c r="B2" s="268" t="n">
        <v>1988</v>
      </c>
      <c r="C2" s="9" t="n">
        <v>769965</v>
      </c>
      <c r="D2" s="9" t="n">
        <v>0</v>
      </c>
      <c r="E2" s="9" t="n">
        <v>2540131</v>
      </c>
      <c r="F2" s="9" t="n">
        <v>0</v>
      </c>
      <c r="G2" s="9" t="n">
        <f aca="false">C2+D2+E2-F2</f>
        <v>3310096</v>
      </c>
    </row>
    <row r="3" customFormat="false" ht="12.75" hidden="false" customHeight="false" outlineLevel="0" collapsed="false">
      <c r="A3" s="9" t="s">
        <v>168</v>
      </c>
      <c r="B3" s="268" t="n">
        <v>1989</v>
      </c>
      <c r="C3" s="9" t="n">
        <v>967058</v>
      </c>
      <c r="D3" s="9" t="n">
        <v>0</v>
      </c>
      <c r="E3" s="9" t="n">
        <v>2882803</v>
      </c>
      <c r="F3" s="9" t="n">
        <v>15383</v>
      </c>
      <c r="G3" s="9" t="n">
        <f aca="false">C3+D3+E3-F3</f>
        <v>3834478</v>
      </c>
    </row>
    <row r="4" customFormat="false" ht="12.75" hidden="false" customHeight="false" outlineLevel="0" collapsed="false">
      <c r="A4" s="9" t="s">
        <v>168</v>
      </c>
      <c r="B4" s="268" t="n">
        <v>1991</v>
      </c>
      <c r="C4" s="9" t="n">
        <v>688464</v>
      </c>
      <c r="D4" s="9" t="n">
        <v>0</v>
      </c>
      <c r="E4" s="9" t="n">
        <v>2869799</v>
      </c>
      <c r="F4" s="9" t="n">
        <v>0</v>
      </c>
      <c r="G4" s="9" t="n">
        <f aca="false">C4+D4+E4-F4</f>
        <v>3558263</v>
      </c>
    </row>
    <row r="5" customFormat="false" ht="12.75" hidden="false" customHeight="false" outlineLevel="0" collapsed="false">
      <c r="A5" s="9" t="s">
        <v>168</v>
      </c>
      <c r="B5" s="268" t="n">
        <v>1992</v>
      </c>
      <c r="C5" s="9" t="n">
        <v>1605312</v>
      </c>
      <c r="D5" s="9" t="n">
        <v>0</v>
      </c>
      <c r="E5" s="9" t="n">
        <v>3704384</v>
      </c>
      <c r="F5" s="9" t="n">
        <v>968000</v>
      </c>
      <c r="G5" s="9" t="n">
        <f aca="false">C5+D5+E5-F5</f>
        <v>4341696</v>
      </c>
    </row>
    <row r="6" customFormat="false" ht="12.75" hidden="false" customHeight="false" outlineLevel="0" collapsed="false">
      <c r="A6" s="9" t="s">
        <v>168</v>
      </c>
      <c r="B6" s="268" t="n">
        <v>1993</v>
      </c>
      <c r="C6" s="9" t="n">
        <v>3566505</v>
      </c>
      <c r="D6" s="9" t="n">
        <v>0</v>
      </c>
      <c r="E6" s="9" t="n">
        <v>6927349</v>
      </c>
      <c r="F6" s="9" t="n">
        <v>600000</v>
      </c>
      <c r="G6" s="9" t="n">
        <f aca="false">C6+D6+E6-F6</f>
        <v>9893854</v>
      </c>
    </row>
    <row r="7" customFormat="false" ht="12.75" hidden="false" customHeight="false" outlineLevel="0" collapsed="false">
      <c r="A7" s="9" t="s">
        <v>168</v>
      </c>
      <c r="B7" s="268" t="n">
        <v>1994</v>
      </c>
      <c r="C7" s="9" t="n">
        <v>2263780</v>
      </c>
      <c r="D7" s="9" t="n">
        <v>0</v>
      </c>
      <c r="E7" s="9" t="n">
        <v>7580232</v>
      </c>
      <c r="F7" s="9" t="n">
        <v>500000</v>
      </c>
      <c r="G7" s="9" t="n">
        <f aca="false">C7+D7+E7-F7</f>
        <v>9344012</v>
      </c>
    </row>
    <row r="8" customFormat="false" ht="12.75" hidden="false" customHeight="false" outlineLevel="0" collapsed="false">
      <c r="A8" s="9" t="s">
        <v>168</v>
      </c>
      <c r="B8" s="268" t="n">
        <v>1995</v>
      </c>
      <c r="C8" s="9" t="n">
        <v>1312777</v>
      </c>
      <c r="D8" s="9" t="n">
        <v>0</v>
      </c>
      <c r="E8" s="9" t="n">
        <v>5743723</v>
      </c>
      <c r="F8" s="9" t="n">
        <v>0</v>
      </c>
      <c r="G8" s="9" t="n">
        <f aca="false">C8+D8+E8-F8</f>
        <v>7056500</v>
      </c>
    </row>
    <row r="9" customFormat="false" ht="12.75" hidden="false" customHeight="false" outlineLevel="0" collapsed="false">
      <c r="A9" s="9" t="s">
        <v>168</v>
      </c>
      <c r="B9" s="268" t="n">
        <v>1996</v>
      </c>
      <c r="C9" s="9" t="n">
        <v>863942</v>
      </c>
      <c r="D9" s="9" t="n">
        <v>0</v>
      </c>
      <c r="E9" s="9" t="n">
        <v>3245161</v>
      </c>
      <c r="F9" s="9" t="n">
        <v>0</v>
      </c>
      <c r="G9" s="9" t="n">
        <f aca="false">C9+D9+E9-F9</f>
        <v>4109103</v>
      </c>
    </row>
    <row r="10" customFormat="false" ht="12.75" hidden="false" customHeight="false" outlineLevel="0" collapsed="false">
      <c r="A10" s="9" t="s">
        <v>168</v>
      </c>
      <c r="B10" s="268" t="n">
        <v>1997</v>
      </c>
      <c r="C10" s="9" t="n">
        <v>833764</v>
      </c>
      <c r="D10" s="9" t="n">
        <v>0</v>
      </c>
      <c r="E10" s="9" t="n">
        <v>2922368</v>
      </c>
      <c r="F10" s="9" t="n">
        <v>0</v>
      </c>
      <c r="G10" s="9" t="n">
        <f aca="false">C10+D10+E10-F10</f>
        <v>3756132</v>
      </c>
    </row>
    <row r="11" customFormat="false" ht="12.75" hidden="false" customHeight="false" outlineLevel="0" collapsed="false">
      <c r="A11" s="9" t="s">
        <v>168</v>
      </c>
      <c r="B11" s="268" t="n">
        <v>1998</v>
      </c>
      <c r="C11" s="9" t="n">
        <v>920470</v>
      </c>
      <c r="D11" s="9" t="n">
        <v>0</v>
      </c>
      <c r="E11" s="9" t="n">
        <v>2588605</v>
      </c>
      <c r="F11" s="9" t="n">
        <v>0</v>
      </c>
      <c r="G11" s="9" t="n">
        <f aca="false">C11+D11+E11-F11</f>
        <v>3509075</v>
      </c>
    </row>
    <row r="14" customFormat="false" ht="12.75" hidden="false" customHeight="false" outlineLevel="0" collapsed="false">
      <c r="A14" s="9" t="s">
        <v>158</v>
      </c>
      <c r="B14" s="268" t="n">
        <v>1988</v>
      </c>
      <c r="C14" s="9" t="n">
        <v>240213</v>
      </c>
      <c r="D14" s="9" t="n">
        <v>0</v>
      </c>
      <c r="E14" s="9" t="n">
        <v>1274674</v>
      </c>
      <c r="F14" s="9" t="n">
        <v>38763</v>
      </c>
      <c r="G14" s="9" t="n">
        <f aca="false">C14+D14+E14-F14</f>
        <v>1476124</v>
      </c>
    </row>
    <row r="15" customFormat="false" ht="12.75" hidden="false" customHeight="false" outlineLevel="0" collapsed="false">
      <c r="A15" s="9" t="s">
        <v>158</v>
      </c>
      <c r="B15" s="268" t="n">
        <v>1989</v>
      </c>
      <c r="C15" s="9" t="n">
        <v>253610</v>
      </c>
      <c r="D15" s="9" t="n">
        <v>0</v>
      </c>
      <c r="E15" s="9" t="n">
        <v>1767444</v>
      </c>
      <c r="F15" s="9" t="n">
        <v>0</v>
      </c>
      <c r="G15" s="9" t="n">
        <f aca="false">C15+D15+E15-F15</f>
        <v>2021054</v>
      </c>
    </row>
    <row r="16" customFormat="false" ht="12.75" hidden="false" customHeight="false" outlineLevel="0" collapsed="false">
      <c r="A16" s="9" t="s">
        <v>158</v>
      </c>
      <c r="B16" s="268" t="n">
        <v>1990</v>
      </c>
      <c r="C16" s="9" t="n">
        <v>430931</v>
      </c>
      <c r="D16" s="9" t="n">
        <v>0</v>
      </c>
      <c r="E16" s="9" t="n">
        <v>1527247</v>
      </c>
      <c r="F16" s="9" t="n">
        <v>166510</v>
      </c>
      <c r="G16" s="9" t="n">
        <f aca="false">C16+D16+E16-F16</f>
        <v>1791668</v>
      </c>
    </row>
    <row r="17" customFormat="false" ht="12.75" hidden="false" customHeight="false" outlineLevel="0" collapsed="false">
      <c r="A17" s="9" t="s">
        <v>158</v>
      </c>
      <c r="B17" s="268" t="n">
        <v>1991</v>
      </c>
      <c r="C17" s="9" t="n">
        <v>393217</v>
      </c>
      <c r="D17" s="9" t="n">
        <v>0</v>
      </c>
      <c r="E17" s="9" t="n">
        <v>2307149</v>
      </c>
      <c r="F17" s="9" t="n">
        <v>-185</v>
      </c>
      <c r="G17" s="9" t="n">
        <f aca="false">C17+D17+E17-F17</f>
        <v>2700551</v>
      </c>
    </row>
    <row r="18" customFormat="false" ht="12.75" hidden="false" customHeight="false" outlineLevel="0" collapsed="false">
      <c r="A18" s="9" t="s">
        <v>158</v>
      </c>
      <c r="B18" s="268" t="n">
        <v>1992</v>
      </c>
      <c r="C18" s="9" t="n">
        <v>815806</v>
      </c>
      <c r="D18" s="9" t="n">
        <v>0</v>
      </c>
      <c r="E18" s="9" t="n">
        <v>2743284</v>
      </c>
      <c r="F18" s="9" t="n">
        <v>0</v>
      </c>
      <c r="G18" s="9" t="n">
        <f aca="false">C18+D18+E18-F18</f>
        <v>3559090</v>
      </c>
    </row>
    <row r="19" customFormat="false" ht="12.75" hidden="false" customHeight="false" outlineLevel="0" collapsed="false">
      <c r="A19" s="9" t="s">
        <v>158</v>
      </c>
      <c r="B19" s="268" t="n">
        <v>1993</v>
      </c>
      <c r="C19" s="9" t="n">
        <v>1629429</v>
      </c>
      <c r="D19" s="9" t="n">
        <v>0</v>
      </c>
      <c r="E19" s="9" t="n">
        <v>3707292</v>
      </c>
      <c r="F19" s="9" t="n">
        <v>0</v>
      </c>
      <c r="G19" s="9" t="n">
        <f aca="false">C19+D19+E19-F19</f>
        <v>5336721</v>
      </c>
    </row>
    <row r="20" customFormat="false" ht="12.75" hidden="false" customHeight="false" outlineLevel="0" collapsed="false">
      <c r="A20" s="9" t="s">
        <v>158</v>
      </c>
      <c r="B20" s="268" t="n">
        <v>1994</v>
      </c>
      <c r="C20" s="9" t="n">
        <v>1779975</v>
      </c>
      <c r="D20" s="9" t="n">
        <v>0</v>
      </c>
      <c r="E20" s="9" t="n">
        <v>4533420</v>
      </c>
      <c r="F20" s="9" t="n">
        <v>444259</v>
      </c>
      <c r="G20" s="9" t="n">
        <f aca="false">C20+D20+E20-F20</f>
        <v>5869136</v>
      </c>
    </row>
    <row r="21" customFormat="false" ht="12.75" hidden="false" customHeight="false" outlineLevel="0" collapsed="false">
      <c r="A21" s="9" t="s">
        <v>158</v>
      </c>
      <c r="B21" s="268" t="n">
        <v>1995</v>
      </c>
      <c r="C21" s="9" t="n">
        <v>1238965</v>
      </c>
      <c r="D21" s="9" t="n">
        <v>0</v>
      </c>
      <c r="E21" s="9" t="n">
        <v>4066277</v>
      </c>
      <c r="F21" s="9" t="n">
        <v>0</v>
      </c>
      <c r="G21" s="9" t="n">
        <f aca="false">C21+D21+E21-F21</f>
        <v>5305242</v>
      </c>
    </row>
    <row r="22" customFormat="false" ht="12.75" hidden="false" customHeight="false" outlineLevel="0" collapsed="false">
      <c r="A22" s="9" t="s">
        <v>158</v>
      </c>
      <c r="B22" s="268" t="n">
        <v>1996</v>
      </c>
      <c r="C22" s="9" t="n">
        <v>458830</v>
      </c>
      <c r="D22" s="9" t="n">
        <v>0</v>
      </c>
      <c r="E22" s="9" t="n">
        <v>2343391</v>
      </c>
      <c r="F22" s="9" t="n">
        <v>0</v>
      </c>
      <c r="G22" s="9" t="n">
        <f aca="false">C22+D22+E22-F22</f>
        <v>2802221</v>
      </c>
    </row>
    <row r="23" customFormat="false" ht="12.75" hidden="false" customHeight="false" outlineLevel="0" collapsed="false">
      <c r="A23" s="9" t="s">
        <v>158</v>
      </c>
      <c r="B23" s="268" t="n">
        <v>1997</v>
      </c>
      <c r="C23" s="9" t="n">
        <v>316538</v>
      </c>
      <c r="D23" s="9" t="n">
        <v>0</v>
      </c>
      <c r="E23" s="9" t="n">
        <v>2134877</v>
      </c>
      <c r="F23" s="9" t="n">
        <v>0</v>
      </c>
      <c r="G23" s="9" t="n">
        <f aca="false">C23+D23+E23-F23</f>
        <v>2451415</v>
      </c>
    </row>
    <row r="24" customFormat="false" ht="12.75" hidden="false" customHeight="false" outlineLevel="0" collapsed="false">
      <c r="A24" s="9" t="s">
        <v>158</v>
      </c>
      <c r="B24" s="268" t="n">
        <v>1998</v>
      </c>
      <c r="C24" s="9" t="n">
        <v>274009</v>
      </c>
      <c r="D24" s="9" t="n">
        <v>0</v>
      </c>
      <c r="E24" s="9" t="n">
        <v>2050059</v>
      </c>
      <c r="F24" s="9" t="n">
        <v>0</v>
      </c>
      <c r="G24" s="9" t="n">
        <f aca="false">C24+D24+E24-F24</f>
        <v>2324068</v>
      </c>
    </row>
    <row r="27" customFormat="false" ht="12.75" hidden="false" customHeight="false" outlineLevel="0" collapsed="false">
      <c r="A27" s="9" t="s">
        <v>178</v>
      </c>
      <c r="B27" s="268" t="n">
        <v>1988</v>
      </c>
      <c r="C27" s="9" t="n">
        <v>28790</v>
      </c>
      <c r="D27" s="9" t="n">
        <v>0</v>
      </c>
      <c r="E27" s="9" t="n">
        <v>368878</v>
      </c>
      <c r="F27" s="9" t="n">
        <v>28790</v>
      </c>
      <c r="G27" s="9" t="n">
        <f aca="false">C27+D27+E27-F27</f>
        <v>368878</v>
      </c>
    </row>
    <row r="28" customFormat="false" ht="12.75" hidden="false" customHeight="false" outlineLevel="0" collapsed="false">
      <c r="A28" s="9" t="s">
        <v>178</v>
      </c>
      <c r="B28" s="268" t="n">
        <v>1989</v>
      </c>
      <c r="C28" s="9" t="n">
        <v>0</v>
      </c>
      <c r="D28" s="9" t="n">
        <v>0</v>
      </c>
      <c r="E28" s="9" t="n">
        <v>353943</v>
      </c>
      <c r="F28" s="9" t="n">
        <v>0</v>
      </c>
      <c r="G28" s="9" t="n">
        <f aca="false">C28+D28+E28-F28</f>
        <v>353943</v>
      </c>
    </row>
    <row r="29" customFormat="false" ht="12.75" hidden="false" customHeight="false" outlineLevel="0" collapsed="false">
      <c r="A29" s="9" t="s">
        <v>178</v>
      </c>
      <c r="B29" s="268" t="n">
        <v>1990</v>
      </c>
      <c r="C29" s="9" t="n">
        <v>0</v>
      </c>
      <c r="D29" s="9" t="n">
        <v>0</v>
      </c>
      <c r="E29" s="9" t="n">
        <v>343671</v>
      </c>
      <c r="F29" s="9" t="n">
        <v>0</v>
      </c>
      <c r="G29" s="9" t="n">
        <f aca="false">C29+D29+E29-F29</f>
        <v>343671</v>
      </c>
    </row>
    <row r="30" customFormat="false" ht="12.75" hidden="false" customHeight="false" outlineLevel="0" collapsed="false">
      <c r="A30" s="9" t="s">
        <v>178</v>
      </c>
      <c r="B30" s="268" t="n">
        <v>1991</v>
      </c>
      <c r="C30" s="9" t="n">
        <v>0</v>
      </c>
      <c r="D30" s="9" t="n">
        <v>0</v>
      </c>
      <c r="E30" s="9" t="n">
        <v>366775</v>
      </c>
      <c r="F30" s="9" t="n">
        <v>0</v>
      </c>
      <c r="G30" s="9" t="n">
        <f aca="false">C30+D30+E30-F30</f>
        <v>366775</v>
      </c>
    </row>
    <row r="31" customFormat="false" ht="12.75" hidden="false" customHeight="false" outlineLevel="0" collapsed="false">
      <c r="A31" s="9" t="s">
        <v>178</v>
      </c>
      <c r="B31" s="268" t="n">
        <v>1992</v>
      </c>
      <c r="C31" s="9" t="n">
        <v>0</v>
      </c>
      <c r="D31" s="9" t="n">
        <v>0</v>
      </c>
      <c r="E31" s="9" t="n">
        <v>451450</v>
      </c>
      <c r="F31" s="9" t="n">
        <v>0</v>
      </c>
      <c r="G31" s="9" t="n">
        <f aca="false">C31+D31+E31-F31</f>
        <v>451450</v>
      </c>
    </row>
    <row r="32" customFormat="false" ht="12.75" hidden="false" customHeight="false" outlineLevel="0" collapsed="false">
      <c r="A32" s="9" t="s">
        <v>178</v>
      </c>
      <c r="B32" s="268" t="n">
        <v>1993</v>
      </c>
      <c r="C32" s="9" t="n">
        <v>651889</v>
      </c>
      <c r="D32" s="9" t="n">
        <v>0</v>
      </c>
      <c r="E32" s="9" t="n">
        <v>546925</v>
      </c>
      <c r="F32" s="9" t="n">
        <v>651889</v>
      </c>
      <c r="G32" s="9" t="n">
        <f aca="false">C32+D32+E32-F32</f>
        <v>546925</v>
      </c>
    </row>
    <row r="33" customFormat="false" ht="12.75" hidden="false" customHeight="false" outlineLevel="0" collapsed="false">
      <c r="A33" s="9" t="s">
        <v>178</v>
      </c>
      <c r="B33" s="268" t="n">
        <v>1994</v>
      </c>
      <c r="C33" s="9" t="n">
        <v>47893</v>
      </c>
      <c r="D33" s="9" t="n">
        <v>15000</v>
      </c>
      <c r="E33" s="9" t="n">
        <v>558783</v>
      </c>
      <c r="F33" s="9" t="n">
        <v>47893</v>
      </c>
      <c r="G33" s="9" t="n">
        <f aca="false">C33+D33+E33-F33</f>
        <v>573783</v>
      </c>
    </row>
    <row r="34" customFormat="false" ht="12.75" hidden="false" customHeight="false" outlineLevel="0" collapsed="false">
      <c r="A34" s="9" t="s">
        <v>178</v>
      </c>
      <c r="B34" s="268" t="n">
        <v>1995</v>
      </c>
      <c r="C34" s="9" t="n">
        <v>-320888</v>
      </c>
      <c r="D34" s="9" t="n">
        <v>0</v>
      </c>
      <c r="E34" s="9" t="n">
        <v>410195</v>
      </c>
      <c r="F34" s="9" t="n">
        <v>-320888</v>
      </c>
      <c r="G34" s="9" t="n">
        <f aca="false">C34+D34+E34-F34</f>
        <v>410195</v>
      </c>
    </row>
    <row r="35" customFormat="false" ht="12.75" hidden="false" customHeight="false" outlineLevel="0" collapsed="false">
      <c r="A35" s="9" t="s">
        <v>178</v>
      </c>
      <c r="B35" s="268" t="n">
        <v>1996</v>
      </c>
      <c r="C35" s="9" t="n">
        <v>1355790</v>
      </c>
      <c r="D35" s="9" t="n">
        <v>0</v>
      </c>
      <c r="E35" s="9" t="n">
        <v>467283</v>
      </c>
      <c r="F35" s="9" t="n">
        <v>1355790</v>
      </c>
      <c r="G35" s="9" t="n">
        <f aca="false">C35+D35+E35-F35</f>
        <v>467283</v>
      </c>
    </row>
    <row r="36" customFormat="false" ht="12.75" hidden="false" customHeight="false" outlineLevel="0" collapsed="false">
      <c r="A36" s="9" t="s">
        <v>178</v>
      </c>
      <c r="B36" s="268" t="n">
        <v>1997</v>
      </c>
      <c r="C36" s="9" t="n">
        <v>1100438</v>
      </c>
      <c r="D36" s="9" t="n">
        <v>0</v>
      </c>
      <c r="E36" s="9" t="n">
        <v>521562</v>
      </c>
      <c r="F36" s="9" t="n">
        <v>1100438</v>
      </c>
      <c r="G36" s="9" t="n">
        <f aca="false">C36+D36+E36-F36</f>
        <v>521562</v>
      </c>
    </row>
    <row r="37" customFormat="false" ht="12.75" hidden="false" customHeight="false" outlineLevel="0" collapsed="false">
      <c r="A37" s="9" t="s">
        <v>178</v>
      </c>
      <c r="B37" s="268" t="n">
        <v>1998</v>
      </c>
      <c r="C37" s="9" t="n">
        <v>-2058462</v>
      </c>
      <c r="D37" s="9" t="n">
        <v>17</v>
      </c>
      <c r="E37" s="9" t="n">
        <v>389753</v>
      </c>
      <c r="F37" s="9" t="n">
        <v>-2058462</v>
      </c>
      <c r="G37" s="9" t="n">
        <f aca="false">C37+D37+E37-F37</f>
        <v>389770</v>
      </c>
    </row>
    <row r="40" customFormat="false" ht="12.75" hidden="false" customHeight="false" outlineLevel="0" collapsed="false">
      <c r="A40" s="9" t="s">
        <v>166</v>
      </c>
      <c r="B40" s="268" t="n">
        <v>1988</v>
      </c>
      <c r="C40" s="9" t="n">
        <v>300000</v>
      </c>
      <c r="D40" s="9" t="n">
        <v>745127</v>
      </c>
      <c r="E40" s="9" t="n">
        <v>2121685</v>
      </c>
      <c r="F40" s="9" t="n">
        <v>300000</v>
      </c>
      <c r="G40" s="9" t="n">
        <f aca="false">C40+D40+E40-F40</f>
        <v>2866812</v>
      </c>
    </row>
    <row r="41" customFormat="false" ht="12.75" hidden="false" customHeight="false" outlineLevel="0" collapsed="false">
      <c r="A41" s="9" t="s">
        <v>166</v>
      </c>
      <c r="B41" s="268" t="n">
        <v>1989</v>
      </c>
      <c r="C41" s="9" t="n">
        <v>1046312</v>
      </c>
      <c r="D41" s="9" t="n">
        <v>1917007</v>
      </c>
      <c r="E41" s="9" t="n">
        <v>4410458</v>
      </c>
      <c r="F41" s="9" t="n">
        <v>1046312</v>
      </c>
      <c r="G41" s="9" t="n">
        <f aca="false">C41+D41+E41-F41</f>
        <v>6327465</v>
      </c>
    </row>
    <row r="42" customFormat="false" ht="12.75" hidden="false" customHeight="false" outlineLevel="0" collapsed="false">
      <c r="A42" s="9" t="s">
        <v>166</v>
      </c>
      <c r="B42" s="268" t="n">
        <v>1990</v>
      </c>
      <c r="C42" s="9" t="n">
        <v>300000</v>
      </c>
      <c r="D42" s="9" t="n">
        <v>869496</v>
      </c>
      <c r="E42" s="9" t="n">
        <v>6810202</v>
      </c>
      <c r="F42" s="9" t="n">
        <v>300000</v>
      </c>
      <c r="G42" s="9" t="n">
        <f aca="false">C42+D42+E42-F42</f>
        <v>7679698</v>
      </c>
    </row>
    <row r="43" customFormat="false" ht="12.75" hidden="false" customHeight="false" outlineLevel="0" collapsed="false">
      <c r="A43" s="9" t="s">
        <v>166</v>
      </c>
      <c r="B43" s="268" t="n">
        <v>1991</v>
      </c>
      <c r="C43" s="9" t="n">
        <v>596577</v>
      </c>
      <c r="D43" s="9" t="n">
        <v>1270355</v>
      </c>
      <c r="E43" s="9" t="n">
        <v>5738719</v>
      </c>
      <c r="F43" s="9" t="n">
        <v>596577</v>
      </c>
      <c r="G43" s="9" t="n">
        <f aca="false">C43+D43+E43-F43</f>
        <v>7009074</v>
      </c>
    </row>
    <row r="44" customFormat="false" ht="12.75" hidden="false" customHeight="false" outlineLevel="0" collapsed="false">
      <c r="A44" s="9" t="s">
        <v>166</v>
      </c>
      <c r="B44" s="268" t="n">
        <v>1992</v>
      </c>
      <c r="C44" s="9" t="n">
        <v>-1510501</v>
      </c>
      <c r="D44" s="9" t="n">
        <v>195065</v>
      </c>
      <c r="E44" s="9" t="n">
        <v>7248204</v>
      </c>
      <c r="F44" s="9" t="n">
        <v>-1510501</v>
      </c>
      <c r="G44" s="9" t="n">
        <f aca="false">C44+D44+E44-F44</f>
        <v>7443269</v>
      </c>
    </row>
    <row r="45" customFormat="false" ht="12.75" hidden="false" customHeight="false" outlineLevel="0" collapsed="false">
      <c r="A45" s="9" t="s">
        <v>166</v>
      </c>
      <c r="B45" s="268" t="n">
        <v>1993</v>
      </c>
      <c r="C45" s="9" t="n">
        <v>1764768</v>
      </c>
      <c r="D45" s="9" t="n">
        <v>153947</v>
      </c>
      <c r="E45" s="9" t="n">
        <v>6858734</v>
      </c>
      <c r="F45" s="9" t="n">
        <v>1764768</v>
      </c>
      <c r="G45" s="9" t="n">
        <f aca="false">C45+D45+E45-F45</f>
        <v>7012681</v>
      </c>
    </row>
    <row r="46" customFormat="false" ht="12.75" hidden="false" customHeight="false" outlineLevel="0" collapsed="false">
      <c r="A46" s="9" t="s">
        <v>166</v>
      </c>
      <c r="B46" s="268" t="n">
        <v>1994</v>
      </c>
      <c r="C46" s="9" t="n">
        <v>305116</v>
      </c>
      <c r="D46" s="9" t="n">
        <v>203936</v>
      </c>
      <c r="E46" s="9" t="n">
        <v>7449618</v>
      </c>
      <c r="F46" s="9" t="n">
        <v>151244</v>
      </c>
      <c r="G46" s="9" t="n">
        <f aca="false">C46+D46+E46-F46</f>
        <v>7807426</v>
      </c>
    </row>
    <row r="47" customFormat="false" ht="12.75" hidden="false" customHeight="false" outlineLevel="0" collapsed="false">
      <c r="A47" s="9" t="s">
        <v>166</v>
      </c>
      <c r="B47" s="268" t="n">
        <v>1995</v>
      </c>
      <c r="C47" s="9" t="n">
        <v>300181</v>
      </c>
      <c r="D47" s="9" t="n">
        <v>208406</v>
      </c>
      <c r="E47" s="9" t="n">
        <v>5364522</v>
      </c>
      <c r="F47" s="9" t="n">
        <v>164716</v>
      </c>
      <c r="G47" s="9" t="n">
        <f aca="false">C47+D47+E47-F47</f>
        <v>5708393</v>
      </c>
    </row>
    <row r="48" customFormat="false" ht="12.75" hidden="false" customHeight="false" outlineLevel="0" collapsed="false">
      <c r="A48" s="9" t="s">
        <v>166</v>
      </c>
      <c r="B48" s="268" t="n">
        <v>1996</v>
      </c>
      <c r="C48" s="9" t="n">
        <v>1380297</v>
      </c>
      <c r="D48" s="9" t="n">
        <v>0</v>
      </c>
      <c r="E48" s="9" t="n">
        <v>260101</v>
      </c>
      <c r="F48" s="9" t="n">
        <v>1018860</v>
      </c>
      <c r="G48" s="9" t="n">
        <f aca="false">C48+D48+E48-F48</f>
        <v>621538</v>
      </c>
    </row>
    <row r="49" customFormat="false" ht="12.75" hidden="false" customHeight="false" outlineLevel="0" collapsed="false">
      <c r="A49" s="9" t="s">
        <v>166</v>
      </c>
      <c r="B49" s="268" t="n">
        <v>1997</v>
      </c>
      <c r="C49" s="9" t="n">
        <v>437802</v>
      </c>
      <c r="D49" s="9" t="n">
        <v>0</v>
      </c>
      <c r="E49" s="9" t="n">
        <v>221956</v>
      </c>
      <c r="F49" s="9" t="n">
        <v>168731</v>
      </c>
      <c r="G49" s="9" t="n">
        <f aca="false">C49+D49+E49-F49</f>
        <v>491027</v>
      </c>
    </row>
    <row r="50" customFormat="false" ht="12.75" hidden="false" customHeight="false" outlineLevel="0" collapsed="false">
      <c r="A50" s="9" t="s">
        <v>166</v>
      </c>
      <c r="B50" s="268" t="n">
        <v>1998</v>
      </c>
      <c r="C50" s="9" t="n">
        <v>-910495</v>
      </c>
      <c r="D50" s="9" t="n">
        <v>0</v>
      </c>
      <c r="E50" s="9" t="n">
        <v>335598</v>
      </c>
      <c r="F50" s="9" t="n">
        <v>-1352838</v>
      </c>
      <c r="G50" s="9" t="n">
        <f aca="false">C50+D50+E50-F50</f>
        <v>777941</v>
      </c>
    </row>
    <row r="53" customFormat="false" ht="12.75" hidden="false" customHeight="false" outlineLevel="0" collapsed="false">
      <c r="A53" s="9" t="s">
        <v>162</v>
      </c>
      <c r="B53" s="268" t="n">
        <v>1988</v>
      </c>
      <c r="C53" s="9" t="n">
        <v>-300000</v>
      </c>
      <c r="D53" s="9" t="n">
        <v>0</v>
      </c>
      <c r="E53" s="9" t="n">
        <v>78709</v>
      </c>
      <c r="F53" s="9" t="n">
        <v>-300000</v>
      </c>
      <c r="G53" s="9" t="n">
        <f aca="false">C53+D53+E53-F53</f>
        <v>78709</v>
      </c>
    </row>
    <row r="54" customFormat="false" ht="12.75" hidden="false" customHeight="false" outlineLevel="0" collapsed="false">
      <c r="A54" s="9" t="s">
        <v>162</v>
      </c>
      <c r="B54" s="268" t="n">
        <v>1989</v>
      </c>
      <c r="C54" s="9" t="n">
        <v>0</v>
      </c>
      <c r="D54" s="9" t="n">
        <v>0</v>
      </c>
      <c r="E54" s="9" t="n">
        <v>143507</v>
      </c>
      <c r="F54" s="9" t="n">
        <v>0</v>
      </c>
      <c r="G54" s="9" t="n">
        <f aca="false">C54+D54+E54-F54</f>
        <v>143507</v>
      </c>
    </row>
    <row r="55" customFormat="false" ht="12.75" hidden="false" customHeight="false" outlineLevel="0" collapsed="false">
      <c r="A55" s="9" t="s">
        <v>162</v>
      </c>
      <c r="B55" s="268" t="n">
        <v>1990</v>
      </c>
      <c r="C55" s="9" t="n">
        <v>0</v>
      </c>
      <c r="D55" s="9" t="n">
        <v>0</v>
      </c>
      <c r="E55" s="9" t="n">
        <v>142320</v>
      </c>
      <c r="F55" s="9" t="n">
        <v>0</v>
      </c>
      <c r="G55" s="9" t="n">
        <f aca="false">C55+D55+E55-F55</f>
        <v>142320</v>
      </c>
    </row>
    <row r="56" customFormat="false" ht="12.75" hidden="false" customHeight="false" outlineLevel="0" collapsed="false">
      <c r="A56" s="9" t="s">
        <v>162</v>
      </c>
      <c r="B56" s="268" t="n">
        <v>1991</v>
      </c>
      <c r="C56" s="9" t="n">
        <v>0</v>
      </c>
      <c r="D56" s="9" t="n">
        <v>0</v>
      </c>
      <c r="E56" s="9" t="n">
        <v>112550</v>
      </c>
      <c r="F56" s="9" t="n">
        <v>0</v>
      </c>
      <c r="G56" s="9" t="n">
        <f aca="false">C56+D56+E56-F56</f>
        <v>112550</v>
      </c>
    </row>
    <row r="57" customFormat="false" ht="12.75" hidden="false" customHeight="false" outlineLevel="0" collapsed="false">
      <c r="A57" s="9" t="s">
        <v>162</v>
      </c>
      <c r="B57" s="268" t="n">
        <v>1992</v>
      </c>
      <c r="C57" s="9" t="n">
        <v>0</v>
      </c>
      <c r="D57" s="9" t="n">
        <v>0</v>
      </c>
      <c r="E57" s="9" t="n">
        <v>64109</v>
      </c>
      <c r="F57" s="9" t="n">
        <v>0</v>
      </c>
      <c r="G57" s="9" t="n">
        <f aca="false">C57+D57+E57-F57</f>
        <v>64109</v>
      </c>
    </row>
    <row r="58" customFormat="false" ht="12.75" hidden="false" customHeight="false" outlineLevel="0" collapsed="false">
      <c r="A58" s="9" t="s">
        <v>162</v>
      </c>
      <c r="B58" s="268" t="n">
        <v>1993</v>
      </c>
      <c r="C58" s="9" t="n">
        <v>1394211</v>
      </c>
      <c r="D58" s="9" t="n">
        <v>0</v>
      </c>
      <c r="E58" s="9" t="n">
        <v>56181</v>
      </c>
      <c r="F58" s="9" t="n">
        <v>1394211</v>
      </c>
      <c r="G58" s="9" t="n">
        <f aca="false">C58+D58+E58-F58</f>
        <v>56181</v>
      </c>
    </row>
    <row r="59" customFormat="false" ht="12.75" hidden="false" customHeight="false" outlineLevel="0" collapsed="false">
      <c r="A59" s="9" t="s">
        <v>162</v>
      </c>
      <c r="B59" s="268" t="n">
        <v>1994</v>
      </c>
      <c r="C59" s="9" t="n">
        <v>4406000</v>
      </c>
      <c r="D59" s="9" t="n">
        <v>0</v>
      </c>
      <c r="E59" s="9" t="n">
        <v>29007</v>
      </c>
      <c r="F59" s="9" t="n">
        <v>4406000</v>
      </c>
      <c r="G59" s="9" t="n">
        <f aca="false">C59+D59+E59-F59</f>
        <v>29007</v>
      </c>
    </row>
    <row r="60" customFormat="false" ht="12.75" hidden="false" customHeight="false" outlineLevel="0" collapsed="false">
      <c r="A60" s="9" t="s">
        <v>162</v>
      </c>
      <c r="B60" s="268" t="n">
        <v>1995</v>
      </c>
      <c r="C60" s="9" t="n">
        <v>2374270</v>
      </c>
      <c r="D60" s="9" t="n">
        <v>0</v>
      </c>
      <c r="E60" s="9" t="n">
        <v>24720</v>
      </c>
      <c r="F60" s="9" t="n">
        <v>2357823</v>
      </c>
      <c r="G60" s="9" t="n">
        <f aca="false">C60+D60+E60-F60</f>
        <v>41167</v>
      </c>
    </row>
    <row r="61" customFormat="false" ht="12.75" hidden="false" customHeight="false" outlineLevel="0" collapsed="false">
      <c r="A61" s="9" t="s">
        <v>162</v>
      </c>
      <c r="B61" s="268" t="n">
        <v>1996</v>
      </c>
      <c r="C61" s="9" t="n">
        <v>-7305362</v>
      </c>
      <c r="D61" s="9" t="n">
        <v>0</v>
      </c>
      <c r="E61" s="9" t="n">
        <v>41648</v>
      </c>
      <c r="F61" s="9" t="n">
        <v>-7387042</v>
      </c>
      <c r="G61" s="9" t="n">
        <f aca="false">C61+D61+E61-F61</f>
        <v>123328</v>
      </c>
    </row>
    <row r="62" customFormat="false" ht="12.75" hidden="false" customHeight="false" outlineLevel="0" collapsed="false">
      <c r="A62" s="9" t="s">
        <v>162</v>
      </c>
      <c r="B62" s="268" t="n">
        <v>1997</v>
      </c>
      <c r="C62" s="9" t="n">
        <v>1451128</v>
      </c>
      <c r="D62" s="9" t="n">
        <v>0</v>
      </c>
      <c r="E62" s="9" t="n">
        <v>0</v>
      </c>
      <c r="F62" s="9" t="n">
        <v>1394800</v>
      </c>
      <c r="G62" s="9" t="n">
        <f aca="false">C62+D62+E62-F62</f>
        <v>56328</v>
      </c>
    </row>
    <row r="63" customFormat="false" ht="12.75" hidden="false" customHeight="false" outlineLevel="0" collapsed="false">
      <c r="A63" s="9" t="s">
        <v>162</v>
      </c>
      <c r="B63" s="268" t="n">
        <v>1998</v>
      </c>
      <c r="C63" s="9" t="n">
        <v>1148180</v>
      </c>
      <c r="D63" s="9" t="n">
        <v>0</v>
      </c>
      <c r="E63" s="9" t="n">
        <v>10844</v>
      </c>
      <c r="F63" s="9" t="n">
        <v>1089343</v>
      </c>
      <c r="G63" s="9" t="n">
        <f aca="false">C63+D63+E63-F63</f>
        <v>69681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8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65" width="33.14"/>
    <col collapsed="false" customWidth="true" hidden="false" outlineLevel="0" max="2" min="2" style="270" width="11.13"/>
    <col collapsed="false" customWidth="true" hidden="false" outlineLevel="0" max="3" min="3" style="165" width="11.7"/>
    <col collapsed="false" customWidth="true" hidden="false" outlineLevel="0" max="4" min="4" style="165" width="11.85"/>
    <col collapsed="false" customWidth="true" hidden="false" outlineLevel="0" max="5" min="5" style="165" width="11.42"/>
    <col collapsed="false" customWidth="true" hidden="false" outlineLevel="0" max="6" min="6" style="165" width="11.56"/>
    <col collapsed="false" customWidth="true" hidden="false" outlineLevel="0" max="7" min="7" style="165" width="21.42"/>
    <col collapsed="false" customWidth="true" hidden="false" outlineLevel="0" max="8" min="8" style="165" width="17.7"/>
    <col collapsed="false" customWidth="true" hidden="false" outlineLevel="0" max="9" min="9" style="165" width="22.56"/>
    <col collapsed="false" customWidth="true" hidden="false" outlineLevel="0" max="10" min="10" style="165" width="28.56"/>
    <col collapsed="false" customWidth="true" hidden="false" outlineLevel="0" max="11" min="11" style="165" width="21.84"/>
    <col collapsed="false" customWidth="true" hidden="false" outlineLevel="0" max="12" min="12" style="165" width="23.7"/>
    <col collapsed="false" customWidth="true" hidden="false" outlineLevel="0" max="13" min="13" style="165" width="18.28"/>
    <col collapsed="false" customWidth="true" hidden="false" outlineLevel="0" max="14" min="14" style="165" width="26.99"/>
    <col collapsed="false" customWidth="true" hidden="false" outlineLevel="0" max="15" min="15" style="165" width="22.7"/>
    <col collapsed="false" customWidth="true" hidden="false" outlineLevel="0" max="16" min="16" style="165" width="17.85"/>
    <col collapsed="false" customWidth="true" hidden="false" outlineLevel="0" max="17" min="17" style="165" width="14.28"/>
    <col collapsed="false" customWidth="true" hidden="false" outlineLevel="0" max="18" min="18" style="165" width="21.56"/>
    <col collapsed="false" customWidth="true" hidden="false" outlineLevel="0" max="19" min="19" style="165" width="19.99"/>
    <col collapsed="false" customWidth="true" hidden="false" outlineLevel="0" max="20" min="20" style="165" width="14.56"/>
    <col collapsed="false" customWidth="true" hidden="false" outlineLevel="0" max="21" min="21" style="165" width="20.7"/>
    <col collapsed="false" customWidth="true" hidden="false" outlineLevel="0" max="22" min="22" style="165" width="26.13"/>
    <col collapsed="false" customWidth="true" hidden="false" outlineLevel="0" max="23" min="23" style="165" width="17.85"/>
    <col collapsed="false" customWidth="true" hidden="false" outlineLevel="0" max="25" min="24" style="165" width="16.99"/>
    <col collapsed="false" customWidth="true" hidden="false" outlineLevel="0" max="26" min="26" style="165" width="19.85"/>
    <col collapsed="false" customWidth="true" hidden="false" outlineLevel="0" max="27" min="27" style="165" width="27.42"/>
    <col collapsed="false" customWidth="true" hidden="false" outlineLevel="0" max="28" min="28" style="165" width="10.71"/>
    <col collapsed="false" customWidth="true" hidden="false" outlineLevel="0" max="29" min="29" style="165" width="9.41"/>
    <col collapsed="false" customWidth="true" hidden="false" outlineLevel="0" max="30" min="30" style="165" width="10.13"/>
    <col collapsed="false" customWidth="true" hidden="false" outlineLevel="0" max="31" min="31" style="165" width="17.14"/>
    <col collapsed="false" customWidth="false" hidden="false" outlineLevel="0" max="257" min="32" style="165" width="9.14"/>
  </cols>
  <sheetData>
    <row r="1" customFormat="false" ht="12.75" hidden="false" customHeight="false" outlineLevel="0" collapsed="false">
      <c r="A1" s="271" t="s">
        <v>263</v>
      </c>
    </row>
    <row r="2" customFormat="false" ht="12.75" hidden="false" customHeight="false" outlineLevel="0" collapsed="false">
      <c r="A2" s="271"/>
    </row>
    <row r="3" customFormat="false" ht="12.75" hidden="false" customHeight="false" outlineLevel="0" collapsed="false">
      <c r="A3" s="165" t="s">
        <v>209</v>
      </c>
      <c r="B3" s="270" t="s">
        <v>103</v>
      </c>
      <c r="C3" s="165" t="s">
        <v>264</v>
      </c>
      <c r="D3" s="165" t="s">
        <v>265</v>
      </c>
      <c r="E3" s="165" t="s">
        <v>266</v>
      </c>
      <c r="F3" s="165" t="s">
        <v>267</v>
      </c>
      <c r="G3" s="165" t="s">
        <v>268</v>
      </c>
      <c r="H3" s="165" t="s">
        <v>269</v>
      </c>
      <c r="I3" s="165" t="s">
        <v>270</v>
      </c>
      <c r="J3" s="165" t="s">
        <v>271</v>
      </c>
      <c r="K3" s="165" t="s">
        <v>272</v>
      </c>
      <c r="L3" s="165" t="s">
        <v>273</v>
      </c>
      <c r="M3" s="165" t="s">
        <v>274</v>
      </c>
      <c r="N3" s="165" t="s">
        <v>275</v>
      </c>
      <c r="O3" s="165" t="s">
        <v>276</v>
      </c>
      <c r="P3" s="165" t="s">
        <v>277</v>
      </c>
      <c r="Q3" s="165" t="s">
        <v>278</v>
      </c>
      <c r="R3" s="165" t="s">
        <v>279</v>
      </c>
      <c r="S3" s="165" t="s">
        <v>280</v>
      </c>
      <c r="T3" s="165" t="s">
        <v>281</v>
      </c>
      <c r="U3" s="165" t="s">
        <v>282</v>
      </c>
      <c r="V3" s="165" t="s">
        <v>283</v>
      </c>
      <c r="W3" s="165" t="s">
        <v>284</v>
      </c>
      <c r="X3" s="165" t="s">
        <v>285</v>
      </c>
      <c r="Y3" s="271" t="s">
        <v>286</v>
      </c>
      <c r="Z3" s="271" t="s">
        <v>221</v>
      </c>
      <c r="AA3" s="271" t="s">
        <v>287</v>
      </c>
      <c r="AB3" s="165" t="s">
        <v>258</v>
      </c>
      <c r="AC3" s="165" t="s">
        <v>259</v>
      </c>
      <c r="AD3" s="165" t="s">
        <v>260</v>
      </c>
      <c r="AE3" s="271" t="s">
        <v>288</v>
      </c>
    </row>
    <row r="4" customFormat="false" ht="12.75" hidden="false" customHeight="false" outlineLevel="0" collapsed="false">
      <c r="A4" s="165" t="s">
        <v>168</v>
      </c>
      <c r="B4" s="272" t="n">
        <v>1998</v>
      </c>
      <c r="C4" s="165" t="n">
        <v>28655101</v>
      </c>
      <c r="D4" s="165" t="n">
        <v>302255</v>
      </c>
      <c r="E4" s="165" t="n">
        <v>0</v>
      </c>
      <c r="F4" s="165" t="n">
        <v>0</v>
      </c>
      <c r="G4" s="165" t="n">
        <v>11178323</v>
      </c>
      <c r="H4" s="165" t="n">
        <v>724924</v>
      </c>
      <c r="I4" s="165" t="n">
        <v>494568</v>
      </c>
      <c r="J4" s="165" t="n">
        <v>16116778</v>
      </c>
      <c r="K4" s="165" t="n">
        <v>44379956</v>
      </c>
      <c r="L4" s="165" t="n">
        <v>0</v>
      </c>
      <c r="M4" s="165" t="n">
        <v>9691873</v>
      </c>
      <c r="N4" s="165" t="n">
        <v>2875029</v>
      </c>
      <c r="O4" s="165" t="n">
        <v>0</v>
      </c>
      <c r="P4" s="165" t="n">
        <v>686690</v>
      </c>
      <c r="Q4" s="165" t="n">
        <v>73480</v>
      </c>
      <c r="R4" s="165" t="n">
        <v>1125068</v>
      </c>
      <c r="S4" s="165" t="n">
        <v>694694</v>
      </c>
      <c r="T4" s="165" t="n">
        <v>1801963</v>
      </c>
      <c r="U4" s="165" t="n">
        <v>12271883</v>
      </c>
      <c r="V4" s="165" t="n">
        <v>259424</v>
      </c>
      <c r="W4" s="165" t="n">
        <v>98698</v>
      </c>
      <c r="X4" s="165" t="n">
        <v>4299606</v>
      </c>
      <c r="Y4" s="273" t="n">
        <f aca="false">SUM(C4:X4)</f>
        <v>135730313</v>
      </c>
      <c r="Z4" s="273" t="n">
        <f aca="false">Y4-Q4-O4-L4-K4</f>
        <v>91276877</v>
      </c>
      <c r="AA4" s="273"/>
      <c r="AB4" s="165" t="n">
        <v>920470</v>
      </c>
      <c r="AC4" s="165" t="n">
        <v>0</v>
      </c>
      <c r="AD4" s="165" t="n">
        <v>2588605</v>
      </c>
      <c r="AE4" s="273" t="n">
        <f aca="false">SUM(AB4:AD4)</f>
        <v>3509075</v>
      </c>
    </row>
    <row r="5" customFormat="false" ht="12.75" hidden="false" customHeight="false" outlineLevel="0" collapsed="false">
      <c r="A5" s="165" t="s">
        <v>158</v>
      </c>
      <c r="B5" s="270" t="n">
        <v>1998</v>
      </c>
      <c r="C5" s="165" t="n">
        <v>671568</v>
      </c>
      <c r="D5" s="165" t="n">
        <v>162485</v>
      </c>
      <c r="E5" s="165" t="n">
        <v>0</v>
      </c>
      <c r="F5" s="165" t="n">
        <v>0</v>
      </c>
      <c r="G5" s="165" t="n">
        <v>3318442</v>
      </c>
      <c r="H5" s="165" t="n">
        <v>633007</v>
      </c>
      <c r="I5" s="165" t="n">
        <v>526042</v>
      </c>
      <c r="J5" s="165" t="n">
        <v>10783589</v>
      </c>
      <c r="K5" s="165" t="n">
        <v>23669065</v>
      </c>
      <c r="L5" s="165" t="n">
        <v>0</v>
      </c>
      <c r="M5" s="165" t="n">
        <v>5984297</v>
      </c>
      <c r="N5" s="165" t="n">
        <v>1210012</v>
      </c>
      <c r="O5" s="165" t="n">
        <v>10434996</v>
      </c>
      <c r="P5" s="165" t="n">
        <v>59303</v>
      </c>
      <c r="Q5" s="165" t="n">
        <v>651808</v>
      </c>
      <c r="R5" s="165" t="n">
        <v>440307</v>
      </c>
      <c r="S5" s="165" t="n">
        <v>726677</v>
      </c>
      <c r="T5" s="165" t="n">
        <v>3166875</v>
      </c>
      <c r="U5" s="165" t="n">
        <v>6658282</v>
      </c>
      <c r="V5" s="165" t="n">
        <v>377036</v>
      </c>
      <c r="W5" s="165" t="n">
        <v>221476</v>
      </c>
      <c r="X5" s="165" t="n">
        <v>1240258</v>
      </c>
      <c r="Y5" s="273" t="n">
        <f aca="false">SUM(C5:X5)</f>
        <v>70935525</v>
      </c>
      <c r="Z5" s="273" t="n">
        <f aca="false">Y5-Q5-O5-L5-K5</f>
        <v>36179656</v>
      </c>
      <c r="AA5" s="271"/>
      <c r="AB5" s="165" t="n">
        <v>274009</v>
      </c>
      <c r="AC5" s="165" t="n">
        <v>0</v>
      </c>
      <c r="AD5" s="165" t="n">
        <v>2050059</v>
      </c>
      <c r="AE5" s="273" t="n">
        <f aca="false">SUM(AB5:AD5)</f>
        <v>2324068</v>
      </c>
    </row>
    <row r="6" customFormat="false" ht="12.75" hidden="false" customHeight="false" outlineLevel="0" collapsed="false">
      <c r="A6" s="271" t="s">
        <v>289</v>
      </c>
      <c r="B6" s="274" t="n">
        <v>1998</v>
      </c>
      <c r="C6" s="271" t="n">
        <f aca="false">SUM(C4:C5)</f>
        <v>29326669</v>
      </c>
      <c r="D6" s="271" t="n">
        <f aca="false">SUM(D4:D5)</f>
        <v>464740</v>
      </c>
      <c r="E6" s="271" t="n">
        <f aca="false">SUM(E4:E5)</f>
        <v>0</v>
      </c>
      <c r="F6" s="271" t="n">
        <f aca="false">SUM(F4:F5)</f>
        <v>0</v>
      </c>
      <c r="G6" s="271" t="n">
        <f aca="false">SUM(G4:G5)</f>
        <v>14496765</v>
      </c>
      <c r="H6" s="271" t="n">
        <f aca="false">SUM(H4:H5)</f>
        <v>1357931</v>
      </c>
      <c r="I6" s="271" t="n">
        <f aca="false">SUM(I4:I5)</f>
        <v>1020610</v>
      </c>
      <c r="J6" s="271" t="n">
        <f aca="false">SUM(J4:J5)</f>
        <v>26900367</v>
      </c>
      <c r="K6" s="271" t="n">
        <f aca="false">SUM(K4:K5)</f>
        <v>68049021</v>
      </c>
      <c r="L6" s="271" t="n">
        <f aca="false">SUM(L4:L5)</f>
        <v>0</v>
      </c>
      <c r="M6" s="271" t="n">
        <f aca="false">SUM(M4:M5)</f>
        <v>15676170</v>
      </c>
      <c r="N6" s="271" t="n">
        <f aca="false">SUM(N4:N5)</f>
        <v>4085041</v>
      </c>
      <c r="O6" s="271" t="n">
        <f aca="false">SUM(O4:O5)</f>
        <v>10434996</v>
      </c>
      <c r="P6" s="271" t="n">
        <f aca="false">SUM(P4:P5)</f>
        <v>745993</v>
      </c>
      <c r="Q6" s="271" t="n">
        <f aca="false">SUM(Q4:Q5)</f>
        <v>725288</v>
      </c>
      <c r="R6" s="271" t="n">
        <f aca="false">SUM(R4:R5)</f>
        <v>1565375</v>
      </c>
      <c r="S6" s="271" t="n">
        <f aca="false">SUM(S4:S5)</f>
        <v>1421371</v>
      </c>
      <c r="T6" s="271" t="n">
        <f aca="false">SUM(T4:T5)</f>
        <v>4968838</v>
      </c>
      <c r="U6" s="271" t="n">
        <f aca="false">SUM(U4:U5)</f>
        <v>18930165</v>
      </c>
      <c r="V6" s="271" t="n">
        <f aca="false">SUM(V4:V5)</f>
        <v>636460</v>
      </c>
      <c r="W6" s="271" t="n">
        <f aca="false">SUM(W4:W5)</f>
        <v>320174</v>
      </c>
      <c r="X6" s="271" t="n">
        <f aca="false">SUM(X4:X5)</f>
        <v>5539864</v>
      </c>
      <c r="Y6" s="271" t="n">
        <f aca="false">SUM(Y4:Y5)</f>
        <v>206665838</v>
      </c>
      <c r="Z6" s="271" t="n">
        <f aca="false">Y6-Q6-O6-L6-K6</f>
        <v>127456533</v>
      </c>
      <c r="AA6" s="275" t="n">
        <f aca="false">Z6/(967+573)</f>
        <v>82763.9824675325</v>
      </c>
      <c r="AB6" s="271" t="n">
        <f aca="false">SUM(AB4:AB5)</f>
        <v>1194479</v>
      </c>
      <c r="AC6" s="271" t="n">
        <f aca="false">SUM(AC4:AC5)</f>
        <v>0</v>
      </c>
      <c r="AD6" s="271" t="n">
        <f aca="false">SUM(AD4:AD5)</f>
        <v>4638664</v>
      </c>
      <c r="AE6" s="271" t="n">
        <f aca="false">SUM(AB6:AD6)</f>
        <v>5833143</v>
      </c>
      <c r="AF6" s="271"/>
      <c r="AG6" s="271"/>
      <c r="AH6" s="271"/>
      <c r="AI6" s="271"/>
      <c r="AJ6" s="271"/>
      <c r="AK6" s="271"/>
      <c r="AL6" s="271"/>
      <c r="AM6" s="271"/>
      <c r="AN6" s="271"/>
      <c r="AO6" s="271"/>
      <c r="AP6" s="271"/>
      <c r="AQ6" s="271"/>
      <c r="AR6" s="271"/>
      <c r="AS6" s="271"/>
      <c r="AT6" s="271"/>
      <c r="AU6" s="271"/>
      <c r="AV6" s="271"/>
      <c r="AW6" s="271"/>
      <c r="AX6" s="271"/>
      <c r="AY6" s="271"/>
      <c r="AZ6" s="271"/>
      <c r="BA6" s="271"/>
      <c r="BB6" s="271"/>
      <c r="BC6" s="271"/>
      <c r="BD6" s="271"/>
      <c r="BE6" s="271"/>
      <c r="BF6" s="271"/>
      <c r="BG6" s="271"/>
      <c r="BH6" s="271"/>
      <c r="BI6" s="271"/>
      <c r="BJ6" s="271"/>
      <c r="BK6" s="271"/>
      <c r="BL6" s="271"/>
      <c r="BM6" s="271"/>
      <c r="BN6" s="271"/>
      <c r="BO6" s="271"/>
      <c r="BP6" s="271"/>
      <c r="BQ6" s="271"/>
      <c r="BR6" s="271"/>
      <c r="BS6" s="271"/>
      <c r="BT6" s="271"/>
      <c r="BU6" s="271"/>
      <c r="BV6" s="271"/>
      <c r="BW6" s="271"/>
      <c r="BX6" s="271"/>
      <c r="BY6" s="271"/>
      <c r="BZ6" s="271"/>
      <c r="CA6" s="271"/>
      <c r="CB6" s="271"/>
      <c r="CC6" s="271"/>
      <c r="CD6" s="271"/>
      <c r="CE6" s="271"/>
      <c r="CF6" s="271"/>
      <c r="CG6" s="271"/>
      <c r="CH6" s="271"/>
      <c r="CI6" s="271"/>
      <c r="CJ6" s="271"/>
      <c r="CK6" s="271"/>
      <c r="CL6" s="271"/>
      <c r="CM6" s="271"/>
      <c r="CN6" s="271"/>
      <c r="CO6" s="271"/>
      <c r="CP6" s="271"/>
      <c r="CQ6" s="271"/>
      <c r="CR6" s="271"/>
      <c r="CS6" s="271"/>
      <c r="CT6" s="271"/>
      <c r="CU6" s="271"/>
      <c r="CV6" s="271"/>
      <c r="CW6" s="271"/>
      <c r="CX6" s="271"/>
      <c r="CY6" s="271"/>
      <c r="CZ6" s="271"/>
      <c r="DA6" s="271"/>
      <c r="DB6" s="271"/>
      <c r="DC6" s="271"/>
      <c r="DD6" s="271"/>
      <c r="DE6" s="271"/>
      <c r="DF6" s="271"/>
      <c r="DG6" s="271"/>
      <c r="DH6" s="271"/>
      <c r="DI6" s="271"/>
      <c r="DJ6" s="271"/>
      <c r="DK6" s="271"/>
      <c r="DL6" s="271"/>
      <c r="DM6" s="271"/>
      <c r="DN6" s="271"/>
      <c r="DO6" s="271"/>
      <c r="DP6" s="271"/>
      <c r="DQ6" s="271"/>
      <c r="DR6" s="271"/>
      <c r="DS6" s="271"/>
      <c r="DT6" s="271"/>
      <c r="DU6" s="271"/>
      <c r="DV6" s="271"/>
      <c r="DW6" s="271"/>
      <c r="DX6" s="271"/>
      <c r="DY6" s="271"/>
      <c r="DZ6" s="271"/>
      <c r="EA6" s="271"/>
      <c r="EB6" s="271"/>
      <c r="EC6" s="271"/>
      <c r="ED6" s="271"/>
      <c r="EE6" s="271"/>
      <c r="EF6" s="271"/>
      <c r="EG6" s="271"/>
      <c r="EH6" s="271"/>
      <c r="EI6" s="271"/>
      <c r="EJ6" s="271"/>
      <c r="EK6" s="271"/>
      <c r="EL6" s="271"/>
      <c r="EM6" s="271"/>
      <c r="EN6" s="271"/>
      <c r="EO6" s="271"/>
      <c r="EP6" s="271"/>
      <c r="EQ6" s="271"/>
      <c r="ER6" s="271"/>
      <c r="ES6" s="271"/>
      <c r="ET6" s="271"/>
      <c r="EU6" s="271"/>
      <c r="EV6" s="271"/>
      <c r="EW6" s="271"/>
      <c r="EX6" s="271"/>
      <c r="EY6" s="271"/>
      <c r="EZ6" s="271"/>
      <c r="FA6" s="271"/>
      <c r="FB6" s="271"/>
      <c r="FC6" s="271"/>
      <c r="FD6" s="271"/>
      <c r="FE6" s="271"/>
      <c r="FF6" s="271"/>
      <c r="FG6" s="271"/>
      <c r="FH6" s="271"/>
      <c r="FI6" s="271"/>
      <c r="FJ6" s="271"/>
      <c r="FK6" s="271"/>
      <c r="FL6" s="271"/>
      <c r="FM6" s="271"/>
      <c r="FN6" s="271"/>
      <c r="FO6" s="271"/>
      <c r="FP6" s="271"/>
      <c r="FQ6" s="271"/>
      <c r="FR6" s="271"/>
      <c r="FS6" s="271"/>
      <c r="FT6" s="271"/>
      <c r="FU6" s="271"/>
      <c r="FV6" s="271"/>
      <c r="FW6" s="271"/>
      <c r="FX6" s="271"/>
      <c r="FY6" s="271"/>
      <c r="FZ6" s="271"/>
      <c r="GA6" s="271"/>
      <c r="GB6" s="271"/>
      <c r="GC6" s="271"/>
      <c r="GD6" s="271"/>
      <c r="GE6" s="271"/>
      <c r="GF6" s="271"/>
      <c r="GG6" s="271"/>
      <c r="GH6" s="271"/>
      <c r="GI6" s="271"/>
      <c r="GJ6" s="271"/>
      <c r="GK6" s="271"/>
      <c r="GL6" s="271"/>
      <c r="GM6" s="271"/>
      <c r="GN6" s="271"/>
      <c r="GO6" s="271"/>
      <c r="GP6" s="271"/>
      <c r="GQ6" s="271"/>
      <c r="GR6" s="271"/>
      <c r="GS6" s="271"/>
      <c r="GT6" s="271"/>
      <c r="GU6" s="271"/>
      <c r="GV6" s="271"/>
      <c r="GW6" s="271"/>
      <c r="GX6" s="271"/>
      <c r="GY6" s="271"/>
      <c r="GZ6" s="271"/>
      <c r="HA6" s="271"/>
      <c r="HB6" s="271"/>
      <c r="HC6" s="271"/>
      <c r="HD6" s="271"/>
      <c r="HE6" s="271"/>
      <c r="HF6" s="271"/>
      <c r="HG6" s="271"/>
      <c r="HH6" s="271"/>
      <c r="HI6" s="271"/>
      <c r="HJ6" s="271"/>
      <c r="HK6" s="271"/>
      <c r="HL6" s="271"/>
      <c r="HM6" s="271"/>
      <c r="HN6" s="271"/>
      <c r="HO6" s="271"/>
      <c r="HP6" s="271"/>
      <c r="HQ6" s="271"/>
      <c r="HR6" s="271"/>
      <c r="HS6" s="271"/>
      <c r="HT6" s="271"/>
      <c r="HU6" s="271"/>
      <c r="HV6" s="271"/>
      <c r="HW6" s="271"/>
      <c r="HX6" s="271"/>
      <c r="HY6" s="271"/>
      <c r="HZ6" s="271"/>
      <c r="IA6" s="271"/>
      <c r="IB6" s="271"/>
      <c r="IC6" s="271"/>
      <c r="ID6" s="271"/>
      <c r="IE6" s="271"/>
      <c r="IF6" s="271"/>
      <c r="IG6" s="271"/>
      <c r="IH6" s="271"/>
      <c r="II6" s="271"/>
      <c r="IJ6" s="271"/>
      <c r="IK6" s="271"/>
      <c r="IL6" s="271"/>
      <c r="IM6" s="271"/>
      <c r="IN6" s="271"/>
      <c r="IO6" s="271"/>
      <c r="IP6" s="271"/>
      <c r="IQ6" s="271"/>
      <c r="IR6" s="271"/>
      <c r="IS6" s="271"/>
      <c r="IT6" s="271"/>
      <c r="IU6" s="271"/>
      <c r="IV6" s="271"/>
      <c r="IW6" s="271"/>
    </row>
    <row r="7" customFormat="false" ht="12.75" hidden="false" customHeight="false" outlineLevel="0" collapsed="false">
      <c r="Y7" s="273"/>
      <c r="Z7" s="273"/>
      <c r="AA7" s="273"/>
      <c r="AE7" s="273"/>
    </row>
    <row r="8" customFormat="false" ht="12.75" hidden="false" customHeight="false" outlineLevel="0" collapsed="false">
      <c r="A8" s="165" t="s">
        <v>166</v>
      </c>
      <c r="B8" s="270" t="n">
        <v>1998</v>
      </c>
      <c r="C8" s="165" t="n">
        <v>3967211</v>
      </c>
      <c r="D8" s="165" t="n">
        <v>3247959</v>
      </c>
      <c r="E8" s="165" t="n">
        <v>1970137</v>
      </c>
      <c r="F8" s="165" t="n">
        <v>784553</v>
      </c>
      <c r="G8" s="165" t="n">
        <v>3727109</v>
      </c>
      <c r="H8" s="165" t="n">
        <v>6839288</v>
      </c>
      <c r="I8" s="165" t="n">
        <v>1601345</v>
      </c>
      <c r="J8" s="165" t="n">
        <v>15813841</v>
      </c>
      <c r="K8" s="165" t="n">
        <v>46097151</v>
      </c>
      <c r="L8" s="165" t="n">
        <v>4208820</v>
      </c>
      <c r="M8" s="165" t="n">
        <v>17746709</v>
      </c>
      <c r="N8" s="165" t="n">
        <v>3928403</v>
      </c>
      <c r="O8" s="165" t="n">
        <v>1992681</v>
      </c>
      <c r="P8" s="165" t="n">
        <v>4179540</v>
      </c>
      <c r="Q8" s="165" t="n">
        <v>961027</v>
      </c>
      <c r="R8" s="165" t="n">
        <v>80067</v>
      </c>
      <c r="S8" s="165" t="n">
        <v>3821943</v>
      </c>
      <c r="T8" s="165" t="n">
        <v>5220496</v>
      </c>
      <c r="U8" s="165" t="n">
        <v>15486040</v>
      </c>
      <c r="V8" s="165" t="n">
        <v>1805848</v>
      </c>
      <c r="W8" s="165" t="n">
        <v>400785</v>
      </c>
      <c r="X8" s="165" t="n">
        <v>845962</v>
      </c>
      <c r="Y8" s="273" t="n">
        <f aca="false">SUM(B8:X8)</f>
        <v>144728913</v>
      </c>
      <c r="Z8" s="273" t="n">
        <f aca="false">Y8-Q8-O8-L8-K8</f>
        <v>91469234</v>
      </c>
      <c r="AA8" s="273"/>
      <c r="AB8" s="165" t="n">
        <v>-910495</v>
      </c>
      <c r="AC8" s="165" t="n">
        <v>0</v>
      </c>
      <c r="AD8" s="165" t="n">
        <v>335598</v>
      </c>
      <c r="AE8" s="273" t="n">
        <f aca="false">SUM(AB8:AD8)</f>
        <v>-574897</v>
      </c>
    </row>
    <row r="9" customFormat="false" ht="12.75" hidden="false" customHeight="false" outlineLevel="0" collapsed="false">
      <c r="A9" s="165" t="s">
        <v>162</v>
      </c>
      <c r="B9" s="270" t="n">
        <v>1998</v>
      </c>
      <c r="C9" s="165" t="n">
        <v>0</v>
      </c>
      <c r="D9" s="165" t="n">
        <v>0</v>
      </c>
      <c r="E9" s="165" t="n">
        <v>0</v>
      </c>
      <c r="F9" s="165" t="n">
        <v>0</v>
      </c>
      <c r="G9" s="165" t="n">
        <v>440293</v>
      </c>
      <c r="H9" s="165" t="n">
        <v>158952</v>
      </c>
      <c r="I9" s="165" t="n">
        <v>276424</v>
      </c>
      <c r="J9" s="165" t="n">
        <v>8318528</v>
      </c>
      <c r="K9" s="165" t="n">
        <v>18182436</v>
      </c>
      <c r="L9" s="165" t="n">
        <v>1871402</v>
      </c>
      <c r="M9" s="165" t="n">
        <v>4507731</v>
      </c>
      <c r="N9" s="165" t="n">
        <v>1293799</v>
      </c>
      <c r="O9" s="165" t="n">
        <v>21484</v>
      </c>
      <c r="P9" s="165" t="n">
        <v>230584</v>
      </c>
      <c r="Q9" s="165" t="n">
        <v>35750</v>
      </c>
      <c r="R9" s="165" t="n">
        <v>7510</v>
      </c>
      <c r="S9" s="165" t="n">
        <v>258563</v>
      </c>
      <c r="T9" s="165" t="n">
        <v>1049785</v>
      </c>
      <c r="U9" s="165" t="n">
        <v>2972857</v>
      </c>
      <c r="V9" s="165" t="n">
        <v>345017</v>
      </c>
      <c r="W9" s="165" t="n">
        <v>129339</v>
      </c>
      <c r="X9" s="165" t="n">
        <v>100765</v>
      </c>
      <c r="Y9" s="273" t="n">
        <f aca="false">SUM(B9:X9)</f>
        <v>40203217</v>
      </c>
      <c r="Z9" s="273" t="n">
        <f aca="false">Y9-Q9-O9-L9-K9</f>
        <v>20092145</v>
      </c>
      <c r="AA9" s="273"/>
      <c r="AB9" s="165" t="n">
        <v>1148180</v>
      </c>
      <c r="AC9" s="165" t="n">
        <v>0</v>
      </c>
      <c r="AD9" s="165" t="n">
        <v>10844</v>
      </c>
      <c r="AE9" s="273" t="n">
        <f aca="false">SUM(AB9:AD9)</f>
        <v>1159024</v>
      </c>
    </row>
    <row r="10" customFormat="false" ht="12.75" hidden="false" customHeight="false" outlineLevel="0" collapsed="false">
      <c r="A10" s="271" t="s">
        <v>290</v>
      </c>
      <c r="B10" s="274" t="n">
        <v>1998</v>
      </c>
      <c r="C10" s="271" t="n">
        <f aca="false">SUM(C8:C9)</f>
        <v>3967211</v>
      </c>
      <c r="D10" s="271" t="n">
        <f aca="false">SUM(D8:D9)</f>
        <v>3247959</v>
      </c>
      <c r="E10" s="271" t="n">
        <f aca="false">SUM(E8:E9)</f>
        <v>1970137</v>
      </c>
      <c r="F10" s="271" t="n">
        <f aca="false">SUM(F8:F9)</f>
        <v>784553</v>
      </c>
      <c r="G10" s="271" t="n">
        <f aca="false">SUM(G8:G9)</f>
        <v>4167402</v>
      </c>
      <c r="H10" s="271" t="n">
        <f aca="false">SUM(H8:H9)</f>
        <v>6998240</v>
      </c>
      <c r="I10" s="271" t="n">
        <f aca="false">SUM(I8:I9)</f>
        <v>1877769</v>
      </c>
      <c r="J10" s="271" t="n">
        <f aca="false">SUM(J8:J9)</f>
        <v>24132369</v>
      </c>
      <c r="K10" s="271" t="n">
        <f aca="false">SUM(K8:K9)</f>
        <v>64279587</v>
      </c>
      <c r="L10" s="271" t="n">
        <f aca="false">SUM(L8:L9)</f>
        <v>6080222</v>
      </c>
      <c r="M10" s="271" t="n">
        <f aca="false">SUM(M8:M9)</f>
        <v>22254440</v>
      </c>
      <c r="N10" s="271" t="n">
        <f aca="false">SUM(N8:N9)</f>
        <v>5222202</v>
      </c>
      <c r="O10" s="271" t="n">
        <f aca="false">SUM(O8:O9)</f>
        <v>2014165</v>
      </c>
      <c r="P10" s="271" t="n">
        <f aca="false">SUM(P8:P9)</f>
        <v>4410124</v>
      </c>
      <c r="Q10" s="271" t="n">
        <f aca="false">SUM(Q8:Q9)</f>
        <v>996777</v>
      </c>
      <c r="R10" s="271" t="n">
        <f aca="false">SUM(R8:R9)</f>
        <v>87577</v>
      </c>
      <c r="S10" s="271" t="n">
        <f aca="false">SUM(S8:S9)</f>
        <v>4080506</v>
      </c>
      <c r="T10" s="271" t="n">
        <f aca="false">SUM(T8:T9)</f>
        <v>6270281</v>
      </c>
      <c r="U10" s="271" t="n">
        <f aca="false">SUM(U8:U9)</f>
        <v>18458897</v>
      </c>
      <c r="V10" s="271" t="n">
        <f aca="false">SUM(V8:V9)</f>
        <v>2150865</v>
      </c>
      <c r="W10" s="271" t="n">
        <f aca="false">SUM(W8:W9)</f>
        <v>530124</v>
      </c>
      <c r="X10" s="271" t="n">
        <f aca="false">SUM(X8:X9)</f>
        <v>946727</v>
      </c>
      <c r="Y10" s="271" t="n">
        <f aca="false">SUM(B10:X10)</f>
        <v>184930132</v>
      </c>
      <c r="Z10" s="271" t="n">
        <f aca="false">Y10-Q10-O10-L10-K10</f>
        <v>111559381</v>
      </c>
      <c r="AA10" s="273" t="n">
        <f aca="false">Z10/(251+1188)</f>
        <v>77525.6296038916</v>
      </c>
      <c r="AB10" s="271" t="n">
        <f aca="false">SUM(AB8:AB9)</f>
        <v>237685</v>
      </c>
      <c r="AC10" s="271" t="n">
        <f aca="false">SUM(AC8:AC9)</f>
        <v>0</v>
      </c>
      <c r="AD10" s="271" t="n">
        <f aca="false">SUM(AD8:AD9)</f>
        <v>346442</v>
      </c>
      <c r="AE10" s="271" t="n">
        <f aca="false">SUM(AB10:AD10)</f>
        <v>584127</v>
      </c>
      <c r="AF10" s="271"/>
      <c r="AG10" s="271"/>
      <c r="AH10" s="271"/>
      <c r="AI10" s="271"/>
      <c r="AJ10" s="271"/>
      <c r="AK10" s="271"/>
      <c r="AL10" s="271"/>
      <c r="AM10" s="271"/>
      <c r="AN10" s="271"/>
      <c r="AO10" s="271"/>
      <c r="AP10" s="271"/>
      <c r="AQ10" s="271"/>
      <c r="AR10" s="271"/>
      <c r="AS10" s="271"/>
      <c r="AT10" s="271"/>
      <c r="AU10" s="271"/>
      <c r="AV10" s="271"/>
      <c r="AW10" s="271"/>
      <c r="AX10" s="271"/>
      <c r="AY10" s="271"/>
      <c r="AZ10" s="271"/>
      <c r="BA10" s="271"/>
      <c r="BB10" s="271"/>
      <c r="BC10" s="271"/>
      <c r="BD10" s="271"/>
      <c r="BE10" s="271"/>
      <c r="BF10" s="271"/>
      <c r="BG10" s="271"/>
      <c r="BH10" s="271"/>
      <c r="BI10" s="271"/>
      <c r="BJ10" s="271"/>
      <c r="BK10" s="271"/>
      <c r="BL10" s="271"/>
      <c r="BM10" s="271"/>
      <c r="BN10" s="271"/>
      <c r="BO10" s="271"/>
      <c r="BP10" s="271"/>
      <c r="BQ10" s="271"/>
      <c r="BR10" s="271"/>
      <c r="BS10" s="271"/>
      <c r="BT10" s="271"/>
      <c r="BU10" s="271"/>
      <c r="BV10" s="271"/>
      <c r="BW10" s="271"/>
      <c r="BX10" s="271"/>
      <c r="BY10" s="271"/>
      <c r="BZ10" s="271"/>
      <c r="CA10" s="271"/>
      <c r="CB10" s="271"/>
      <c r="CC10" s="271"/>
      <c r="CD10" s="271"/>
      <c r="CE10" s="271"/>
      <c r="CF10" s="271"/>
      <c r="CG10" s="271"/>
      <c r="CH10" s="271"/>
      <c r="CI10" s="271"/>
      <c r="CJ10" s="271"/>
      <c r="CK10" s="271"/>
      <c r="CL10" s="271"/>
      <c r="CM10" s="271"/>
      <c r="CN10" s="271"/>
      <c r="CO10" s="271"/>
      <c r="CP10" s="271"/>
      <c r="CQ10" s="271"/>
      <c r="CR10" s="271"/>
      <c r="CS10" s="271"/>
      <c r="CT10" s="271"/>
      <c r="CU10" s="271"/>
      <c r="CV10" s="271"/>
      <c r="CW10" s="271"/>
      <c r="CX10" s="271"/>
      <c r="CY10" s="271"/>
      <c r="CZ10" s="271"/>
      <c r="DA10" s="271"/>
      <c r="DB10" s="271"/>
      <c r="DC10" s="271"/>
      <c r="DD10" s="271"/>
      <c r="DE10" s="271"/>
      <c r="DF10" s="271"/>
      <c r="DG10" s="271"/>
      <c r="DH10" s="271"/>
      <c r="DI10" s="271"/>
      <c r="DJ10" s="271"/>
      <c r="DK10" s="271"/>
      <c r="DL10" s="271"/>
      <c r="DM10" s="271"/>
      <c r="DN10" s="271"/>
      <c r="DO10" s="271"/>
      <c r="DP10" s="271"/>
      <c r="DQ10" s="271"/>
      <c r="DR10" s="271"/>
      <c r="DS10" s="271"/>
      <c r="DT10" s="271"/>
      <c r="DU10" s="271"/>
      <c r="DV10" s="271"/>
      <c r="DW10" s="271"/>
      <c r="DX10" s="271"/>
      <c r="DY10" s="271"/>
      <c r="DZ10" s="271"/>
      <c r="EA10" s="271"/>
      <c r="EB10" s="271"/>
      <c r="EC10" s="271"/>
      <c r="ED10" s="271"/>
      <c r="EE10" s="271"/>
      <c r="EF10" s="271"/>
      <c r="EG10" s="271"/>
      <c r="EH10" s="271"/>
      <c r="EI10" s="271"/>
      <c r="EJ10" s="271"/>
      <c r="EK10" s="271"/>
      <c r="EL10" s="271"/>
      <c r="EM10" s="271"/>
      <c r="EN10" s="271"/>
      <c r="EO10" s="271"/>
      <c r="EP10" s="271"/>
      <c r="EQ10" s="271"/>
      <c r="ER10" s="271"/>
      <c r="ES10" s="271"/>
      <c r="ET10" s="271"/>
      <c r="EU10" s="271"/>
      <c r="EV10" s="271"/>
      <c r="EW10" s="271"/>
      <c r="EX10" s="271"/>
      <c r="EY10" s="271"/>
      <c r="EZ10" s="271"/>
      <c r="FA10" s="271"/>
      <c r="FB10" s="271"/>
      <c r="FC10" s="271"/>
      <c r="FD10" s="271"/>
      <c r="FE10" s="271"/>
      <c r="FF10" s="271"/>
      <c r="FG10" s="271"/>
      <c r="FH10" s="271"/>
      <c r="FI10" s="271"/>
      <c r="FJ10" s="271"/>
      <c r="FK10" s="271"/>
      <c r="FL10" s="271"/>
      <c r="FM10" s="271"/>
      <c r="FN10" s="271"/>
      <c r="FO10" s="271"/>
      <c r="FP10" s="271"/>
      <c r="FQ10" s="271"/>
      <c r="FR10" s="271"/>
      <c r="FS10" s="271"/>
      <c r="FT10" s="271"/>
      <c r="FU10" s="271"/>
      <c r="FV10" s="271"/>
      <c r="FW10" s="271"/>
      <c r="FX10" s="271"/>
      <c r="FY10" s="271"/>
      <c r="FZ10" s="271"/>
      <c r="GA10" s="271"/>
      <c r="GB10" s="271"/>
      <c r="GC10" s="271"/>
      <c r="GD10" s="271"/>
      <c r="GE10" s="271"/>
      <c r="GF10" s="271"/>
      <c r="GG10" s="271"/>
      <c r="GH10" s="271"/>
      <c r="GI10" s="271"/>
      <c r="GJ10" s="271"/>
      <c r="GK10" s="271"/>
      <c r="GL10" s="271"/>
      <c r="GM10" s="271"/>
      <c r="GN10" s="271"/>
      <c r="GO10" s="271"/>
      <c r="GP10" s="271"/>
      <c r="GQ10" s="271"/>
      <c r="GR10" s="271"/>
      <c r="GS10" s="271"/>
      <c r="GT10" s="271"/>
      <c r="GU10" s="271"/>
      <c r="GV10" s="271"/>
      <c r="GW10" s="271"/>
      <c r="GX10" s="271"/>
      <c r="GY10" s="271"/>
      <c r="GZ10" s="271"/>
      <c r="HA10" s="271"/>
      <c r="HB10" s="271"/>
      <c r="HC10" s="271"/>
      <c r="HD10" s="271"/>
      <c r="HE10" s="271"/>
      <c r="HF10" s="271"/>
      <c r="HG10" s="271"/>
      <c r="HH10" s="271"/>
      <c r="HI10" s="271"/>
      <c r="HJ10" s="271"/>
      <c r="HK10" s="271"/>
      <c r="HL10" s="271"/>
      <c r="HM10" s="271"/>
      <c r="HN10" s="271"/>
      <c r="HO10" s="271"/>
      <c r="HP10" s="271"/>
      <c r="HQ10" s="271"/>
      <c r="HR10" s="271"/>
      <c r="HS10" s="271"/>
      <c r="HT10" s="271"/>
      <c r="HU10" s="271"/>
      <c r="HV10" s="271"/>
      <c r="HW10" s="271"/>
      <c r="HX10" s="271"/>
      <c r="HY10" s="271"/>
      <c r="HZ10" s="271"/>
      <c r="IA10" s="271"/>
      <c r="IB10" s="271"/>
      <c r="IC10" s="271"/>
      <c r="ID10" s="271"/>
      <c r="IE10" s="271"/>
      <c r="IF10" s="271"/>
      <c r="IG10" s="271"/>
      <c r="IH10" s="271"/>
      <c r="II10" s="271"/>
      <c r="IJ10" s="271"/>
      <c r="IK10" s="271"/>
      <c r="IL10" s="271"/>
      <c r="IM10" s="271"/>
      <c r="IN10" s="271"/>
      <c r="IO10" s="271"/>
      <c r="IP10" s="271"/>
      <c r="IQ10" s="271"/>
      <c r="IR10" s="271"/>
      <c r="IS10" s="271"/>
      <c r="IT10" s="271"/>
      <c r="IU10" s="271"/>
      <c r="IV10" s="271"/>
      <c r="IW10" s="271"/>
    </row>
    <row r="11" customFormat="false" ht="13.5" hidden="false" customHeight="false" outlineLevel="0" collapsed="false">
      <c r="A11" s="276"/>
      <c r="B11" s="277"/>
      <c r="C11" s="276"/>
      <c r="D11" s="276"/>
      <c r="E11" s="276"/>
      <c r="F11" s="276"/>
      <c r="G11" s="276"/>
      <c r="H11" s="276"/>
      <c r="I11" s="276"/>
      <c r="J11" s="276"/>
      <c r="K11" s="276"/>
      <c r="L11" s="276"/>
      <c r="M11" s="276"/>
      <c r="N11" s="276"/>
      <c r="O11" s="276"/>
      <c r="P11" s="276"/>
      <c r="Q11" s="276"/>
      <c r="R11" s="276"/>
      <c r="S11" s="276"/>
      <c r="T11" s="276"/>
      <c r="U11" s="276"/>
      <c r="V11" s="276"/>
      <c r="W11" s="276"/>
      <c r="X11" s="276"/>
      <c r="Y11" s="276"/>
      <c r="Z11" s="273"/>
      <c r="AA11" s="276"/>
      <c r="AB11" s="276"/>
      <c r="AC11" s="276"/>
      <c r="AD11" s="276"/>
      <c r="AE11" s="276"/>
      <c r="AF11" s="276"/>
      <c r="AG11" s="276"/>
      <c r="AH11" s="276"/>
      <c r="AI11" s="276"/>
      <c r="AJ11" s="276"/>
      <c r="AK11" s="276"/>
      <c r="AL11" s="276"/>
      <c r="AM11" s="276"/>
      <c r="AN11" s="276"/>
      <c r="AO11" s="276"/>
      <c r="AP11" s="276"/>
      <c r="AQ11" s="276"/>
      <c r="AR11" s="276"/>
      <c r="AS11" s="276"/>
      <c r="AT11" s="276"/>
      <c r="AU11" s="276"/>
      <c r="AV11" s="276"/>
      <c r="AW11" s="276"/>
      <c r="AX11" s="276"/>
      <c r="AY11" s="276"/>
      <c r="AZ11" s="276"/>
      <c r="BA11" s="276"/>
      <c r="BB11" s="276"/>
      <c r="BC11" s="276"/>
      <c r="BD11" s="276"/>
      <c r="BE11" s="276"/>
      <c r="BF11" s="276"/>
      <c r="BG11" s="276"/>
      <c r="BH11" s="276"/>
      <c r="BI11" s="276"/>
      <c r="BJ11" s="276"/>
      <c r="BK11" s="276"/>
      <c r="BL11" s="276"/>
      <c r="BM11" s="276"/>
      <c r="BN11" s="276"/>
      <c r="BO11" s="276"/>
      <c r="BP11" s="276"/>
      <c r="BQ11" s="276"/>
      <c r="BR11" s="276"/>
      <c r="BS11" s="276"/>
      <c r="BT11" s="276"/>
      <c r="BU11" s="276"/>
      <c r="BV11" s="276"/>
      <c r="BW11" s="276"/>
      <c r="BX11" s="276"/>
      <c r="BY11" s="276"/>
      <c r="BZ11" s="276"/>
      <c r="CA11" s="276"/>
      <c r="CB11" s="276"/>
      <c r="CC11" s="276"/>
      <c r="CD11" s="276"/>
      <c r="CE11" s="276"/>
      <c r="CF11" s="276"/>
      <c r="CG11" s="276"/>
      <c r="CH11" s="276"/>
      <c r="CI11" s="276"/>
      <c r="CJ11" s="276"/>
      <c r="CK11" s="276"/>
      <c r="CL11" s="276"/>
      <c r="CM11" s="276"/>
      <c r="CN11" s="276"/>
      <c r="CO11" s="276"/>
      <c r="CP11" s="276"/>
      <c r="CQ11" s="276"/>
      <c r="CR11" s="276"/>
      <c r="CS11" s="276"/>
      <c r="CT11" s="276"/>
      <c r="CU11" s="276"/>
      <c r="CV11" s="276"/>
      <c r="CW11" s="276"/>
      <c r="CX11" s="276"/>
      <c r="CY11" s="276"/>
      <c r="CZ11" s="276"/>
      <c r="DA11" s="276"/>
      <c r="DB11" s="276"/>
      <c r="DC11" s="276"/>
      <c r="DD11" s="276"/>
      <c r="DE11" s="276"/>
      <c r="DF11" s="276"/>
      <c r="DG11" s="276"/>
      <c r="DH11" s="276"/>
      <c r="DI11" s="276"/>
      <c r="DJ11" s="276"/>
      <c r="DK11" s="276"/>
      <c r="DL11" s="276"/>
      <c r="DM11" s="276"/>
      <c r="DN11" s="276"/>
      <c r="DO11" s="276"/>
      <c r="DP11" s="276"/>
      <c r="DQ11" s="276"/>
      <c r="DR11" s="276"/>
      <c r="DS11" s="276"/>
      <c r="DT11" s="276"/>
      <c r="DU11" s="276"/>
      <c r="DV11" s="276"/>
      <c r="DW11" s="276"/>
      <c r="DX11" s="276"/>
      <c r="DY11" s="276"/>
      <c r="DZ11" s="276"/>
      <c r="EA11" s="276"/>
      <c r="EB11" s="276"/>
      <c r="EC11" s="276"/>
      <c r="ED11" s="276"/>
      <c r="EE11" s="276"/>
      <c r="EF11" s="276"/>
      <c r="EG11" s="276"/>
      <c r="EH11" s="276"/>
      <c r="EI11" s="276"/>
      <c r="EJ11" s="276"/>
      <c r="EK11" s="276"/>
      <c r="EL11" s="276"/>
      <c r="EM11" s="276"/>
      <c r="EN11" s="276"/>
      <c r="EO11" s="276"/>
      <c r="EP11" s="276"/>
      <c r="EQ11" s="276"/>
      <c r="ER11" s="276"/>
      <c r="ES11" s="276"/>
      <c r="ET11" s="276"/>
      <c r="EU11" s="276"/>
      <c r="EV11" s="276"/>
      <c r="EW11" s="276"/>
      <c r="EX11" s="276"/>
      <c r="EY11" s="276"/>
      <c r="EZ11" s="276"/>
      <c r="FA11" s="276"/>
      <c r="FB11" s="276"/>
      <c r="FC11" s="276"/>
      <c r="FD11" s="276"/>
      <c r="FE11" s="276"/>
      <c r="FF11" s="276"/>
      <c r="FG11" s="276"/>
      <c r="FH11" s="276"/>
      <c r="FI11" s="276"/>
      <c r="FJ11" s="276"/>
      <c r="FK11" s="276"/>
      <c r="FL11" s="276"/>
      <c r="FM11" s="276"/>
      <c r="FN11" s="276"/>
      <c r="FO11" s="276"/>
      <c r="FP11" s="276"/>
      <c r="FQ11" s="276"/>
      <c r="FR11" s="276"/>
      <c r="FS11" s="276"/>
      <c r="FT11" s="276"/>
      <c r="FU11" s="276"/>
      <c r="FV11" s="276"/>
      <c r="FW11" s="276"/>
      <c r="FX11" s="276"/>
      <c r="FY11" s="276"/>
      <c r="FZ11" s="276"/>
      <c r="GA11" s="276"/>
      <c r="GB11" s="276"/>
      <c r="GC11" s="276"/>
      <c r="GD11" s="276"/>
      <c r="GE11" s="276"/>
      <c r="GF11" s="276"/>
      <c r="GG11" s="276"/>
      <c r="GH11" s="276"/>
      <c r="GI11" s="276"/>
      <c r="GJ11" s="276"/>
      <c r="GK11" s="276"/>
      <c r="GL11" s="276"/>
      <c r="GM11" s="276"/>
      <c r="GN11" s="276"/>
      <c r="GO11" s="276"/>
      <c r="GP11" s="276"/>
      <c r="GQ11" s="276"/>
      <c r="GR11" s="276"/>
      <c r="GS11" s="276"/>
      <c r="GT11" s="276"/>
      <c r="GU11" s="276"/>
      <c r="GV11" s="276"/>
      <c r="GW11" s="276"/>
      <c r="GX11" s="276"/>
      <c r="GY11" s="276"/>
      <c r="GZ11" s="276"/>
      <c r="HA11" s="276"/>
      <c r="HB11" s="276"/>
      <c r="HC11" s="276"/>
      <c r="HD11" s="276"/>
      <c r="HE11" s="276"/>
      <c r="HF11" s="276"/>
      <c r="HG11" s="276"/>
      <c r="HH11" s="276"/>
      <c r="HI11" s="276"/>
      <c r="HJ11" s="276"/>
      <c r="HK11" s="276"/>
      <c r="HL11" s="276"/>
      <c r="HM11" s="276"/>
      <c r="HN11" s="276"/>
      <c r="HO11" s="276"/>
      <c r="HP11" s="276"/>
      <c r="HQ11" s="276"/>
      <c r="HR11" s="276"/>
      <c r="HS11" s="276"/>
      <c r="HT11" s="276"/>
      <c r="HU11" s="276"/>
      <c r="HV11" s="276"/>
      <c r="HW11" s="276"/>
      <c r="HX11" s="276"/>
      <c r="HY11" s="276"/>
      <c r="HZ11" s="276"/>
      <c r="IA11" s="276"/>
      <c r="IB11" s="276"/>
      <c r="IC11" s="276"/>
      <c r="ID11" s="276"/>
      <c r="IE11" s="276"/>
      <c r="IF11" s="276"/>
      <c r="IG11" s="276"/>
      <c r="IH11" s="276"/>
      <c r="II11" s="276"/>
      <c r="IJ11" s="276"/>
      <c r="IK11" s="276"/>
      <c r="IL11" s="276"/>
      <c r="IM11" s="276"/>
      <c r="IN11" s="276"/>
      <c r="IO11" s="276"/>
      <c r="IP11" s="276"/>
      <c r="IQ11" s="276"/>
      <c r="IR11" s="276"/>
      <c r="IS11" s="276"/>
      <c r="IT11" s="276"/>
      <c r="IU11" s="276"/>
      <c r="IV11" s="276"/>
      <c r="IW11" s="276"/>
    </row>
    <row r="12" customFormat="false" ht="12.75" hidden="false" customHeight="false" outlineLevel="0" collapsed="false">
      <c r="Z12" s="273"/>
    </row>
    <row r="13" customFormat="false" ht="12.75" hidden="false" customHeight="false" outlineLevel="0" collapsed="false">
      <c r="A13" s="165" t="s">
        <v>168</v>
      </c>
      <c r="B13" s="270" t="n">
        <v>1997</v>
      </c>
      <c r="C13" s="165" t="n">
        <v>30488951</v>
      </c>
      <c r="D13" s="165" t="n">
        <v>453131</v>
      </c>
      <c r="E13" s="165" t="n">
        <v>0</v>
      </c>
      <c r="F13" s="165" t="n">
        <v>0</v>
      </c>
      <c r="G13" s="165" t="n">
        <v>12021369</v>
      </c>
      <c r="H13" s="165" t="n">
        <v>653073</v>
      </c>
      <c r="I13" s="165" t="n">
        <v>1318669</v>
      </c>
      <c r="J13" s="165" t="n">
        <v>12161296</v>
      </c>
      <c r="K13" s="165" t="n">
        <v>70159188</v>
      </c>
      <c r="L13" s="165" t="n">
        <v>0</v>
      </c>
      <c r="M13" s="165" t="n">
        <v>6848746</v>
      </c>
      <c r="N13" s="165" t="n">
        <v>2030368</v>
      </c>
      <c r="O13" s="165" t="n">
        <v>0</v>
      </c>
      <c r="P13" s="165" t="n">
        <v>479169</v>
      </c>
      <c r="Q13" s="165" t="n">
        <v>127606</v>
      </c>
      <c r="R13" s="165" t="n">
        <v>3209159</v>
      </c>
      <c r="S13" s="165" t="n">
        <v>466287</v>
      </c>
      <c r="T13" s="165" t="n">
        <v>1339171</v>
      </c>
      <c r="U13" s="165" t="n">
        <v>9431930</v>
      </c>
      <c r="V13" s="165" t="n">
        <v>298525</v>
      </c>
      <c r="W13" s="165" t="n">
        <v>366993</v>
      </c>
      <c r="X13" s="165" t="n">
        <v>3907670</v>
      </c>
      <c r="Y13" s="273" t="n">
        <f aca="false">SUM(C13:X13)</f>
        <v>155761301</v>
      </c>
      <c r="Z13" s="273" t="n">
        <f aca="false">Y13-Q13-O13-L13-K13</f>
        <v>85474507</v>
      </c>
      <c r="AB13" s="165" t="n">
        <v>833764</v>
      </c>
      <c r="AC13" s="165" t="n">
        <v>0</v>
      </c>
      <c r="AD13" s="165" t="n">
        <v>2922368</v>
      </c>
      <c r="AE13" s="275" t="n">
        <f aca="false">SUM(AB13:AD13)</f>
        <v>3756132</v>
      </c>
    </row>
    <row r="14" customFormat="false" ht="12.75" hidden="false" customHeight="false" outlineLevel="0" collapsed="false">
      <c r="A14" s="165" t="s">
        <v>158</v>
      </c>
      <c r="B14" s="270" t="n">
        <v>1997</v>
      </c>
      <c r="C14" s="165" t="n">
        <v>986379</v>
      </c>
      <c r="D14" s="165" t="n">
        <v>240106</v>
      </c>
      <c r="E14" s="165" t="n">
        <v>0</v>
      </c>
      <c r="F14" s="165" t="n">
        <v>0</v>
      </c>
      <c r="G14" s="165" t="n">
        <v>6665077</v>
      </c>
      <c r="H14" s="165" t="n">
        <v>645950</v>
      </c>
      <c r="I14" s="165" t="n">
        <v>1057051</v>
      </c>
      <c r="J14" s="165" t="n">
        <v>7279619</v>
      </c>
      <c r="K14" s="165" t="n">
        <v>35280623</v>
      </c>
      <c r="L14" s="165" t="n">
        <v>0</v>
      </c>
      <c r="M14" s="165" t="n">
        <v>4686671</v>
      </c>
      <c r="N14" s="165" t="n">
        <v>702149</v>
      </c>
      <c r="O14" s="165" t="n">
        <v>5889905</v>
      </c>
      <c r="P14" s="165" t="n">
        <v>17067</v>
      </c>
      <c r="Q14" s="165" t="n">
        <v>369581</v>
      </c>
      <c r="R14" s="165" t="n">
        <v>1656250</v>
      </c>
      <c r="S14" s="165" t="n">
        <v>706702</v>
      </c>
      <c r="T14" s="165" t="n">
        <v>2829238</v>
      </c>
      <c r="U14" s="165" t="n">
        <v>7835375</v>
      </c>
      <c r="V14" s="165" t="n">
        <v>196954</v>
      </c>
      <c r="W14" s="165" t="n">
        <v>248395</v>
      </c>
      <c r="X14" s="165" t="n">
        <v>1784563</v>
      </c>
      <c r="Y14" s="273" t="n">
        <f aca="false">SUM(C14:X14)</f>
        <v>79077655</v>
      </c>
      <c r="Z14" s="273" t="n">
        <f aca="false">Y14-Q14-O14-L14-K14</f>
        <v>37537546</v>
      </c>
      <c r="AB14" s="165" t="n">
        <v>316538</v>
      </c>
      <c r="AC14" s="165" t="n">
        <v>0</v>
      </c>
      <c r="AD14" s="165" t="n">
        <v>2134877</v>
      </c>
      <c r="AE14" s="275" t="n">
        <f aca="false">SUM(AB14:AD14)</f>
        <v>2451415</v>
      </c>
    </row>
    <row r="15" customFormat="false" ht="12.75" hidden="false" customHeight="false" outlineLevel="0" collapsed="false">
      <c r="A15" s="271" t="s">
        <v>289</v>
      </c>
      <c r="B15" s="274" t="n">
        <v>1997</v>
      </c>
      <c r="C15" s="271" t="n">
        <f aca="false">SUM(C13:C14)</f>
        <v>31475330</v>
      </c>
      <c r="D15" s="271" t="n">
        <f aca="false">SUM(D13:D14)</f>
        <v>693237</v>
      </c>
      <c r="E15" s="271" t="n">
        <f aca="false">SUM(E13:E14)</f>
        <v>0</v>
      </c>
      <c r="F15" s="271" t="n">
        <f aca="false">SUM(F13:F14)</f>
        <v>0</v>
      </c>
      <c r="G15" s="271" t="n">
        <f aca="false">SUM(G13:G14)</f>
        <v>18686446</v>
      </c>
      <c r="H15" s="271" t="n">
        <f aca="false">SUM(H13:H14)</f>
        <v>1299023</v>
      </c>
      <c r="I15" s="271" t="n">
        <f aca="false">SUM(I13:I14)</f>
        <v>2375720</v>
      </c>
      <c r="J15" s="271" t="n">
        <f aca="false">SUM(J13:J14)</f>
        <v>19440915</v>
      </c>
      <c r="K15" s="271" t="n">
        <f aca="false">SUM(K13:K14)</f>
        <v>105439811</v>
      </c>
      <c r="L15" s="271" t="n">
        <f aca="false">SUM(L13:L14)</f>
        <v>0</v>
      </c>
      <c r="M15" s="271" t="n">
        <f aca="false">SUM(M13:M14)</f>
        <v>11535417</v>
      </c>
      <c r="N15" s="271" t="n">
        <f aca="false">SUM(N13:N14)</f>
        <v>2732517</v>
      </c>
      <c r="O15" s="271" t="n">
        <f aca="false">SUM(O13:O14)</f>
        <v>5889905</v>
      </c>
      <c r="P15" s="271" t="n">
        <f aca="false">SUM(P13:P14)</f>
        <v>496236</v>
      </c>
      <c r="Q15" s="271" t="n">
        <f aca="false">SUM(Q13:Q14)</f>
        <v>497187</v>
      </c>
      <c r="R15" s="271" t="n">
        <f aca="false">SUM(R13:R14)</f>
        <v>4865409</v>
      </c>
      <c r="S15" s="271" t="n">
        <f aca="false">SUM(S13:S14)</f>
        <v>1172989</v>
      </c>
      <c r="T15" s="271" t="n">
        <f aca="false">SUM(T13:T14)</f>
        <v>4168409</v>
      </c>
      <c r="U15" s="271" t="n">
        <f aca="false">SUM(U13:U14)</f>
        <v>17267305</v>
      </c>
      <c r="V15" s="271" t="n">
        <f aca="false">SUM(V13:V14)</f>
        <v>495479</v>
      </c>
      <c r="W15" s="271" t="n">
        <f aca="false">SUM(W13:W14)</f>
        <v>615388</v>
      </c>
      <c r="X15" s="271" t="n">
        <f aca="false">SUM(X13:X14)</f>
        <v>5692233</v>
      </c>
      <c r="Y15" s="271" t="n">
        <f aca="false">SUM(C15:X15)</f>
        <v>234838956</v>
      </c>
      <c r="Z15" s="271" t="n">
        <f aca="false">Y15-Q15-O15-L15-K15</f>
        <v>123012053</v>
      </c>
      <c r="AA15" s="271"/>
      <c r="AB15" s="271" t="n">
        <f aca="false">SUM(AB13:AB14)</f>
        <v>1150302</v>
      </c>
      <c r="AC15" s="271" t="n">
        <f aca="false">SUM(AC13:AC14)</f>
        <v>0</v>
      </c>
      <c r="AD15" s="271" t="n">
        <f aca="false">SUM(AD13:AD14)</f>
        <v>5057245</v>
      </c>
      <c r="AE15" s="271" t="n">
        <f aca="false">SUM(AB15:AD15)</f>
        <v>6207547</v>
      </c>
    </row>
    <row r="16" customFormat="false" ht="12.75" hidden="false" customHeight="false" outlineLevel="0" collapsed="false">
      <c r="A16" s="271"/>
      <c r="Y16" s="273"/>
      <c r="Z16" s="273"/>
      <c r="AE16" s="275"/>
    </row>
    <row r="17" customFormat="false" ht="12.75" hidden="false" customHeight="false" outlineLevel="0" collapsed="false">
      <c r="A17" s="165" t="s">
        <v>166</v>
      </c>
      <c r="B17" s="270" t="n">
        <v>1997</v>
      </c>
      <c r="C17" s="165" t="n">
        <v>4195663</v>
      </c>
      <c r="D17" s="165" t="n">
        <v>3203451</v>
      </c>
      <c r="E17" s="165" t="n">
        <v>2768278</v>
      </c>
      <c r="F17" s="165" t="n">
        <v>738578</v>
      </c>
      <c r="G17" s="165" t="n">
        <v>4469044</v>
      </c>
      <c r="H17" s="165" t="n">
        <v>6819351</v>
      </c>
      <c r="I17" s="165" t="n">
        <v>1485623</v>
      </c>
      <c r="J17" s="165" t="n">
        <v>17220894</v>
      </c>
      <c r="K17" s="165" t="n">
        <v>79862182</v>
      </c>
      <c r="L17" s="165" t="n">
        <v>5850062</v>
      </c>
      <c r="M17" s="165" t="n">
        <v>17474261</v>
      </c>
      <c r="N17" s="165" t="n">
        <v>4386175</v>
      </c>
      <c r="O17" s="165" t="n">
        <v>2194930</v>
      </c>
      <c r="P17" s="165" t="n">
        <v>4670807</v>
      </c>
      <c r="Q17" s="165" t="n">
        <v>828653</v>
      </c>
      <c r="R17" s="165" t="n">
        <v>135709</v>
      </c>
      <c r="S17" s="165" t="n">
        <v>3154494</v>
      </c>
      <c r="T17" s="165" t="n">
        <v>4574498</v>
      </c>
      <c r="U17" s="165" t="n">
        <v>17656081</v>
      </c>
      <c r="V17" s="165" t="n">
        <v>1653959</v>
      </c>
      <c r="W17" s="165" t="n">
        <v>395514</v>
      </c>
      <c r="X17" s="165" t="n">
        <v>551010</v>
      </c>
      <c r="Y17" s="273" t="n">
        <f aca="false">SUM(C17:X17)</f>
        <v>184289217</v>
      </c>
      <c r="Z17" s="273" t="n">
        <f aca="false">Y17-Q17-O17-L17-K17</f>
        <v>95553390</v>
      </c>
      <c r="AB17" s="165" t="n">
        <v>437802</v>
      </c>
      <c r="AC17" s="165" t="n">
        <v>0</v>
      </c>
      <c r="AD17" s="165" t="n">
        <v>221956</v>
      </c>
      <c r="AE17" s="275" t="n">
        <f aca="false">SUM(AB17:AD17)</f>
        <v>659758</v>
      </c>
    </row>
    <row r="18" customFormat="false" ht="12.75" hidden="false" customHeight="false" outlineLevel="0" collapsed="false">
      <c r="A18" s="165" t="s">
        <v>162</v>
      </c>
      <c r="B18" s="270" t="n">
        <v>1997</v>
      </c>
      <c r="C18" s="165" t="n">
        <v>0</v>
      </c>
      <c r="D18" s="165" t="n">
        <v>0</v>
      </c>
      <c r="E18" s="165" t="n">
        <v>0</v>
      </c>
      <c r="F18" s="165" t="n">
        <v>0</v>
      </c>
      <c r="G18" s="165" t="n">
        <v>911278</v>
      </c>
      <c r="H18" s="165" t="n">
        <v>237737</v>
      </c>
      <c r="I18" s="165" t="n">
        <v>303812</v>
      </c>
      <c r="J18" s="165" t="n">
        <v>7684815</v>
      </c>
      <c r="K18" s="165" t="n">
        <v>14684751</v>
      </c>
      <c r="L18" s="165" t="n">
        <v>1455151</v>
      </c>
      <c r="M18" s="165" t="n">
        <v>3821912</v>
      </c>
      <c r="N18" s="165" t="n">
        <v>1655079</v>
      </c>
      <c r="O18" s="165" t="n">
        <v>36427</v>
      </c>
      <c r="P18" s="165" t="n">
        <v>315477</v>
      </c>
      <c r="Q18" s="165" t="n">
        <v>44342</v>
      </c>
      <c r="R18" s="165" t="n">
        <v>42964</v>
      </c>
      <c r="S18" s="165" t="n">
        <v>190169</v>
      </c>
      <c r="T18" s="165" t="n">
        <v>1042529</v>
      </c>
      <c r="U18" s="165" t="n">
        <v>1793632</v>
      </c>
      <c r="V18" s="165" t="n">
        <v>428509</v>
      </c>
      <c r="W18" s="165" t="n">
        <v>141890</v>
      </c>
      <c r="X18" s="165" t="n">
        <v>87193</v>
      </c>
      <c r="Y18" s="273" t="n">
        <f aca="false">SUM(C18:X18)</f>
        <v>34877667</v>
      </c>
      <c r="Z18" s="273" t="n">
        <f aca="false">Y18-Q18-O18-L18-K18</f>
        <v>18656996</v>
      </c>
      <c r="AB18" s="165" t="n">
        <v>1451128</v>
      </c>
      <c r="AC18" s="165" t="n">
        <v>0</v>
      </c>
      <c r="AD18" s="165" t="n">
        <v>0</v>
      </c>
      <c r="AE18" s="275" t="n">
        <f aca="false">SUM(AB18:AD18)</f>
        <v>1451128</v>
      </c>
    </row>
    <row r="19" customFormat="false" ht="12.75" hidden="false" customHeight="false" outlineLevel="0" collapsed="false">
      <c r="A19" s="271" t="s">
        <v>290</v>
      </c>
      <c r="B19" s="274" t="n">
        <v>1997</v>
      </c>
      <c r="C19" s="271" t="n">
        <f aca="false">SUM(C17:C18)</f>
        <v>4195663</v>
      </c>
      <c r="D19" s="271" t="n">
        <f aca="false">SUM(D17:D18)</f>
        <v>3203451</v>
      </c>
      <c r="E19" s="271" t="n">
        <f aca="false">SUM(E17:E18)</f>
        <v>2768278</v>
      </c>
      <c r="F19" s="271" t="n">
        <f aca="false">SUM(F17:F18)</f>
        <v>738578</v>
      </c>
      <c r="G19" s="271" t="n">
        <f aca="false">SUM(G17:G18)</f>
        <v>5380322</v>
      </c>
      <c r="H19" s="271" t="n">
        <f aca="false">SUM(H17:H18)</f>
        <v>7057088</v>
      </c>
      <c r="I19" s="271" t="n">
        <f aca="false">SUM(I17:I18)</f>
        <v>1789435</v>
      </c>
      <c r="J19" s="271" t="n">
        <f aca="false">SUM(J17:J18)</f>
        <v>24905709</v>
      </c>
      <c r="K19" s="271" t="n">
        <f aca="false">SUM(K17:K18)</f>
        <v>94546933</v>
      </c>
      <c r="L19" s="271" t="n">
        <f aca="false">SUM(L17:L18)</f>
        <v>7305213</v>
      </c>
      <c r="M19" s="271" t="n">
        <f aca="false">SUM(M17:M18)</f>
        <v>21296173</v>
      </c>
      <c r="N19" s="271" t="n">
        <f aca="false">SUM(N17:N18)</f>
        <v>6041254</v>
      </c>
      <c r="O19" s="271" t="n">
        <f aca="false">SUM(O17:O18)</f>
        <v>2231357</v>
      </c>
      <c r="P19" s="271" t="n">
        <f aca="false">SUM(P17:P18)</f>
        <v>4986284</v>
      </c>
      <c r="Q19" s="271" t="n">
        <f aca="false">SUM(Q17:Q18)</f>
        <v>872995</v>
      </c>
      <c r="R19" s="271" t="n">
        <f aca="false">SUM(R17:R18)</f>
        <v>178673</v>
      </c>
      <c r="S19" s="271" t="n">
        <f aca="false">SUM(S17:S18)</f>
        <v>3344663</v>
      </c>
      <c r="T19" s="271" t="n">
        <f aca="false">SUM(T17:T18)</f>
        <v>5617027</v>
      </c>
      <c r="U19" s="271" t="n">
        <f aca="false">SUM(U17:U18)</f>
        <v>19449713</v>
      </c>
      <c r="V19" s="271" t="n">
        <f aca="false">SUM(V17:V18)</f>
        <v>2082468</v>
      </c>
      <c r="W19" s="271" t="n">
        <f aca="false">SUM(W17:W18)</f>
        <v>537404</v>
      </c>
      <c r="X19" s="271" t="n">
        <f aca="false">SUM(X17:X18)</f>
        <v>638203</v>
      </c>
      <c r="Y19" s="271" t="n">
        <f aca="false">SUM(C19:X19)</f>
        <v>219166884</v>
      </c>
      <c r="Z19" s="271" t="n">
        <f aca="false">Y19-Q19-O19-L19-K19</f>
        <v>114210386</v>
      </c>
      <c r="AA19" s="271"/>
      <c r="AB19" s="271" t="n">
        <f aca="false">SUM(AB17:AB18)</f>
        <v>1888930</v>
      </c>
      <c r="AC19" s="271" t="n">
        <f aca="false">SUM(AC17:AC18)</f>
        <v>0</v>
      </c>
      <c r="AD19" s="271" t="n">
        <f aca="false">SUM(AD17:AD18)</f>
        <v>221956</v>
      </c>
      <c r="AE19" s="271" t="n">
        <f aca="false">SUM(AB19:AD19)</f>
        <v>2110886</v>
      </c>
    </row>
    <row r="20" customFormat="false" ht="12.75" hidden="false" customHeight="false" outlineLevel="0" collapsed="false">
      <c r="A20" s="278"/>
      <c r="B20" s="279"/>
      <c r="C20" s="278"/>
      <c r="D20" s="278"/>
      <c r="E20" s="278"/>
      <c r="F20" s="278"/>
      <c r="G20" s="278"/>
      <c r="H20" s="278"/>
      <c r="I20" s="278"/>
      <c r="J20" s="278"/>
      <c r="K20" s="278"/>
      <c r="L20" s="278"/>
      <c r="M20" s="278"/>
      <c r="N20" s="278"/>
      <c r="O20" s="278"/>
      <c r="P20" s="278"/>
      <c r="Q20" s="278"/>
      <c r="R20" s="278"/>
      <c r="S20" s="278"/>
      <c r="T20" s="278"/>
      <c r="U20" s="278"/>
      <c r="V20" s="278"/>
      <c r="W20" s="278"/>
      <c r="X20" s="278"/>
      <c r="Y20" s="280"/>
      <c r="Z20" s="280"/>
      <c r="AA20" s="278"/>
      <c r="AB20" s="278"/>
      <c r="AC20" s="278"/>
      <c r="AD20" s="278"/>
      <c r="AE20" s="281"/>
      <c r="AF20" s="278"/>
      <c r="AG20" s="278"/>
      <c r="AH20" s="278"/>
      <c r="AI20" s="278"/>
      <c r="AJ20" s="278"/>
      <c r="AK20" s="278"/>
      <c r="AL20" s="278"/>
      <c r="AM20" s="278"/>
      <c r="AN20" s="278"/>
      <c r="AO20" s="278"/>
      <c r="AP20" s="278"/>
      <c r="AQ20" s="278"/>
      <c r="AR20" s="278"/>
      <c r="AS20" s="278"/>
      <c r="AT20" s="278"/>
      <c r="AU20" s="278"/>
      <c r="AV20" s="278"/>
      <c r="AW20" s="278"/>
      <c r="AX20" s="278"/>
      <c r="AY20" s="278"/>
      <c r="AZ20" s="278"/>
      <c r="BA20" s="278"/>
      <c r="BB20" s="278"/>
      <c r="BC20" s="278"/>
      <c r="BD20" s="278"/>
      <c r="BE20" s="278"/>
      <c r="BF20" s="278"/>
      <c r="BG20" s="278"/>
      <c r="BH20" s="278"/>
      <c r="BI20" s="278"/>
      <c r="BJ20" s="278"/>
      <c r="BK20" s="278"/>
      <c r="BL20" s="278"/>
      <c r="BM20" s="278"/>
      <c r="BN20" s="278"/>
      <c r="BO20" s="278"/>
      <c r="BP20" s="278"/>
      <c r="BQ20" s="278"/>
      <c r="BR20" s="278"/>
      <c r="BS20" s="278"/>
      <c r="BT20" s="278"/>
      <c r="BU20" s="278"/>
      <c r="BV20" s="278"/>
      <c r="BW20" s="278"/>
      <c r="BX20" s="278"/>
      <c r="BY20" s="278"/>
      <c r="BZ20" s="278"/>
      <c r="CA20" s="278"/>
      <c r="CB20" s="278"/>
      <c r="CC20" s="278"/>
      <c r="CD20" s="278"/>
      <c r="CE20" s="278"/>
      <c r="CF20" s="278"/>
      <c r="CG20" s="278"/>
      <c r="CH20" s="278"/>
      <c r="CI20" s="278"/>
      <c r="CJ20" s="278"/>
      <c r="CK20" s="278"/>
      <c r="CL20" s="278"/>
      <c r="CM20" s="278"/>
      <c r="CN20" s="278"/>
      <c r="CO20" s="278"/>
      <c r="CP20" s="278"/>
      <c r="CQ20" s="278"/>
      <c r="CR20" s="278"/>
      <c r="CS20" s="278"/>
      <c r="CT20" s="278"/>
      <c r="CU20" s="278"/>
      <c r="CV20" s="278"/>
      <c r="CW20" s="278"/>
      <c r="CX20" s="278"/>
      <c r="CY20" s="278"/>
      <c r="CZ20" s="278"/>
      <c r="DA20" s="278"/>
      <c r="DB20" s="278"/>
      <c r="DC20" s="278"/>
      <c r="DD20" s="278"/>
      <c r="DE20" s="278"/>
      <c r="DF20" s="278"/>
      <c r="DG20" s="278"/>
      <c r="DH20" s="278"/>
      <c r="DI20" s="278"/>
      <c r="DJ20" s="278"/>
      <c r="DK20" s="278"/>
      <c r="DL20" s="278"/>
      <c r="DM20" s="278"/>
      <c r="DN20" s="278"/>
      <c r="DO20" s="278"/>
      <c r="DP20" s="278"/>
      <c r="DQ20" s="278"/>
      <c r="DR20" s="278"/>
      <c r="DS20" s="278"/>
      <c r="DT20" s="278"/>
      <c r="DU20" s="278"/>
      <c r="DV20" s="278"/>
      <c r="DW20" s="278"/>
      <c r="DX20" s="278"/>
      <c r="DY20" s="278"/>
      <c r="DZ20" s="278"/>
      <c r="EA20" s="278"/>
      <c r="EB20" s="278"/>
      <c r="EC20" s="278"/>
      <c r="ED20" s="278"/>
      <c r="EE20" s="278"/>
      <c r="EF20" s="278"/>
      <c r="EG20" s="278"/>
      <c r="EH20" s="278"/>
      <c r="EI20" s="278"/>
      <c r="EJ20" s="278"/>
      <c r="EK20" s="278"/>
      <c r="EL20" s="278"/>
      <c r="EM20" s="278"/>
      <c r="EN20" s="278"/>
      <c r="EO20" s="278"/>
      <c r="EP20" s="278"/>
      <c r="EQ20" s="278"/>
      <c r="ER20" s="278"/>
      <c r="ES20" s="278"/>
      <c r="ET20" s="278"/>
      <c r="EU20" s="278"/>
      <c r="EV20" s="278"/>
      <c r="EW20" s="278"/>
      <c r="EX20" s="278"/>
      <c r="EY20" s="278"/>
      <c r="EZ20" s="278"/>
      <c r="FA20" s="278"/>
      <c r="FB20" s="278"/>
      <c r="FC20" s="278"/>
      <c r="FD20" s="278"/>
      <c r="FE20" s="278"/>
      <c r="FF20" s="278"/>
      <c r="FG20" s="278"/>
      <c r="FH20" s="278"/>
      <c r="FI20" s="278"/>
      <c r="FJ20" s="278"/>
      <c r="FK20" s="278"/>
      <c r="FL20" s="278"/>
      <c r="FM20" s="278"/>
      <c r="FN20" s="278"/>
      <c r="FO20" s="278"/>
      <c r="FP20" s="278"/>
      <c r="FQ20" s="278"/>
      <c r="FR20" s="278"/>
      <c r="FS20" s="278"/>
      <c r="FT20" s="278"/>
      <c r="FU20" s="278"/>
      <c r="FV20" s="278"/>
      <c r="FW20" s="278"/>
      <c r="FX20" s="278"/>
      <c r="FY20" s="278"/>
      <c r="FZ20" s="278"/>
      <c r="GA20" s="278"/>
      <c r="GB20" s="278"/>
      <c r="GC20" s="278"/>
      <c r="GD20" s="278"/>
      <c r="GE20" s="278"/>
      <c r="GF20" s="278"/>
      <c r="GG20" s="278"/>
      <c r="GH20" s="278"/>
      <c r="GI20" s="278"/>
      <c r="GJ20" s="278"/>
      <c r="GK20" s="278"/>
      <c r="GL20" s="278"/>
      <c r="GM20" s="278"/>
      <c r="GN20" s="278"/>
      <c r="GO20" s="278"/>
      <c r="GP20" s="278"/>
      <c r="GQ20" s="278"/>
      <c r="GR20" s="278"/>
      <c r="GS20" s="278"/>
      <c r="GT20" s="278"/>
      <c r="GU20" s="278"/>
      <c r="GV20" s="278"/>
      <c r="GW20" s="278"/>
      <c r="GX20" s="278"/>
      <c r="GY20" s="278"/>
      <c r="GZ20" s="278"/>
      <c r="HA20" s="278"/>
      <c r="HB20" s="278"/>
      <c r="HC20" s="278"/>
      <c r="HD20" s="278"/>
      <c r="HE20" s="278"/>
      <c r="HF20" s="278"/>
      <c r="HG20" s="278"/>
      <c r="HH20" s="278"/>
      <c r="HI20" s="278"/>
      <c r="HJ20" s="278"/>
      <c r="HK20" s="278"/>
      <c r="HL20" s="278"/>
      <c r="HM20" s="278"/>
      <c r="HN20" s="278"/>
      <c r="HO20" s="278"/>
      <c r="HP20" s="278"/>
      <c r="HQ20" s="278"/>
      <c r="HR20" s="278"/>
      <c r="HS20" s="278"/>
      <c r="HT20" s="278"/>
      <c r="HU20" s="278"/>
      <c r="HV20" s="278"/>
      <c r="HW20" s="278"/>
      <c r="HX20" s="278"/>
      <c r="HY20" s="278"/>
      <c r="HZ20" s="278"/>
      <c r="IA20" s="278"/>
      <c r="IB20" s="278"/>
      <c r="IC20" s="278"/>
      <c r="ID20" s="278"/>
      <c r="IE20" s="278"/>
      <c r="IF20" s="278"/>
      <c r="IG20" s="278"/>
      <c r="IH20" s="278"/>
      <c r="II20" s="278"/>
      <c r="IJ20" s="278"/>
      <c r="IK20" s="278"/>
      <c r="IL20" s="278"/>
      <c r="IM20" s="278"/>
      <c r="IN20" s="278"/>
      <c r="IO20" s="278"/>
      <c r="IP20" s="278"/>
      <c r="IQ20" s="278"/>
      <c r="IR20" s="278"/>
      <c r="IS20" s="278"/>
      <c r="IT20" s="278"/>
      <c r="IU20" s="278"/>
      <c r="IV20" s="278"/>
      <c r="IW20" s="278"/>
    </row>
    <row r="21" customFormat="false" ht="12.75" hidden="false" customHeight="false" outlineLevel="0" collapsed="false">
      <c r="A21" s="271"/>
      <c r="Y21" s="273"/>
      <c r="Z21" s="273"/>
      <c r="AE21" s="275"/>
    </row>
    <row r="22" customFormat="false" ht="12.75" hidden="false" customHeight="false" outlineLevel="0" collapsed="false">
      <c r="A22" s="165" t="s">
        <v>168</v>
      </c>
      <c r="B22" s="270" t="n">
        <v>1996</v>
      </c>
      <c r="C22" s="165" t="n">
        <v>29682350</v>
      </c>
      <c r="D22" s="165" t="n">
        <v>855677</v>
      </c>
      <c r="E22" s="165" t="n">
        <v>0</v>
      </c>
      <c r="F22" s="165" t="n">
        <v>0</v>
      </c>
      <c r="G22" s="165" t="n">
        <v>10044259</v>
      </c>
      <c r="H22" s="165" t="n">
        <v>722826</v>
      </c>
      <c r="I22" s="165" t="n">
        <v>1358831</v>
      </c>
      <c r="J22" s="165" t="n">
        <v>12978628</v>
      </c>
      <c r="K22" s="165" t="n">
        <v>72494226</v>
      </c>
      <c r="L22" s="165" t="n">
        <v>0</v>
      </c>
      <c r="M22" s="165" t="n">
        <v>4830323</v>
      </c>
      <c r="N22" s="165" t="n">
        <v>1704801</v>
      </c>
      <c r="O22" s="165" t="n">
        <v>0</v>
      </c>
      <c r="P22" s="165" t="n">
        <v>422011</v>
      </c>
      <c r="Q22" s="165" t="n">
        <v>110839</v>
      </c>
      <c r="R22" s="165" t="n">
        <v>5461898</v>
      </c>
      <c r="S22" s="165" t="n">
        <v>866094</v>
      </c>
      <c r="T22" s="165" t="n">
        <v>2263161</v>
      </c>
      <c r="U22" s="165" t="n">
        <v>11695661</v>
      </c>
      <c r="V22" s="165" t="n">
        <v>674144</v>
      </c>
      <c r="W22" s="165" t="n">
        <v>492654</v>
      </c>
      <c r="X22" s="165" t="n">
        <v>1817978</v>
      </c>
      <c r="Y22" s="273" t="n">
        <f aca="false">SUM(C22:X22)</f>
        <v>158476361</v>
      </c>
      <c r="Z22" s="273" t="n">
        <f aca="false">Y22-Q22-O22-L22-K22</f>
        <v>85871296</v>
      </c>
      <c r="AB22" s="165" t="n">
        <v>863942</v>
      </c>
      <c r="AC22" s="165" t="n">
        <v>0</v>
      </c>
      <c r="AD22" s="165" t="n">
        <v>3245161</v>
      </c>
      <c r="AE22" s="275" t="n">
        <f aca="false">SUM(AB22:AD22)</f>
        <v>4109103</v>
      </c>
    </row>
    <row r="23" customFormat="false" ht="12.75" hidden="false" customHeight="false" outlineLevel="0" collapsed="false">
      <c r="A23" s="165" t="s">
        <v>158</v>
      </c>
      <c r="B23" s="270" t="n">
        <v>1996</v>
      </c>
      <c r="C23" s="165" t="n">
        <v>633042</v>
      </c>
      <c r="D23" s="165" t="n">
        <v>238226</v>
      </c>
      <c r="E23" s="165" t="n">
        <v>0</v>
      </c>
      <c r="F23" s="165" t="n">
        <v>0</v>
      </c>
      <c r="G23" s="165" t="n">
        <v>5534276</v>
      </c>
      <c r="H23" s="165" t="n">
        <v>681543</v>
      </c>
      <c r="I23" s="165" t="n">
        <v>1032602</v>
      </c>
      <c r="J23" s="165" t="n">
        <v>7366238</v>
      </c>
      <c r="K23" s="165" t="n">
        <v>41850552</v>
      </c>
      <c r="L23" s="165" t="n">
        <v>0</v>
      </c>
      <c r="M23" s="165" t="n">
        <v>5852376</v>
      </c>
      <c r="N23" s="165" t="n">
        <v>601902</v>
      </c>
      <c r="O23" s="165" t="n">
        <v>20681835</v>
      </c>
      <c r="P23" s="165" t="n">
        <v>274358</v>
      </c>
      <c r="Q23" s="165" t="n">
        <v>140942</v>
      </c>
      <c r="R23" s="165" t="n">
        <v>2237230</v>
      </c>
      <c r="S23" s="165" t="n">
        <v>954343</v>
      </c>
      <c r="T23" s="165" t="n">
        <v>2812879</v>
      </c>
      <c r="U23" s="165" t="n">
        <v>7430275</v>
      </c>
      <c r="V23" s="165" t="n">
        <v>169489</v>
      </c>
      <c r="W23" s="165" t="n">
        <v>362675</v>
      </c>
      <c r="X23" s="165" t="n">
        <v>4240382</v>
      </c>
      <c r="Y23" s="273" t="n">
        <f aca="false">SUM(C23:X23)</f>
        <v>103095165</v>
      </c>
      <c r="Z23" s="273" t="n">
        <f aca="false">Y23-Q23-O23-L23-K23</f>
        <v>40421836</v>
      </c>
      <c r="AB23" s="165" t="n">
        <v>458830</v>
      </c>
      <c r="AC23" s="165" t="n">
        <v>0</v>
      </c>
      <c r="AD23" s="165" t="n">
        <v>2343391</v>
      </c>
      <c r="AE23" s="275" t="n">
        <f aca="false">SUM(AB23:AD23)</f>
        <v>2802221</v>
      </c>
    </row>
    <row r="24" customFormat="false" ht="12.75" hidden="false" customHeight="false" outlineLevel="0" collapsed="false">
      <c r="A24" s="271" t="s">
        <v>289</v>
      </c>
      <c r="B24" s="274" t="n">
        <v>1996</v>
      </c>
      <c r="C24" s="271" t="n">
        <f aca="false">SUM(C22:C23)</f>
        <v>30315392</v>
      </c>
      <c r="D24" s="271" t="n">
        <f aca="false">SUM(D22:D23)</f>
        <v>1093903</v>
      </c>
      <c r="E24" s="271" t="n">
        <f aca="false">SUM(E22:E23)</f>
        <v>0</v>
      </c>
      <c r="F24" s="271" t="n">
        <f aca="false">SUM(F22:F23)</f>
        <v>0</v>
      </c>
      <c r="G24" s="271" t="n">
        <f aca="false">SUM(G22:G23)</f>
        <v>15578535</v>
      </c>
      <c r="H24" s="271" t="n">
        <f aca="false">SUM(H22:H23)</f>
        <v>1404369</v>
      </c>
      <c r="I24" s="271" t="n">
        <f aca="false">SUM(I22:I23)</f>
        <v>2391433</v>
      </c>
      <c r="J24" s="271" t="n">
        <f aca="false">SUM(J22:J23)</f>
        <v>20344866</v>
      </c>
      <c r="K24" s="271" t="n">
        <f aca="false">SUM(K22:K23)</f>
        <v>114344778</v>
      </c>
      <c r="L24" s="271" t="n">
        <f aca="false">SUM(L22:L23)</f>
        <v>0</v>
      </c>
      <c r="M24" s="271" t="n">
        <f aca="false">SUM(M22:M23)</f>
        <v>10682699</v>
      </c>
      <c r="N24" s="271" t="n">
        <f aca="false">SUM(N22:N23)</f>
        <v>2306703</v>
      </c>
      <c r="O24" s="271" t="n">
        <f aca="false">SUM(O22:O23)</f>
        <v>20681835</v>
      </c>
      <c r="P24" s="271" t="n">
        <f aca="false">SUM(P22:P23)</f>
        <v>696369</v>
      </c>
      <c r="Q24" s="271" t="n">
        <f aca="false">SUM(Q22:Q23)</f>
        <v>251781</v>
      </c>
      <c r="R24" s="271" t="n">
        <f aca="false">SUM(R22:R23)</f>
        <v>7699128</v>
      </c>
      <c r="S24" s="271" t="n">
        <f aca="false">SUM(S22:S23)</f>
        <v>1820437</v>
      </c>
      <c r="T24" s="271" t="n">
        <f aca="false">SUM(T22:T23)</f>
        <v>5076040</v>
      </c>
      <c r="U24" s="271" t="n">
        <f aca="false">SUM(U22:U23)</f>
        <v>19125936</v>
      </c>
      <c r="V24" s="271" t="n">
        <f aca="false">SUM(V22:V23)</f>
        <v>843633</v>
      </c>
      <c r="W24" s="271" t="n">
        <f aca="false">SUM(W22:W23)</f>
        <v>855329</v>
      </c>
      <c r="X24" s="271" t="n">
        <f aca="false">SUM(X22:X23)</f>
        <v>6058360</v>
      </c>
      <c r="Y24" s="271" t="n">
        <f aca="false">SUM(C24:X24)</f>
        <v>261571526</v>
      </c>
      <c r="Z24" s="271" t="n">
        <f aca="false">Y24-Q24-O24-L24-K24</f>
        <v>126293132</v>
      </c>
      <c r="AA24" s="271"/>
      <c r="AB24" s="271" t="n">
        <f aca="false">SUM(AB22:AB23)</f>
        <v>1322772</v>
      </c>
      <c r="AC24" s="271" t="n">
        <f aca="false">SUM(AC22:AC23)</f>
        <v>0</v>
      </c>
      <c r="AD24" s="271" t="n">
        <f aca="false">SUM(AD22:AD23)</f>
        <v>5588552</v>
      </c>
      <c r="AE24" s="271" t="n">
        <f aca="false">SUM(AB24:AD24)</f>
        <v>6911324</v>
      </c>
    </row>
    <row r="25" customFormat="false" ht="12.75" hidden="false" customHeight="false" outlineLevel="0" collapsed="false">
      <c r="Y25" s="273"/>
      <c r="Z25" s="273"/>
      <c r="AE25" s="275"/>
    </row>
    <row r="26" customFormat="false" ht="12.75" hidden="false" customHeight="false" outlineLevel="0" collapsed="false">
      <c r="A26" s="165" t="s">
        <v>166</v>
      </c>
      <c r="B26" s="270" t="n">
        <v>1996</v>
      </c>
      <c r="C26" s="165" t="n">
        <v>4796355</v>
      </c>
      <c r="D26" s="165" t="n">
        <v>2842035</v>
      </c>
      <c r="E26" s="165" t="n">
        <v>3728225</v>
      </c>
      <c r="F26" s="165" t="n">
        <v>1004341</v>
      </c>
      <c r="G26" s="165" t="n">
        <v>7339446</v>
      </c>
      <c r="H26" s="165" t="n">
        <v>6722773</v>
      </c>
      <c r="I26" s="165" t="n">
        <v>1266863</v>
      </c>
      <c r="J26" s="165" t="n">
        <v>19196988</v>
      </c>
      <c r="K26" s="165" t="n">
        <v>72453567</v>
      </c>
      <c r="L26" s="165" t="n">
        <v>5581179</v>
      </c>
      <c r="M26" s="165" t="n">
        <v>18610862</v>
      </c>
      <c r="N26" s="165" t="n">
        <v>4570505</v>
      </c>
      <c r="O26" s="165" t="n">
        <v>6478226</v>
      </c>
      <c r="P26" s="165" t="n">
        <v>3284552</v>
      </c>
      <c r="Q26" s="165" t="n">
        <v>1102304</v>
      </c>
      <c r="R26" s="165" t="n">
        <v>159674</v>
      </c>
      <c r="S26" s="165" t="n">
        <v>1912529</v>
      </c>
      <c r="T26" s="165" t="n">
        <v>4082190</v>
      </c>
      <c r="U26" s="165" t="n">
        <v>18015787</v>
      </c>
      <c r="V26" s="165" t="n">
        <v>1325048</v>
      </c>
      <c r="W26" s="165" t="n">
        <v>314659</v>
      </c>
      <c r="X26" s="165" t="n">
        <v>448575</v>
      </c>
      <c r="Y26" s="273" t="n">
        <f aca="false">SUM(C26:X26)</f>
        <v>185236683</v>
      </c>
      <c r="Z26" s="273" t="n">
        <f aca="false">Y26-Q26-O26-L26-K26</f>
        <v>99621407</v>
      </c>
      <c r="AB26" s="165" t="n">
        <v>1380297</v>
      </c>
      <c r="AC26" s="165" t="n">
        <v>0</v>
      </c>
      <c r="AD26" s="165" t="n">
        <v>260101</v>
      </c>
      <c r="AE26" s="275" t="n">
        <f aca="false">SUM(AB26:AD26)</f>
        <v>1640398</v>
      </c>
    </row>
    <row r="27" customFormat="false" ht="12.75" hidden="false" customHeight="false" outlineLevel="0" collapsed="false">
      <c r="A27" s="165" t="s">
        <v>162</v>
      </c>
      <c r="B27" s="270" t="n">
        <v>1996</v>
      </c>
      <c r="C27" s="165" t="n">
        <v>0</v>
      </c>
      <c r="D27" s="165" t="n">
        <v>0</v>
      </c>
      <c r="E27" s="165" t="n">
        <v>0</v>
      </c>
      <c r="F27" s="165" t="n">
        <v>0</v>
      </c>
      <c r="G27" s="165" t="n">
        <v>1115117</v>
      </c>
      <c r="H27" s="165" t="n">
        <v>353044</v>
      </c>
      <c r="I27" s="165" t="n">
        <v>279431</v>
      </c>
      <c r="J27" s="165" t="n">
        <v>6050106</v>
      </c>
      <c r="K27" s="165" t="n">
        <v>7961005</v>
      </c>
      <c r="L27" s="165" t="n">
        <v>1499017</v>
      </c>
      <c r="M27" s="165" t="n">
        <v>3778394</v>
      </c>
      <c r="N27" s="165" t="n">
        <v>1814319</v>
      </c>
      <c r="O27" s="165" t="n">
        <v>56488</v>
      </c>
      <c r="P27" s="165" t="n">
        <v>400816</v>
      </c>
      <c r="Q27" s="165" t="n">
        <v>66159</v>
      </c>
      <c r="R27" s="165" t="n">
        <v>89196</v>
      </c>
      <c r="S27" s="165" t="n">
        <v>209297</v>
      </c>
      <c r="T27" s="165" t="n">
        <v>913852</v>
      </c>
      <c r="U27" s="165" t="n">
        <v>-7280514</v>
      </c>
      <c r="V27" s="165" t="n">
        <v>265699</v>
      </c>
      <c r="W27" s="165" t="n">
        <v>171236</v>
      </c>
      <c r="X27" s="165" t="n">
        <v>78917</v>
      </c>
      <c r="Y27" s="273" t="n">
        <f aca="false">SUM(C27:X27)</f>
        <v>17821579</v>
      </c>
      <c r="Z27" s="273" t="n">
        <f aca="false">Y27-Q27-O27-L27-K27</f>
        <v>8238910</v>
      </c>
      <c r="AB27" s="165" t="n">
        <v>-7305362</v>
      </c>
      <c r="AC27" s="165" t="n">
        <v>0</v>
      </c>
      <c r="AD27" s="165" t="n">
        <v>41648</v>
      </c>
      <c r="AE27" s="275" t="n">
        <f aca="false">SUM(AB27:AD27)</f>
        <v>-7263714</v>
      </c>
    </row>
    <row r="28" customFormat="false" ht="12.75" hidden="false" customHeight="false" outlineLevel="0" collapsed="false">
      <c r="A28" s="271" t="s">
        <v>290</v>
      </c>
      <c r="B28" s="274" t="n">
        <v>1996</v>
      </c>
      <c r="C28" s="271" t="n">
        <f aca="false">SUM(C26:C27)</f>
        <v>4796355</v>
      </c>
      <c r="D28" s="271" t="n">
        <f aca="false">SUM(D26:D27)</f>
        <v>2842035</v>
      </c>
      <c r="E28" s="271" t="n">
        <f aca="false">SUM(E26:E27)</f>
        <v>3728225</v>
      </c>
      <c r="F28" s="271" t="n">
        <f aca="false">SUM(F26:F27)</f>
        <v>1004341</v>
      </c>
      <c r="G28" s="271" t="n">
        <f aca="false">SUM(G26:G27)</f>
        <v>8454563</v>
      </c>
      <c r="H28" s="271" t="n">
        <f aca="false">SUM(H26:H27)</f>
        <v>7075817</v>
      </c>
      <c r="I28" s="271" t="n">
        <f aca="false">SUM(I26:I27)</f>
        <v>1546294</v>
      </c>
      <c r="J28" s="271" t="n">
        <f aca="false">SUM(J26:J27)</f>
        <v>25247094</v>
      </c>
      <c r="K28" s="271" t="n">
        <f aca="false">SUM(K26:K27)</f>
        <v>80414572</v>
      </c>
      <c r="L28" s="271" t="n">
        <f aca="false">SUM(L26:L27)</f>
        <v>7080196</v>
      </c>
      <c r="M28" s="271" t="n">
        <f aca="false">SUM(M26:M27)</f>
        <v>22389256</v>
      </c>
      <c r="N28" s="271" t="n">
        <f aca="false">SUM(N26:N27)</f>
        <v>6384824</v>
      </c>
      <c r="O28" s="271" t="n">
        <f aca="false">SUM(O26:O27)</f>
        <v>6534714</v>
      </c>
      <c r="P28" s="271" t="n">
        <f aca="false">SUM(P26:P27)</f>
        <v>3685368</v>
      </c>
      <c r="Q28" s="271" t="n">
        <f aca="false">SUM(Q26:Q27)</f>
        <v>1168463</v>
      </c>
      <c r="R28" s="271" t="n">
        <f aca="false">SUM(R26:R27)</f>
        <v>248870</v>
      </c>
      <c r="S28" s="271" t="n">
        <f aca="false">SUM(S26:S27)</f>
        <v>2121826</v>
      </c>
      <c r="T28" s="271" t="n">
        <f aca="false">SUM(T26:T27)</f>
        <v>4996042</v>
      </c>
      <c r="U28" s="271" t="n">
        <f aca="false">SUM(U26:U27)</f>
        <v>10735273</v>
      </c>
      <c r="V28" s="271" t="n">
        <f aca="false">SUM(V26:V27)</f>
        <v>1590747</v>
      </c>
      <c r="W28" s="271" t="n">
        <f aca="false">SUM(W26:W27)</f>
        <v>485895</v>
      </c>
      <c r="X28" s="271" t="n">
        <f aca="false">SUM(X26:X27)</f>
        <v>527492</v>
      </c>
      <c r="Y28" s="271" t="n">
        <f aca="false">SUM(C28:X28)</f>
        <v>203058262</v>
      </c>
      <c r="Z28" s="271" t="n">
        <f aca="false">Y28-Q28-O28-L28-K28</f>
        <v>107860317</v>
      </c>
      <c r="AA28" s="271"/>
      <c r="AB28" s="271" t="n">
        <f aca="false">SUM(AB26:AB27)</f>
        <v>-5925065</v>
      </c>
      <c r="AC28" s="271" t="n">
        <f aca="false">SUM(AC26:AC27)</f>
        <v>0</v>
      </c>
      <c r="AD28" s="271" t="n">
        <f aca="false">SUM(AD26:AD27)</f>
        <v>301749</v>
      </c>
      <c r="AE28" s="271" t="n">
        <f aca="false">SUM(AB28:AD28)</f>
        <v>-5623316</v>
      </c>
    </row>
    <row r="29" customFormat="false" ht="12.75" hidden="false" customHeight="false" outlineLevel="0" collapsed="false">
      <c r="A29" s="278"/>
      <c r="B29" s="279"/>
      <c r="C29" s="278"/>
      <c r="D29" s="278"/>
      <c r="E29" s="278"/>
      <c r="F29" s="278"/>
      <c r="G29" s="278"/>
      <c r="H29" s="278"/>
      <c r="I29" s="278"/>
      <c r="J29" s="278"/>
      <c r="K29" s="278"/>
      <c r="L29" s="278"/>
      <c r="M29" s="278"/>
      <c r="N29" s="278"/>
      <c r="O29" s="278"/>
      <c r="P29" s="278"/>
      <c r="Q29" s="278"/>
      <c r="R29" s="278"/>
      <c r="S29" s="278"/>
      <c r="T29" s="278"/>
      <c r="U29" s="278"/>
      <c r="V29" s="278"/>
      <c r="W29" s="278"/>
      <c r="X29" s="278"/>
      <c r="Y29" s="278"/>
      <c r="Z29" s="280"/>
      <c r="AA29" s="278"/>
      <c r="AB29" s="278"/>
      <c r="AC29" s="278"/>
      <c r="AD29" s="278"/>
      <c r="AE29" s="281"/>
      <c r="AF29" s="278"/>
      <c r="AG29" s="278"/>
      <c r="AH29" s="278"/>
      <c r="AI29" s="278"/>
      <c r="AJ29" s="278"/>
      <c r="AK29" s="278"/>
      <c r="AL29" s="278"/>
      <c r="AM29" s="278"/>
      <c r="AN29" s="278"/>
      <c r="AO29" s="278"/>
      <c r="AP29" s="278"/>
      <c r="AQ29" s="278"/>
      <c r="AR29" s="278"/>
      <c r="AS29" s="278"/>
      <c r="AT29" s="278"/>
      <c r="AU29" s="278"/>
      <c r="AV29" s="278"/>
      <c r="AW29" s="278"/>
      <c r="AX29" s="278"/>
      <c r="AY29" s="278"/>
      <c r="AZ29" s="278"/>
      <c r="BA29" s="278"/>
      <c r="BB29" s="278"/>
      <c r="BC29" s="278"/>
      <c r="BD29" s="278"/>
      <c r="BE29" s="278"/>
      <c r="BF29" s="278"/>
      <c r="BG29" s="278"/>
      <c r="BH29" s="278"/>
      <c r="BI29" s="278"/>
      <c r="BJ29" s="278"/>
      <c r="BK29" s="278"/>
      <c r="BL29" s="278"/>
      <c r="BM29" s="278"/>
      <c r="BN29" s="278"/>
      <c r="BO29" s="278"/>
      <c r="BP29" s="278"/>
      <c r="BQ29" s="278"/>
      <c r="BR29" s="278"/>
      <c r="BS29" s="278"/>
      <c r="BT29" s="278"/>
      <c r="BU29" s="278"/>
      <c r="BV29" s="278"/>
      <c r="BW29" s="278"/>
      <c r="BX29" s="278"/>
      <c r="BY29" s="278"/>
      <c r="BZ29" s="278"/>
      <c r="CA29" s="278"/>
      <c r="CB29" s="278"/>
      <c r="CC29" s="278"/>
      <c r="CD29" s="278"/>
      <c r="CE29" s="278"/>
      <c r="CF29" s="278"/>
      <c r="CG29" s="278"/>
      <c r="CH29" s="278"/>
      <c r="CI29" s="278"/>
      <c r="CJ29" s="278"/>
      <c r="CK29" s="278"/>
      <c r="CL29" s="278"/>
      <c r="CM29" s="278"/>
      <c r="CN29" s="278"/>
      <c r="CO29" s="278"/>
      <c r="CP29" s="278"/>
      <c r="CQ29" s="278"/>
      <c r="CR29" s="278"/>
      <c r="CS29" s="278"/>
      <c r="CT29" s="278"/>
      <c r="CU29" s="278"/>
      <c r="CV29" s="278"/>
      <c r="CW29" s="278"/>
      <c r="CX29" s="278"/>
      <c r="CY29" s="278"/>
      <c r="CZ29" s="278"/>
      <c r="DA29" s="278"/>
      <c r="DB29" s="278"/>
      <c r="DC29" s="278"/>
      <c r="DD29" s="278"/>
      <c r="DE29" s="278"/>
      <c r="DF29" s="278"/>
      <c r="DG29" s="278"/>
      <c r="DH29" s="278"/>
      <c r="DI29" s="278"/>
      <c r="DJ29" s="278"/>
      <c r="DK29" s="278"/>
      <c r="DL29" s="278"/>
      <c r="DM29" s="278"/>
      <c r="DN29" s="278"/>
      <c r="DO29" s="278"/>
      <c r="DP29" s="278"/>
      <c r="DQ29" s="278"/>
      <c r="DR29" s="278"/>
      <c r="DS29" s="278"/>
      <c r="DT29" s="278"/>
      <c r="DU29" s="278"/>
      <c r="DV29" s="278"/>
      <c r="DW29" s="278"/>
      <c r="DX29" s="278"/>
      <c r="DY29" s="278"/>
      <c r="DZ29" s="278"/>
      <c r="EA29" s="278"/>
      <c r="EB29" s="278"/>
      <c r="EC29" s="278"/>
      <c r="ED29" s="278"/>
      <c r="EE29" s="278"/>
      <c r="EF29" s="278"/>
      <c r="EG29" s="278"/>
      <c r="EH29" s="278"/>
      <c r="EI29" s="278"/>
      <c r="EJ29" s="278"/>
      <c r="EK29" s="278"/>
      <c r="EL29" s="278"/>
      <c r="EM29" s="278"/>
      <c r="EN29" s="278"/>
      <c r="EO29" s="278"/>
      <c r="EP29" s="278"/>
      <c r="EQ29" s="278"/>
      <c r="ER29" s="278"/>
      <c r="ES29" s="278"/>
      <c r="ET29" s="278"/>
      <c r="EU29" s="278"/>
      <c r="EV29" s="278"/>
      <c r="EW29" s="278"/>
      <c r="EX29" s="278"/>
      <c r="EY29" s="278"/>
      <c r="EZ29" s="278"/>
      <c r="FA29" s="278"/>
      <c r="FB29" s="278"/>
      <c r="FC29" s="278"/>
      <c r="FD29" s="278"/>
      <c r="FE29" s="278"/>
      <c r="FF29" s="278"/>
      <c r="FG29" s="278"/>
      <c r="FH29" s="278"/>
      <c r="FI29" s="278"/>
      <c r="FJ29" s="278"/>
      <c r="FK29" s="278"/>
      <c r="FL29" s="278"/>
      <c r="FM29" s="278"/>
      <c r="FN29" s="278"/>
      <c r="FO29" s="278"/>
      <c r="FP29" s="278"/>
      <c r="FQ29" s="278"/>
      <c r="FR29" s="278"/>
      <c r="FS29" s="278"/>
      <c r="FT29" s="278"/>
      <c r="FU29" s="278"/>
      <c r="FV29" s="278"/>
      <c r="FW29" s="278"/>
      <c r="FX29" s="278"/>
      <c r="FY29" s="278"/>
      <c r="FZ29" s="278"/>
      <c r="GA29" s="278"/>
      <c r="GB29" s="278"/>
      <c r="GC29" s="278"/>
      <c r="GD29" s="278"/>
      <c r="GE29" s="278"/>
      <c r="GF29" s="278"/>
      <c r="GG29" s="278"/>
      <c r="GH29" s="278"/>
      <c r="GI29" s="278"/>
      <c r="GJ29" s="278"/>
      <c r="GK29" s="278"/>
      <c r="GL29" s="278"/>
      <c r="GM29" s="278"/>
      <c r="GN29" s="278"/>
      <c r="GO29" s="278"/>
      <c r="GP29" s="278"/>
      <c r="GQ29" s="278"/>
      <c r="GR29" s="278"/>
      <c r="GS29" s="278"/>
      <c r="GT29" s="278"/>
      <c r="GU29" s="278"/>
      <c r="GV29" s="278"/>
      <c r="GW29" s="278"/>
      <c r="GX29" s="278"/>
      <c r="GY29" s="278"/>
      <c r="GZ29" s="278"/>
      <c r="HA29" s="278"/>
      <c r="HB29" s="278"/>
      <c r="HC29" s="278"/>
      <c r="HD29" s="278"/>
      <c r="HE29" s="278"/>
      <c r="HF29" s="278"/>
      <c r="HG29" s="278"/>
      <c r="HH29" s="278"/>
      <c r="HI29" s="278"/>
      <c r="HJ29" s="278"/>
      <c r="HK29" s="278"/>
      <c r="HL29" s="278"/>
      <c r="HM29" s="278"/>
      <c r="HN29" s="278"/>
      <c r="HO29" s="278"/>
      <c r="HP29" s="278"/>
      <c r="HQ29" s="278"/>
      <c r="HR29" s="278"/>
      <c r="HS29" s="278"/>
      <c r="HT29" s="278"/>
      <c r="HU29" s="278"/>
      <c r="HV29" s="278"/>
      <c r="HW29" s="278"/>
      <c r="HX29" s="278"/>
      <c r="HY29" s="278"/>
      <c r="HZ29" s="278"/>
      <c r="IA29" s="278"/>
      <c r="IB29" s="278"/>
      <c r="IC29" s="278"/>
      <c r="ID29" s="278"/>
      <c r="IE29" s="278"/>
      <c r="IF29" s="278"/>
      <c r="IG29" s="278"/>
      <c r="IH29" s="278"/>
      <c r="II29" s="278"/>
      <c r="IJ29" s="278"/>
      <c r="IK29" s="278"/>
      <c r="IL29" s="278"/>
      <c r="IM29" s="278"/>
      <c r="IN29" s="278"/>
      <c r="IO29" s="278"/>
      <c r="IP29" s="278"/>
      <c r="IQ29" s="278"/>
      <c r="IR29" s="278"/>
      <c r="IS29" s="278"/>
      <c r="IT29" s="278"/>
      <c r="IU29" s="278"/>
      <c r="IV29" s="278"/>
      <c r="IW29" s="278"/>
    </row>
    <row r="30" customFormat="false" ht="12.75" hidden="false" customHeight="false" outlineLevel="0" collapsed="false">
      <c r="Z30" s="273"/>
      <c r="AE30" s="275"/>
    </row>
    <row r="31" customFormat="false" ht="12.75" hidden="false" customHeight="false" outlineLevel="0" collapsed="false">
      <c r="A31" s="165" t="s">
        <v>201</v>
      </c>
      <c r="B31" s="270" t="n">
        <v>1998</v>
      </c>
      <c r="C31" s="165" t="n">
        <v>0</v>
      </c>
      <c r="D31" s="165" t="n">
        <v>0</v>
      </c>
      <c r="E31" s="165" t="n">
        <v>0</v>
      </c>
      <c r="F31" s="165" t="n">
        <v>0</v>
      </c>
      <c r="G31" s="165" t="n">
        <v>3364119</v>
      </c>
      <c r="H31" s="165" t="n">
        <v>1088879</v>
      </c>
      <c r="I31" s="165" t="n">
        <v>220172</v>
      </c>
      <c r="J31" s="165" t="n">
        <v>13307158</v>
      </c>
      <c r="K31" s="165" t="n">
        <v>19400685</v>
      </c>
      <c r="L31" s="165" t="n">
        <v>810249</v>
      </c>
      <c r="M31" s="165" t="n">
        <v>5605855</v>
      </c>
      <c r="N31" s="165" t="n">
        <v>2539110</v>
      </c>
      <c r="O31" s="165" t="n">
        <v>7240178</v>
      </c>
      <c r="P31" s="165" t="n">
        <v>3068188</v>
      </c>
      <c r="Q31" s="165" t="n">
        <v>148198</v>
      </c>
      <c r="R31" s="165" t="n">
        <v>49688</v>
      </c>
      <c r="S31" s="165" t="n">
        <v>64380</v>
      </c>
      <c r="T31" s="165" t="n">
        <v>909098</v>
      </c>
      <c r="U31" s="165" t="n">
        <v>2897447</v>
      </c>
      <c r="V31" s="165" t="n">
        <v>268526</v>
      </c>
      <c r="W31" s="165" t="n">
        <v>219204</v>
      </c>
      <c r="X31" s="165" t="n">
        <v>4427</v>
      </c>
      <c r="Y31" s="273" t="n">
        <f aca="false">SUM(B31:X31)</f>
        <v>61207559</v>
      </c>
      <c r="Z31" s="273" t="n">
        <f aca="false">Y31-Q31-O31-L31-K31</f>
        <v>33608249</v>
      </c>
      <c r="AA31" s="273"/>
      <c r="AB31" s="165" t="n">
        <v>-492088</v>
      </c>
      <c r="AC31" s="165" t="n">
        <v>0</v>
      </c>
      <c r="AD31" s="165" t="n">
        <v>0</v>
      </c>
      <c r="AE31" s="275" t="n">
        <f aca="false">SUM(AB31:AD31)</f>
        <v>-492088</v>
      </c>
    </row>
    <row r="32" customFormat="false" ht="12.75" hidden="false" customHeight="false" outlineLevel="0" collapsed="false">
      <c r="A32" s="165" t="s">
        <v>205</v>
      </c>
      <c r="B32" s="270" t="n">
        <v>1998</v>
      </c>
      <c r="C32" s="165" t="n">
        <v>0</v>
      </c>
      <c r="D32" s="165" t="n">
        <v>0</v>
      </c>
      <c r="E32" s="165" t="n">
        <v>0</v>
      </c>
      <c r="F32" s="165" t="n">
        <v>0</v>
      </c>
      <c r="G32" s="165" t="n">
        <v>1591020</v>
      </c>
      <c r="H32" s="165" t="n">
        <v>619054</v>
      </c>
      <c r="I32" s="165" t="n">
        <v>502691</v>
      </c>
      <c r="J32" s="165" t="n">
        <v>2922737</v>
      </c>
      <c r="K32" s="165" t="n">
        <v>0</v>
      </c>
      <c r="L32" s="165" t="n">
        <v>0</v>
      </c>
      <c r="M32" s="165" t="n">
        <v>1546269</v>
      </c>
      <c r="N32" s="165" t="n">
        <v>308483</v>
      </c>
      <c r="O32" s="165" t="n">
        <v>0</v>
      </c>
      <c r="P32" s="165" t="n">
        <v>55040</v>
      </c>
      <c r="Q32" s="165" t="n">
        <v>33797</v>
      </c>
      <c r="R32" s="165" t="n">
        <v>78622</v>
      </c>
      <c r="S32" s="165" t="n">
        <v>90599</v>
      </c>
      <c r="T32" s="165" t="n">
        <v>86690</v>
      </c>
      <c r="U32" s="165" t="n">
        <v>259795</v>
      </c>
      <c r="V32" s="165" t="n">
        <v>46676</v>
      </c>
      <c r="W32" s="165" t="n">
        <v>46159</v>
      </c>
      <c r="X32" s="165" t="n">
        <v>8019</v>
      </c>
      <c r="Y32" s="273" t="n">
        <f aca="false">SUM(B32:X32)</f>
        <v>8197649</v>
      </c>
      <c r="Z32" s="273" t="n">
        <f aca="false">Y32-Q32-O32-L32-K32</f>
        <v>8163852</v>
      </c>
      <c r="AA32" s="273"/>
      <c r="AB32" s="165" t="n">
        <v>34064</v>
      </c>
      <c r="AC32" s="165" t="n">
        <v>46163</v>
      </c>
      <c r="AD32" s="165" t="n">
        <v>397506</v>
      </c>
      <c r="AE32" s="275" t="n">
        <f aca="false">SUM(AB32:AD32)</f>
        <v>477733</v>
      </c>
    </row>
    <row r="33" customFormat="false" ht="12.75" hidden="false" customHeight="false" outlineLevel="0" collapsed="false">
      <c r="A33" s="165" t="s">
        <v>201</v>
      </c>
      <c r="B33" s="270" t="n">
        <v>1997</v>
      </c>
      <c r="C33" s="165" t="n">
        <v>0</v>
      </c>
      <c r="D33" s="165" t="n">
        <v>0</v>
      </c>
      <c r="E33" s="165" t="n">
        <v>0</v>
      </c>
      <c r="F33" s="165" t="n">
        <v>0</v>
      </c>
      <c r="G33" s="165" t="n">
        <v>3712268</v>
      </c>
      <c r="H33" s="165" t="n">
        <v>1128593</v>
      </c>
      <c r="I33" s="165" t="n">
        <v>259451</v>
      </c>
      <c r="J33" s="165" t="n">
        <v>12372881</v>
      </c>
      <c r="K33" s="165" t="n">
        <v>27378637</v>
      </c>
      <c r="L33" s="165" t="n">
        <v>842041</v>
      </c>
      <c r="M33" s="165" t="n">
        <v>5298028</v>
      </c>
      <c r="N33" s="165" t="n">
        <v>2430374</v>
      </c>
      <c r="O33" s="165" t="n">
        <v>7363049</v>
      </c>
      <c r="P33" s="165" t="n">
        <v>2901863</v>
      </c>
      <c r="Q33" s="165" t="n">
        <v>144905</v>
      </c>
      <c r="R33" s="165" t="n">
        <v>195</v>
      </c>
      <c r="S33" s="165" t="n">
        <v>81274</v>
      </c>
      <c r="T33" s="165" t="n">
        <v>1202769</v>
      </c>
      <c r="U33" s="165" t="n">
        <v>2963325</v>
      </c>
      <c r="V33" s="165" t="n">
        <v>304959</v>
      </c>
      <c r="W33" s="165" t="n">
        <v>278588</v>
      </c>
      <c r="X33" s="165" t="n">
        <v>27659</v>
      </c>
      <c r="Y33" s="273" t="n">
        <f aca="false">SUM(B33:X33)</f>
        <v>68692856</v>
      </c>
      <c r="Z33" s="273" t="n">
        <f aca="false">Y33-Q33-O33-L33-K33</f>
        <v>32964224</v>
      </c>
      <c r="AB33" s="165" t="n">
        <v>775494</v>
      </c>
      <c r="AC33" s="165" t="n">
        <v>0</v>
      </c>
      <c r="AD33" s="165" t="n">
        <v>81</v>
      </c>
      <c r="AE33" s="275" t="n">
        <f aca="false">SUM(AB33:AD33)</f>
        <v>775575</v>
      </c>
    </row>
    <row r="34" customFormat="false" ht="12.75" hidden="false" customHeight="false" outlineLevel="0" collapsed="false">
      <c r="A34" s="165" t="s">
        <v>205</v>
      </c>
      <c r="B34" s="270" t="n">
        <v>1997</v>
      </c>
      <c r="C34" s="165" t="n">
        <v>0</v>
      </c>
      <c r="D34" s="165" t="n">
        <v>0</v>
      </c>
      <c r="E34" s="165" t="n">
        <v>0</v>
      </c>
      <c r="F34" s="165" t="n">
        <v>0</v>
      </c>
      <c r="G34" s="165" t="n">
        <v>1197412</v>
      </c>
      <c r="H34" s="165" t="n">
        <v>608617</v>
      </c>
      <c r="I34" s="165" t="n">
        <v>537734</v>
      </c>
      <c r="J34" s="165" t="n">
        <v>2027056</v>
      </c>
      <c r="K34" s="165" t="n">
        <v>0</v>
      </c>
      <c r="L34" s="165" t="n">
        <v>0</v>
      </c>
      <c r="M34" s="165" t="n">
        <v>1912572</v>
      </c>
      <c r="N34" s="165" t="n">
        <v>216386</v>
      </c>
      <c r="O34" s="165" t="n">
        <v>0</v>
      </c>
      <c r="P34" s="165" t="n">
        <v>32039</v>
      </c>
      <c r="Q34" s="165" t="n">
        <v>32404</v>
      </c>
      <c r="R34" s="165" t="n">
        <v>22187</v>
      </c>
      <c r="S34" s="165" t="n">
        <v>192424</v>
      </c>
      <c r="T34" s="165" t="n">
        <v>372433</v>
      </c>
      <c r="U34" s="165" t="n">
        <v>596084</v>
      </c>
      <c r="V34" s="165" t="n">
        <v>71736</v>
      </c>
      <c r="W34" s="165" t="n">
        <v>9254</v>
      </c>
      <c r="X34" s="165" t="n">
        <v>12509</v>
      </c>
      <c r="Y34" s="273" t="n">
        <f aca="false">SUM(B34:X34)</f>
        <v>7842844</v>
      </c>
      <c r="Z34" s="273" t="n">
        <f aca="false">Y34-Q34-O34-L34-K34</f>
        <v>7810440</v>
      </c>
      <c r="AB34" s="165" t="n">
        <v>24284</v>
      </c>
      <c r="AC34" s="165" t="n">
        <v>41833</v>
      </c>
      <c r="AD34" s="165" t="n">
        <v>377089</v>
      </c>
      <c r="AE34" s="275" t="n">
        <f aca="false">SUM(AB34:AD34)</f>
        <v>443206</v>
      </c>
    </row>
    <row r="35" customFormat="false" ht="12.75" hidden="false" customHeight="false" outlineLevel="0" collapsed="false">
      <c r="A35" s="165" t="s">
        <v>201</v>
      </c>
      <c r="B35" s="270" t="n">
        <v>1996</v>
      </c>
      <c r="C35" s="165" t="n">
        <v>0</v>
      </c>
      <c r="D35" s="165" t="n">
        <v>0</v>
      </c>
      <c r="E35" s="165" t="n">
        <v>0</v>
      </c>
      <c r="F35" s="165" t="n">
        <v>0</v>
      </c>
      <c r="G35" s="165" t="n">
        <v>3853130</v>
      </c>
      <c r="H35" s="165" t="n">
        <v>887347</v>
      </c>
      <c r="I35" s="165" t="n">
        <v>140691</v>
      </c>
      <c r="J35" s="165" t="n">
        <v>8018905</v>
      </c>
      <c r="K35" s="165" t="n">
        <v>25372582</v>
      </c>
      <c r="L35" s="165" t="n">
        <v>848516</v>
      </c>
      <c r="M35" s="165" t="n">
        <v>5980045</v>
      </c>
      <c r="N35" s="165" t="n">
        <v>2244947</v>
      </c>
      <c r="O35" s="165" t="n">
        <v>8204724</v>
      </c>
      <c r="P35" s="165" t="n">
        <v>-531052</v>
      </c>
      <c r="Q35" s="165" t="n">
        <v>150403</v>
      </c>
      <c r="R35" s="165" t="n">
        <v>2316</v>
      </c>
      <c r="S35" s="165" t="n">
        <v>45009</v>
      </c>
      <c r="T35" s="165" t="n">
        <v>1452811</v>
      </c>
      <c r="U35" s="165" t="n">
        <v>4139950</v>
      </c>
      <c r="V35" s="165" t="n">
        <v>350580</v>
      </c>
      <c r="W35" s="165" t="n">
        <v>246264</v>
      </c>
      <c r="X35" s="165" t="n">
        <v>34058</v>
      </c>
      <c r="Y35" s="273" t="n">
        <f aca="false">SUM(B35:X35)</f>
        <v>61443222</v>
      </c>
      <c r="Z35" s="273" t="n">
        <f aca="false">Y35-Q35-O35-L35-K35</f>
        <v>26866997</v>
      </c>
      <c r="AB35" s="165" t="n">
        <v>92411</v>
      </c>
      <c r="AC35" s="165" t="n">
        <v>0</v>
      </c>
      <c r="AD35" s="165" t="n">
        <v>81</v>
      </c>
      <c r="AE35" s="275" t="n">
        <f aca="false">SUM(AB35:AD35)</f>
        <v>92492</v>
      </c>
    </row>
    <row r="36" customFormat="false" ht="12.75" hidden="false" customHeight="false" outlineLevel="0" collapsed="false">
      <c r="A36" s="165" t="s">
        <v>205</v>
      </c>
      <c r="B36" s="270" t="n">
        <v>1996</v>
      </c>
      <c r="C36" s="165" t="n">
        <v>0</v>
      </c>
      <c r="D36" s="165" t="n">
        <v>0</v>
      </c>
      <c r="E36" s="165" t="n">
        <v>0</v>
      </c>
      <c r="F36" s="165" t="n">
        <v>0</v>
      </c>
      <c r="G36" s="165" t="n">
        <v>988246</v>
      </c>
      <c r="H36" s="165" t="n">
        <v>476676</v>
      </c>
      <c r="I36" s="165" t="n">
        <v>534644</v>
      </c>
      <c r="J36" s="165" t="n">
        <v>2157285</v>
      </c>
      <c r="K36" s="165" t="n">
        <v>0</v>
      </c>
      <c r="L36" s="165" t="n">
        <v>0</v>
      </c>
      <c r="M36" s="165" t="n">
        <v>1922661</v>
      </c>
      <c r="N36" s="165" t="n">
        <v>189102</v>
      </c>
      <c r="O36" s="165" t="n">
        <v>0</v>
      </c>
      <c r="P36" s="165" t="n">
        <v>87573</v>
      </c>
      <c r="Q36" s="165" t="n">
        <v>42344</v>
      </c>
      <c r="R36" s="165" t="n">
        <v>39098</v>
      </c>
      <c r="S36" s="165" t="n">
        <v>205865</v>
      </c>
      <c r="T36" s="165" t="n">
        <v>284218</v>
      </c>
      <c r="U36" s="165" t="n">
        <v>322358</v>
      </c>
      <c r="V36" s="165" t="n">
        <v>71227</v>
      </c>
      <c r="W36" s="165" t="n">
        <v>12855</v>
      </c>
      <c r="X36" s="165" t="n">
        <v>15146</v>
      </c>
      <c r="Y36" s="273" t="n">
        <f aca="false">SUM(B36:X36)</f>
        <v>7351294</v>
      </c>
      <c r="Z36" s="273" t="n">
        <f aca="false">Y36-Q36-O36-L36-K36</f>
        <v>7308950</v>
      </c>
      <c r="AB36" s="165" t="n">
        <v>25334</v>
      </c>
      <c r="AC36" s="165" t="n">
        <v>41688</v>
      </c>
      <c r="AD36" s="165" t="n">
        <v>171814</v>
      </c>
      <c r="AE36" s="275" t="n">
        <f aca="false">SUM(AB36:AD36)</f>
        <v>238836</v>
      </c>
    </row>
    <row r="37" customFormat="false" ht="12.75" hidden="false" customHeight="false" outlineLevel="0" collapsed="false">
      <c r="A37" s="278"/>
      <c r="B37" s="279"/>
      <c r="C37" s="278"/>
      <c r="D37" s="278"/>
      <c r="E37" s="278"/>
      <c r="F37" s="278"/>
      <c r="G37" s="278"/>
      <c r="H37" s="278"/>
      <c r="I37" s="278"/>
      <c r="J37" s="278"/>
      <c r="K37" s="278"/>
      <c r="L37" s="278"/>
      <c r="M37" s="278"/>
      <c r="N37" s="278"/>
      <c r="O37" s="278"/>
      <c r="P37" s="278"/>
      <c r="Q37" s="278"/>
      <c r="R37" s="278"/>
      <c r="S37" s="278"/>
      <c r="T37" s="278"/>
      <c r="U37" s="278"/>
      <c r="V37" s="278"/>
      <c r="W37" s="278"/>
      <c r="X37" s="278"/>
      <c r="Y37" s="278"/>
      <c r="Z37" s="278"/>
      <c r="AA37" s="278"/>
      <c r="AB37" s="278"/>
      <c r="AC37" s="278"/>
      <c r="AD37" s="278"/>
      <c r="AE37" s="278"/>
      <c r="AF37" s="278"/>
      <c r="AG37" s="278"/>
      <c r="AH37" s="278"/>
      <c r="AI37" s="278"/>
      <c r="AJ37" s="278"/>
      <c r="AK37" s="278"/>
      <c r="AL37" s="278"/>
      <c r="AM37" s="278"/>
      <c r="AN37" s="278"/>
      <c r="AO37" s="278"/>
      <c r="AP37" s="278"/>
      <c r="AQ37" s="278"/>
      <c r="AR37" s="278"/>
      <c r="AS37" s="278"/>
      <c r="AT37" s="278"/>
      <c r="AU37" s="278"/>
      <c r="AV37" s="278"/>
      <c r="AW37" s="278"/>
      <c r="AX37" s="278"/>
      <c r="AY37" s="278"/>
      <c r="AZ37" s="278"/>
      <c r="BA37" s="278"/>
      <c r="BB37" s="278"/>
      <c r="BC37" s="278"/>
      <c r="BD37" s="278"/>
      <c r="BE37" s="278"/>
      <c r="BF37" s="278"/>
      <c r="BG37" s="278"/>
      <c r="BH37" s="278"/>
      <c r="BI37" s="278"/>
      <c r="BJ37" s="278"/>
      <c r="BK37" s="278"/>
      <c r="BL37" s="278"/>
      <c r="BM37" s="278"/>
      <c r="BN37" s="278"/>
      <c r="BO37" s="278"/>
      <c r="BP37" s="278"/>
      <c r="BQ37" s="278"/>
      <c r="BR37" s="278"/>
      <c r="BS37" s="278"/>
      <c r="BT37" s="278"/>
      <c r="BU37" s="278"/>
      <c r="BV37" s="278"/>
      <c r="BW37" s="278"/>
      <c r="BX37" s="278"/>
      <c r="BY37" s="278"/>
      <c r="BZ37" s="278"/>
      <c r="CA37" s="278"/>
      <c r="CB37" s="278"/>
      <c r="CC37" s="278"/>
      <c r="CD37" s="278"/>
      <c r="CE37" s="278"/>
      <c r="CF37" s="278"/>
      <c r="CG37" s="278"/>
      <c r="CH37" s="278"/>
      <c r="CI37" s="278"/>
      <c r="CJ37" s="278"/>
      <c r="CK37" s="278"/>
      <c r="CL37" s="278"/>
      <c r="CM37" s="278"/>
      <c r="CN37" s="278"/>
      <c r="CO37" s="278"/>
      <c r="CP37" s="278"/>
      <c r="CQ37" s="278"/>
      <c r="CR37" s="278"/>
      <c r="CS37" s="278"/>
      <c r="CT37" s="278"/>
      <c r="CU37" s="278"/>
      <c r="CV37" s="278"/>
      <c r="CW37" s="278"/>
      <c r="CX37" s="278"/>
      <c r="CY37" s="278"/>
      <c r="CZ37" s="278"/>
      <c r="DA37" s="278"/>
      <c r="DB37" s="278"/>
      <c r="DC37" s="278"/>
      <c r="DD37" s="278"/>
      <c r="DE37" s="278"/>
      <c r="DF37" s="278"/>
      <c r="DG37" s="278"/>
      <c r="DH37" s="278"/>
      <c r="DI37" s="278"/>
      <c r="DJ37" s="278"/>
      <c r="DK37" s="278"/>
      <c r="DL37" s="278"/>
      <c r="DM37" s="278"/>
      <c r="DN37" s="278"/>
      <c r="DO37" s="278"/>
      <c r="DP37" s="278"/>
      <c r="DQ37" s="278"/>
      <c r="DR37" s="278"/>
      <c r="DS37" s="278"/>
      <c r="DT37" s="278"/>
      <c r="DU37" s="278"/>
      <c r="DV37" s="278"/>
      <c r="DW37" s="278"/>
      <c r="DX37" s="278"/>
      <c r="DY37" s="278"/>
      <c r="DZ37" s="278"/>
      <c r="EA37" s="278"/>
      <c r="EB37" s="278"/>
      <c r="EC37" s="278"/>
      <c r="ED37" s="278"/>
      <c r="EE37" s="278"/>
      <c r="EF37" s="278"/>
      <c r="EG37" s="278"/>
      <c r="EH37" s="278"/>
      <c r="EI37" s="278"/>
      <c r="EJ37" s="278"/>
      <c r="EK37" s="278"/>
      <c r="EL37" s="278"/>
      <c r="EM37" s="278"/>
      <c r="EN37" s="278"/>
      <c r="EO37" s="278"/>
      <c r="EP37" s="278"/>
      <c r="EQ37" s="278"/>
      <c r="ER37" s="278"/>
      <c r="ES37" s="278"/>
      <c r="ET37" s="278"/>
      <c r="EU37" s="278"/>
      <c r="EV37" s="278"/>
      <c r="EW37" s="278"/>
      <c r="EX37" s="278"/>
      <c r="EY37" s="278"/>
      <c r="EZ37" s="278"/>
      <c r="FA37" s="278"/>
      <c r="FB37" s="278"/>
      <c r="FC37" s="278"/>
      <c r="FD37" s="278"/>
      <c r="FE37" s="278"/>
      <c r="FF37" s="278"/>
      <c r="FG37" s="278"/>
      <c r="FH37" s="278"/>
      <c r="FI37" s="278"/>
      <c r="FJ37" s="278"/>
      <c r="FK37" s="278"/>
      <c r="FL37" s="278"/>
      <c r="FM37" s="278"/>
      <c r="FN37" s="278"/>
      <c r="FO37" s="278"/>
      <c r="FP37" s="278"/>
      <c r="FQ37" s="278"/>
      <c r="FR37" s="278"/>
      <c r="FS37" s="278"/>
      <c r="FT37" s="278"/>
      <c r="FU37" s="278"/>
      <c r="FV37" s="278"/>
      <c r="FW37" s="278"/>
      <c r="FX37" s="278"/>
      <c r="FY37" s="278"/>
      <c r="FZ37" s="278"/>
      <c r="GA37" s="278"/>
      <c r="GB37" s="278"/>
      <c r="GC37" s="278"/>
      <c r="GD37" s="278"/>
      <c r="GE37" s="278"/>
      <c r="GF37" s="278"/>
      <c r="GG37" s="278"/>
      <c r="GH37" s="278"/>
      <c r="GI37" s="278"/>
      <c r="GJ37" s="278"/>
      <c r="GK37" s="278"/>
      <c r="GL37" s="278"/>
      <c r="GM37" s="278"/>
      <c r="GN37" s="278"/>
      <c r="GO37" s="278"/>
      <c r="GP37" s="278"/>
      <c r="GQ37" s="278"/>
      <c r="GR37" s="278"/>
      <c r="GS37" s="278"/>
      <c r="GT37" s="278"/>
      <c r="GU37" s="278"/>
      <c r="GV37" s="278"/>
      <c r="GW37" s="278"/>
      <c r="GX37" s="278"/>
      <c r="GY37" s="278"/>
      <c r="GZ37" s="278"/>
      <c r="HA37" s="278"/>
      <c r="HB37" s="278"/>
      <c r="HC37" s="278"/>
      <c r="HD37" s="278"/>
      <c r="HE37" s="278"/>
      <c r="HF37" s="278"/>
      <c r="HG37" s="278"/>
      <c r="HH37" s="278"/>
      <c r="HI37" s="278"/>
      <c r="HJ37" s="278"/>
      <c r="HK37" s="278"/>
      <c r="HL37" s="278"/>
      <c r="HM37" s="278"/>
      <c r="HN37" s="278"/>
      <c r="HO37" s="278"/>
      <c r="HP37" s="278"/>
      <c r="HQ37" s="278"/>
      <c r="HR37" s="278"/>
      <c r="HS37" s="278"/>
      <c r="HT37" s="278"/>
      <c r="HU37" s="278"/>
      <c r="HV37" s="278"/>
      <c r="HW37" s="278"/>
      <c r="HX37" s="278"/>
      <c r="HY37" s="278"/>
      <c r="HZ37" s="278"/>
      <c r="IA37" s="278"/>
      <c r="IB37" s="278"/>
      <c r="IC37" s="278"/>
      <c r="ID37" s="278"/>
      <c r="IE37" s="278"/>
      <c r="IF37" s="278"/>
      <c r="IG37" s="278"/>
      <c r="IH37" s="278"/>
      <c r="II37" s="278"/>
      <c r="IJ37" s="278"/>
      <c r="IK37" s="278"/>
      <c r="IL37" s="278"/>
      <c r="IM37" s="278"/>
      <c r="IN37" s="278"/>
      <c r="IO37" s="278"/>
      <c r="IP37" s="278"/>
      <c r="IQ37" s="278"/>
      <c r="IR37" s="278"/>
      <c r="IS37" s="278"/>
      <c r="IT37" s="278"/>
      <c r="IU37" s="278"/>
      <c r="IV37" s="278"/>
      <c r="IW37" s="278"/>
    </row>
    <row r="38" customFormat="false" ht="13.5" hidden="false" customHeight="false" outlineLevel="0" collapsed="false"/>
    <row r="39" customFormat="false" ht="12.75" hidden="false" customHeight="false" outlineLevel="0" collapsed="false">
      <c r="A39" s="282" t="s">
        <v>291</v>
      </c>
      <c r="B39" s="283" t="n">
        <v>1998</v>
      </c>
      <c r="C39" s="284" t="n">
        <v>1997</v>
      </c>
      <c r="D39" s="284" t="n">
        <v>1996</v>
      </c>
      <c r="E39" s="285" t="s">
        <v>292</v>
      </c>
      <c r="G39" s="286" t="s">
        <v>293</v>
      </c>
      <c r="H39" s="287"/>
      <c r="I39" s="287"/>
      <c r="J39" s="288"/>
    </row>
    <row r="40" customFormat="false" ht="12.75" hidden="false" customHeight="false" outlineLevel="0" collapsed="false">
      <c r="A40" s="64" t="s">
        <v>166</v>
      </c>
      <c r="B40" s="289" t="n">
        <f aca="false">Z8/Contiguity!H128</f>
        <v>5568.22511718512</v>
      </c>
      <c r="C40" s="165" t="n">
        <f aca="false">Z17/Contiguity!H128</f>
        <v>5816.84969866683</v>
      </c>
      <c r="D40" s="165" t="n">
        <f aca="false">Z26/Contiguity!D150</f>
        <v>6370.87721429942</v>
      </c>
      <c r="E40" s="290" t="s">
        <v>294</v>
      </c>
      <c r="G40" s="124" t="s">
        <v>152</v>
      </c>
      <c r="H40" s="10" t="s">
        <v>295</v>
      </c>
      <c r="I40" s="10" t="s">
        <v>103</v>
      </c>
      <c r="J40" s="291" t="s">
        <v>293</v>
      </c>
    </row>
    <row r="41" customFormat="false" ht="12.75" hidden="false" customHeight="false" outlineLevel="0" collapsed="false">
      <c r="A41" s="64" t="s">
        <v>162</v>
      </c>
      <c r="B41" s="104" t="n">
        <f aca="false">Z9/Contiguity!H146</f>
        <v>7992.10222752586</v>
      </c>
      <c r="C41" s="165" t="n">
        <f aca="false">Z18/Contiguity!H137</f>
        <v>7495.77983125753</v>
      </c>
      <c r="D41" s="165" t="n">
        <f aca="false">Z27/Contiguity!D149</f>
        <v>3252.62929332807</v>
      </c>
      <c r="E41" s="292"/>
      <c r="G41" s="124" t="s">
        <v>168</v>
      </c>
      <c r="H41" s="10" t="n">
        <v>762100000</v>
      </c>
      <c r="I41" s="10" t="n">
        <v>1996</v>
      </c>
      <c r="J41" s="293" t="n">
        <f aca="false">Z22/H41</f>
        <v>0.112677202466868</v>
      </c>
    </row>
    <row r="42" customFormat="false" ht="13.5" hidden="false" customHeight="false" outlineLevel="0" collapsed="false">
      <c r="A42" s="294" t="s">
        <v>296</v>
      </c>
      <c r="B42" s="295" t="n">
        <f aca="false">Z10/(Contiguity!H146+Contiguity!H128)</f>
        <v>5889.83585871918</v>
      </c>
      <c r="C42" s="165" t="n">
        <f aca="false">Z15/(Contiguity!H137+Contiguity!H128)</f>
        <v>6503.06898921548</v>
      </c>
      <c r="D42" s="165" t="n">
        <f aca="false">Z28/(Contiguity!D149+Contiguity!D150)</f>
        <v>5936.17594936709</v>
      </c>
      <c r="E42" s="292"/>
      <c r="G42" s="124" t="s">
        <v>168</v>
      </c>
      <c r="H42" s="10" t="n">
        <v>716209000</v>
      </c>
      <c r="I42" s="10" t="n">
        <v>1997</v>
      </c>
      <c r="J42" s="293" t="n">
        <f aca="false">Z13/H42</f>
        <v>0.119342966927252</v>
      </c>
    </row>
    <row r="43" customFormat="false" ht="13.5" hidden="false" customHeight="false" outlineLevel="0" collapsed="false">
      <c r="A43" s="296" t="s">
        <v>297</v>
      </c>
      <c r="B43" s="297" t="n">
        <f aca="false">(B42+C42+D42)/3</f>
        <v>6109.69359910058</v>
      </c>
      <c r="E43" s="292"/>
      <c r="G43" s="124" t="s">
        <v>168</v>
      </c>
      <c r="H43" s="10" t="n">
        <v>598671000</v>
      </c>
      <c r="I43" s="10" t="n">
        <v>1998</v>
      </c>
      <c r="J43" s="293" t="n">
        <f aca="false">Z4/H43</f>
        <v>0.152465840169308</v>
      </c>
    </row>
    <row r="44" customFormat="false" ht="12.75" hidden="false" customHeight="false" outlineLevel="0" collapsed="false">
      <c r="A44" s="64"/>
      <c r="E44" s="292"/>
      <c r="G44" s="124" t="s">
        <v>158</v>
      </c>
      <c r="H44" s="10" t="n">
        <v>732157000</v>
      </c>
      <c r="I44" s="10" t="n">
        <v>1996</v>
      </c>
      <c r="J44" s="293" t="n">
        <f aca="false">Z23/H44</f>
        <v>0.0552092461043192</v>
      </c>
    </row>
    <row r="45" customFormat="false" ht="12.75" hidden="false" customHeight="false" outlineLevel="0" collapsed="false">
      <c r="A45" s="64" t="s">
        <v>168</v>
      </c>
      <c r="B45" s="104" t="n">
        <f aca="false">Z4/Contiguity!H65</f>
        <v>14408.3468034728</v>
      </c>
      <c r="C45" s="165" t="n">
        <f aca="false">Z13/Contiguity!H65</f>
        <v>13492.4241515391</v>
      </c>
      <c r="D45" s="165" t="n">
        <f aca="false">Z22/Contiguity!D151</f>
        <v>13276.329004329</v>
      </c>
      <c r="E45" s="290" t="s">
        <v>294</v>
      </c>
      <c r="G45" s="124" t="s">
        <v>158</v>
      </c>
      <c r="H45" s="10" t="n">
        <v>785250000</v>
      </c>
      <c r="I45" s="10" t="n">
        <v>1997</v>
      </c>
      <c r="J45" s="293" t="n">
        <f aca="false">Z14/H45</f>
        <v>0.047803305953518</v>
      </c>
    </row>
    <row r="46" customFormat="false" ht="12.75" hidden="false" customHeight="false" outlineLevel="0" collapsed="false">
      <c r="A46" s="64" t="s">
        <v>158</v>
      </c>
      <c r="B46" s="104" t="n">
        <f aca="false">Z5/Contiguity!H89</f>
        <v>8887.16678948661</v>
      </c>
      <c r="C46" s="165" t="n">
        <f aca="false">Z14/Contiguity!H77</f>
        <v>9060.47453536085</v>
      </c>
      <c r="D46" s="165" t="n">
        <f aca="false">Z23/Contiguity!D152</f>
        <v>9777.89937106918</v>
      </c>
      <c r="E46" s="292"/>
      <c r="G46" s="124" t="s">
        <v>158</v>
      </c>
      <c r="H46" s="10" t="n">
        <v>779509000</v>
      </c>
      <c r="I46" s="10" t="n">
        <v>1998</v>
      </c>
      <c r="J46" s="293" t="n">
        <f aca="false">Z5/H46</f>
        <v>0.0464133909935613</v>
      </c>
    </row>
    <row r="47" customFormat="false" ht="13.5" hidden="false" customHeight="false" outlineLevel="0" collapsed="false">
      <c r="A47" s="294" t="s">
        <v>289</v>
      </c>
      <c r="B47" s="295" t="n">
        <f aca="false">Z6/(Contiguity!H65+Contiguity!H89)</f>
        <v>12248.3694983663</v>
      </c>
      <c r="C47" s="165" t="n">
        <f aca="false">Z15/(Contiguity!H77+Contiguity!H65)</f>
        <v>11740.0317808742</v>
      </c>
      <c r="D47" s="165" t="n">
        <f aca="false">Z24/(Contiguity!D151+Contiguity!D152)</f>
        <v>11912.1988304094</v>
      </c>
      <c r="E47" s="292"/>
      <c r="G47" s="124" t="s">
        <v>178</v>
      </c>
      <c r="H47" s="10" t="n">
        <v>1178437000</v>
      </c>
      <c r="I47" s="10" t="n">
        <v>1996</v>
      </c>
      <c r="J47" s="293" t="n">
        <f aca="false">J66/H47</f>
        <v>0.0350567522913826</v>
      </c>
    </row>
    <row r="48" customFormat="false" ht="13.5" hidden="false" customHeight="false" outlineLevel="0" collapsed="false">
      <c r="A48" s="296" t="s">
        <v>298</v>
      </c>
      <c r="B48" s="297" t="n">
        <f aca="false">(B47+C47+D47)/3</f>
        <v>11966.8667032166</v>
      </c>
      <c r="E48" s="292"/>
      <c r="G48" s="124" t="s">
        <v>178</v>
      </c>
      <c r="H48" s="10" t="n">
        <v>1164889000</v>
      </c>
      <c r="I48" s="10" t="n">
        <v>1997</v>
      </c>
      <c r="J48" s="293" t="n">
        <f aca="false">J67/H48</f>
        <v>0.0447713765002502</v>
      </c>
    </row>
    <row r="49" customFormat="false" ht="12.75" hidden="false" customHeight="false" outlineLevel="0" collapsed="false">
      <c r="A49" s="64"/>
      <c r="E49" s="292"/>
      <c r="G49" s="124" t="s">
        <v>178</v>
      </c>
      <c r="H49" s="10" t="n">
        <v>2347924000</v>
      </c>
      <c r="I49" s="10" t="n">
        <v>1998</v>
      </c>
      <c r="J49" s="293" t="n">
        <f aca="false">J68/H49</f>
        <v>0.0203423109095524</v>
      </c>
    </row>
    <row r="50" customFormat="false" ht="12.75" hidden="false" customHeight="false" outlineLevel="0" collapsed="false">
      <c r="A50" s="59" t="s">
        <v>178</v>
      </c>
      <c r="E50" s="292"/>
      <c r="G50" s="124" t="s">
        <v>166</v>
      </c>
      <c r="H50" s="10" t="n">
        <v>1750608000</v>
      </c>
      <c r="I50" s="10" t="n">
        <v>1996</v>
      </c>
      <c r="J50" s="293" t="n">
        <f aca="false">Z26/H50</f>
        <v>0.0569067472558106</v>
      </c>
    </row>
    <row r="51" customFormat="false" ht="13.5" hidden="false" customHeight="false" outlineLevel="0" collapsed="false">
      <c r="A51" s="294" t="s">
        <v>299</v>
      </c>
      <c r="B51" s="295" t="n">
        <f aca="false">K66</f>
        <v>9605.24854684957</v>
      </c>
      <c r="C51" s="289" t="n">
        <f aca="false">K67</f>
        <v>12795.310107949</v>
      </c>
      <c r="D51" s="104" t="n">
        <f aca="false">K68</f>
        <v>11652.1590631861</v>
      </c>
      <c r="E51" s="292"/>
      <c r="G51" s="124" t="s">
        <v>166</v>
      </c>
      <c r="H51" s="10" t="n">
        <v>1781014000</v>
      </c>
      <c r="I51" s="10" t="n">
        <v>1997</v>
      </c>
      <c r="J51" s="293" t="n">
        <f aca="false">Z17/H51</f>
        <v>0.0536511167233947</v>
      </c>
    </row>
    <row r="52" customFormat="false" ht="13.5" hidden="false" customHeight="false" outlineLevel="0" collapsed="false">
      <c r="A52" s="298" t="s">
        <v>300</v>
      </c>
      <c r="B52" s="297" t="n">
        <f aca="false">(B51+C51+D51)/3</f>
        <v>11350.9059059949</v>
      </c>
      <c r="C52" s="299"/>
      <c r="D52" s="300"/>
      <c r="E52" s="301"/>
      <c r="G52" s="124" t="s">
        <v>166</v>
      </c>
      <c r="H52" s="10" t="n">
        <v>1582616000</v>
      </c>
      <c r="I52" s="10" t="n">
        <v>1998</v>
      </c>
      <c r="J52" s="293" t="n">
        <f aca="false">Z8/H52</f>
        <v>0.0577962272591709</v>
      </c>
    </row>
    <row r="53" customFormat="false" ht="12.75" hidden="false" customHeight="false" outlineLevel="0" collapsed="false">
      <c r="G53" s="124" t="s">
        <v>162</v>
      </c>
      <c r="H53" s="10" t="n">
        <v>493582000</v>
      </c>
      <c r="I53" s="10" t="n">
        <v>1996</v>
      </c>
      <c r="J53" s="293" t="n">
        <f aca="false">Z27/H53</f>
        <v>0.0166920795328841</v>
      </c>
    </row>
    <row r="54" customFormat="false" ht="12.75" hidden="false" customHeight="false" outlineLevel="0" collapsed="false">
      <c r="G54" s="124" t="s">
        <v>162</v>
      </c>
      <c r="H54" s="10" t="n">
        <v>523033000</v>
      </c>
      <c r="I54" s="10" t="n">
        <v>1997</v>
      </c>
      <c r="J54" s="293" t="n">
        <f aca="false">Z18/H54</f>
        <v>0.035670781767116</v>
      </c>
    </row>
    <row r="55" customFormat="false" ht="12.75" hidden="false" customHeight="false" outlineLevel="0" collapsed="false">
      <c r="A55" s="0"/>
      <c r="B55" s="0"/>
      <c r="C55" s="0"/>
      <c r="D55" s="0"/>
      <c r="E55" s="0"/>
      <c r="F55" s="0"/>
      <c r="G55" s="169" t="s">
        <v>162</v>
      </c>
      <c r="H55" s="171" t="n">
        <v>591331000</v>
      </c>
      <c r="I55" s="171" t="n">
        <v>1998</v>
      </c>
      <c r="J55" s="302" t="n">
        <f aca="false">Z9/H55</f>
        <v>0.0339778313668656</v>
      </c>
    </row>
    <row r="56" customFormat="false" ht="12.75" hidden="false" customHeight="false" outlineLevel="0" collapsed="false">
      <c r="A56" s="0"/>
      <c r="B56" s="0"/>
      <c r="C56" s="0"/>
      <c r="D56" s="0"/>
      <c r="E56" s="0"/>
      <c r="F56" s="0"/>
      <c r="G56" s="151" t="s">
        <v>301</v>
      </c>
      <c r="H56" s="163"/>
      <c r="I56" s="163"/>
      <c r="J56" s="164"/>
    </row>
    <row r="57" customFormat="false" ht="12.75" hidden="false" customHeight="false" outlineLevel="0" collapsed="false">
      <c r="A57" s="0"/>
      <c r="B57" s="0"/>
      <c r="C57" s="0"/>
      <c r="D57" s="0"/>
      <c r="E57" s="0"/>
      <c r="F57" s="0"/>
      <c r="G57" s="124" t="s">
        <v>168</v>
      </c>
      <c r="H57" s="10"/>
      <c r="I57" s="10"/>
      <c r="J57" s="303" t="n">
        <f aca="false">(Z4+Z13+Z22)/(H41+H42+H43)</f>
        <v>0.126444491521344</v>
      </c>
    </row>
    <row r="58" customFormat="false" ht="12.75" hidden="false" customHeight="false" outlineLevel="0" collapsed="false">
      <c r="A58" s="0"/>
      <c r="B58" s="0"/>
      <c r="C58" s="0"/>
      <c r="D58" s="0"/>
      <c r="E58" s="0"/>
      <c r="F58" s="0"/>
      <c r="G58" s="124" t="s">
        <v>158</v>
      </c>
      <c r="H58" s="10"/>
      <c r="I58" s="10"/>
      <c r="J58" s="303" t="n">
        <f aca="false">(Z5+Z14+Z23)/(H44+H45+H46)</f>
        <v>0.0496922995877951</v>
      </c>
    </row>
    <row r="59" customFormat="false" ht="12.75" hidden="false" customHeight="false" outlineLevel="0" collapsed="false">
      <c r="A59" s="0"/>
      <c r="B59" s="0"/>
      <c r="C59" s="0"/>
      <c r="D59" s="0"/>
      <c r="E59" s="0"/>
      <c r="F59" s="0"/>
      <c r="G59" s="160" t="s">
        <v>178</v>
      </c>
      <c r="H59" s="10"/>
      <c r="I59" s="10"/>
      <c r="J59" s="304" t="n">
        <f aca="false">(J66+J67+J68)/(H47+H48+H49)</f>
        <v>0.0301045687183586</v>
      </c>
    </row>
    <row r="60" customFormat="false" ht="12.75" hidden="false" customHeight="false" outlineLevel="0" collapsed="false">
      <c r="A60" s="0"/>
      <c r="B60" s="0"/>
      <c r="C60" s="0"/>
      <c r="D60" s="0"/>
      <c r="E60" s="0"/>
      <c r="F60" s="0"/>
      <c r="G60" s="124" t="s">
        <v>166</v>
      </c>
      <c r="H60" s="10"/>
      <c r="I60" s="10"/>
      <c r="J60" s="303" t="n">
        <f aca="false">(Z8+Z17+Z26)/(H50+H51+H52)</f>
        <v>0.0560482384668058</v>
      </c>
    </row>
    <row r="61" customFormat="false" ht="12.75" hidden="false" customHeight="false" outlineLevel="0" collapsed="false">
      <c r="A61" s="0"/>
      <c r="B61" s="0"/>
      <c r="C61" s="0"/>
      <c r="D61" s="0"/>
      <c r="E61" s="0"/>
      <c r="F61" s="0"/>
      <c r="G61" s="124" t="s">
        <v>162</v>
      </c>
      <c r="H61" s="10"/>
      <c r="I61" s="10"/>
      <c r="J61" s="303" t="n">
        <f aca="false">(Z9+Z18+Z27)/(H53+H54+H55)</f>
        <v>0.0292224061007024</v>
      </c>
    </row>
    <row r="62" customFormat="false" ht="12.75" hidden="false" customHeight="false" outlineLevel="0" collapsed="false">
      <c r="A62" s="0"/>
      <c r="B62" s="0"/>
      <c r="C62" s="0"/>
      <c r="D62" s="0"/>
      <c r="E62" s="0"/>
      <c r="F62" s="0"/>
      <c r="G62" s="160" t="s">
        <v>33</v>
      </c>
      <c r="H62" s="10"/>
      <c r="I62" s="10"/>
      <c r="J62" s="305" t="n">
        <f aca="false">(Z4+Z5+Z13+Z14+Z22+Z23)/(H41+H42+H43+H44+H45+H46)</f>
        <v>0.0861387006001057</v>
      </c>
    </row>
    <row r="63" customFormat="false" ht="12.75" hidden="false" customHeight="false" outlineLevel="0" collapsed="false">
      <c r="A63" s="0"/>
      <c r="B63" s="0"/>
      <c r="C63" s="0"/>
      <c r="D63" s="0"/>
      <c r="E63" s="0"/>
      <c r="F63" s="0"/>
      <c r="G63" s="306" t="s">
        <v>217</v>
      </c>
      <c r="H63" s="171"/>
      <c r="I63" s="171"/>
      <c r="J63" s="307" t="n">
        <f aca="false">(Z8+Z9+Z17+Z18+Z26+Z27)/(H50+H51+H52+H53+H54+H55)</f>
        <v>0.049631501012171</v>
      </c>
    </row>
    <row r="64" customFormat="false" ht="12.75" hidden="false" customHeight="false" outlineLevel="0" collapsed="false">
      <c r="A64" s="0"/>
      <c r="B64" s="0"/>
      <c r="C64" s="0"/>
      <c r="D64" s="0"/>
      <c r="E64" s="0"/>
      <c r="F64" s="0"/>
      <c r="G64" s="0"/>
      <c r="H64" s="0"/>
      <c r="I64" s="0"/>
      <c r="J64" s="0"/>
    </row>
    <row r="65" customFormat="false" ht="12.75" hidden="false" customHeight="false" outlineLevel="0" collapsed="false">
      <c r="A65" s="0" t="s">
        <v>209</v>
      </c>
      <c r="B65" s="0" t="s">
        <v>103</v>
      </c>
      <c r="C65" s="0" t="s">
        <v>302</v>
      </c>
      <c r="D65" s="0" t="s">
        <v>303</v>
      </c>
      <c r="E65" s="0" t="s">
        <v>278</v>
      </c>
      <c r="F65" s="0" t="s">
        <v>276</v>
      </c>
      <c r="G65" s="0" t="s">
        <v>273</v>
      </c>
      <c r="H65" s="0" t="s">
        <v>272</v>
      </c>
      <c r="I65" s="273" t="s">
        <v>304</v>
      </c>
      <c r="J65" s="45" t="s">
        <v>305</v>
      </c>
      <c r="K65" s="273" t="s">
        <v>291</v>
      </c>
      <c r="L65" s="273" t="s">
        <v>306</v>
      </c>
    </row>
    <row r="66" customFormat="false" ht="12.75" hidden="false" customHeight="false" outlineLevel="0" collapsed="false">
      <c r="A66" s="0" t="s">
        <v>178</v>
      </c>
      <c r="B66" s="0" t="n">
        <v>1996</v>
      </c>
      <c r="C66" s="0" t="n">
        <v>42740524</v>
      </c>
      <c r="D66" s="0" t="n">
        <v>48201651</v>
      </c>
      <c r="E66" s="0" t="n">
        <v>1131851</v>
      </c>
      <c r="F66" s="0" t="n">
        <v>53310380</v>
      </c>
      <c r="G66" s="0" t="n">
        <v>1706700</v>
      </c>
      <c r="H66" s="0" t="n">
        <v>-49259454</v>
      </c>
      <c r="I66" s="109" t="n">
        <v>4301</v>
      </c>
      <c r="J66" s="9" t="n">
        <f aca="false">D66-E66-F66-G66-H66</f>
        <v>41312174</v>
      </c>
      <c r="K66" s="165" t="n">
        <f aca="false">J66/I66</f>
        <v>9605.24854684957</v>
      </c>
      <c r="L66" s="165" t="n">
        <f aca="false">J66/(1541)</f>
        <v>26808.678780013</v>
      </c>
    </row>
    <row r="67" customFormat="false" ht="12.75" hidden="false" customHeight="false" outlineLevel="0" collapsed="false">
      <c r="A67" s="0" t="s">
        <v>178</v>
      </c>
      <c r="B67" s="0" t="n">
        <v>1997</v>
      </c>
      <c r="C67" s="0" t="n">
        <v>49757592</v>
      </c>
      <c r="D67" s="0" t="n">
        <v>50012165</v>
      </c>
      <c r="E67" s="0" t="n">
        <v>1301101</v>
      </c>
      <c r="F67" s="0" t="n">
        <v>43008734</v>
      </c>
      <c r="G67" s="0" t="n">
        <v>1396418</v>
      </c>
      <c r="H67" s="0" t="n">
        <v>-47847772</v>
      </c>
      <c r="I67" s="109" t="n">
        <v>4076</v>
      </c>
      <c r="J67" s="9" t="n">
        <f aca="false">D67-E67-F67-G67-H67</f>
        <v>52153684</v>
      </c>
      <c r="K67" s="165" t="n">
        <f aca="false">J67/I67</f>
        <v>12795.310107949</v>
      </c>
      <c r="L67" s="165" t="n">
        <f aca="false">J67/(1541)</f>
        <v>33844.0519143413</v>
      </c>
    </row>
    <row r="68" customFormat="false" ht="12.75" hidden="false" customHeight="false" outlineLevel="0" collapsed="false">
      <c r="A68" s="0" t="s">
        <v>178</v>
      </c>
      <c r="B68" s="0" t="n">
        <v>1998</v>
      </c>
      <c r="C68" s="0" t="n">
        <v>36393346</v>
      </c>
      <c r="D68" s="0" t="n">
        <v>67148770</v>
      </c>
      <c r="E68" s="0" t="n">
        <v>-557</v>
      </c>
      <c r="F68" s="0" t="n">
        <v>51096355</v>
      </c>
      <c r="G68" s="0" t="n">
        <v>1249525</v>
      </c>
      <c r="H68" s="0" t="n">
        <v>-32958753</v>
      </c>
      <c r="I68" s="109" t="n">
        <v>4099</v>
      </c>
      <c r="J68" s="9" t="n">
        <f aca="false">D68-E68-F68-G68-H68</f>
        <v>47762200</v>
      </c>
      <c r="K68" s="165" t="n">
        <f aca="false">J68/I68</f>
        <v>11652.1590631861</v>
      </c>
      <c r="L68" s="165" t="n">
        <f aca="false">J68/(1541)</f>
        <v>30994.289422453</v>
      </c>
    </row>
    <row r="69" customFormat="false" ht="12.75" hidden="false" customHeight="false" outlineLevel="0" collapsed="false">
      <c r="A69" s="0"/>
      <c r="B69" s="0"/>
      <c r="C69" s="0"/>
      <c r="D69" s="0"/>
      <c r="E69" s="0"/>
      <c r="F69" s="0"/>
      <c r="G69" s="0"/>
      <c r="H69" s="0"/>
      <c r="I69" s="0"/>
      <c r="J69" s="0"/>
    </row>
    <row r="70" customFormat="false" ht="12.75" hidden="false" customHeight="false" outlineLevel="0" collapsed="false">
      <c r="A70" s="0"/>
      <c r="B70" s="0"/>
      <c r="C70" s="0"/>
      <c r="D70" s="0"/>
      <c r="E70" s="0"/>
      <c r="F70" s="0"/>
      <c r="G70" s="0"/>
      <c r="H70" s="0"/>
      <c r="I70" s="0"/>
      <c r="J70" s="0"/>
    </row>
    <row r="71" customFormat="false" ht="12.75" hidden="false" customHeight="false" outlineLevel="0" collapsed="false">
      <c r="A71" s="0"/>
      <c r="B71" s="0"/>
      <c r="C71" s="0"/>
      <c r="D71" s="0"/>
      <c r="E71" s="0"/>
      <c r="F71" s="0"/>
      <c r="G71" s="0"/>
      <c r="H71" s="0"/>
      <c r="I71" s="0"/>
      <c r="J71" s="0"/>
    </row>
    <row r="72" customFormat="false" ht="12.75" hidden="false" customHeight="false" outlineLevel="0" collapsed="false">
      <c r="A72" s="0"/>
      <c r="B72" s="0"/>
      <c r="C72" s="0"/>
      <c r="D72" s="0"/>
      <c r="E72" s="0"/>
      <c r="F72" s="0"/>
      <c r="G72" s="0"/>
      <c r="H72" s="0"/>
      <c r="I72" s="0"/>
      <c r="J72" s="0"/>
    </row>
    <row r="73" customFormat="false" ht="12.75" hidden="false" customHeight="false" outlineLevel="0" collapsed="false">
      <c r="A73" s="0"/>
      <c r="B73" s="0"/>
      <c r="C73" s="0"/>
      <c r="D73" s="0"/>
      <c r="E73" s="0"/>
      <c r="F73" s="0"/>
      <c r="G73" s="0"/>
      <c r="H73" s="0"/>
      <c r="I73" s="0"/>
      <c r="J73" s="0"/>
    </row>
    <row r="74" customFormat="false" ht="12.75" hidden="false" customHeight="false" outlineLevel="0" collapsed="false">
      <c r="A74" s="0"/>
      <c r="B74" s="0"/>
      <c r="C74" s="0"/>
      <c r="D74" s="0"/>
      <c r="E74" s="0"/>
      <c r="F74" s="0"/>
      <c r="G74" s="0"/>
      <c r="H74" s="0"/>
      <c r="I74" s="0"/>
      <c r="J74" s="0"/>
    </row>
    <row r="75" customFormat="false" ht="12.75" hidden="false" customHeight="false" outlineLevel="0" collapsed="false">
      <c r="A75" s="0"/>
      <c r="B75" s="0"/>
      <c r="C75" s="0"/>
      <c r="D75" s="0"/>
      <c r="E75" s="0"/>
      <c r="F75" s="0"/>
      <c r="G75" s="0"/>
      <c r="H75" s="0"/>
      <c r="I75" s="0"/>
      <c r="J75" s="0"/>
    </row>
    <row r="76" customFormat="false" ht="12.75" hidden="false" customHeight="false" outlineLevel="0" collapsed="false">
      <c r="A76" s="0"/>
      <c r="B76" s="0"/>
      <c r="C76" s="0"/>
      <c r="D76" s="0"/>
      <c r="E76" s="0"/>
      <c r="F76" s="0"/>
      <c r="G76" s="0"/>
      <c r="H76" s="0"/>
      <c r="I76" s="0"/>
      <c r="J76" s="0"/>
    </row>
    <row r="77" customFormat="false" ht="12.75" hidden="false" customHeight="false" outlineLevel="0" collapsed="false">
      <c r="A77" s="0"/>
      <c r="B77" s="0"/>
      <c r="C77" s="0"/>
      <c r="D77" s="0"/>
      <c r="E77" s="0"/>
      <c r="F77" s="0"/>
      <c r="G77" s="0"/>
      <c r="H77" s="0"/>
      <c r="I77" s="0"/>
      <c r="J77" s="0"/>
    </row>
    <row r="78" customFormat="false" ht="12.75" hidden="false" customHeight="false" outlineLevel="0" collapsed="false">
      <c r="A78" s="0"/>
      <c r="B78" s="0"/>
      <c r="C78" s="0"/>
      <c r="D78" s="0"/>
      <c r="E78" s="0"/>
      <c r="F78" s="0"/>
      <c r="G78" s="0"/>
      <c r="H78" s="0"/>
      <c r="I78" s="0"/>
      <c r="J78" s="0"/>
    </row>
    <row r="79" customFormat="false" ht="12.75" hidden="false" customHeight="false" outlineLevel="0" collapsed="false">
      <c r="A79" s="0"/>
      <c r="B79" s="0"/>
      <c r="C79" s="0"/>
      <c r="D79" s="0"/>
      <c r="E79" s="0"/>
      <c r="F79" s="0"/>
      <c r="G79" s="0"/>
      <c r="H79" s="0"/>
      <c r="I79" s="0"/>
      <c r="J79" s="0"/>
    </row>
    <row r="80" customFormat="false" ht="12.75" hidden="false" customHeight="false" outlineLevel="0" collapsed="false">
      <c r="A80" s="0"/>
      <c r="B80" s="0"/>
      <c r="C80" s="0"/>
      <c r="D80" s="0"/>
      <c r="E80" s="0"/>
      <c r="F80" s="0"/>
      <c r="G80" s="0"/>
      <c r="H80" s="0"/>
      <c r="I80" s="0"/>
      <c r="J80" s="0"/>
    </row>
    <row r="81" customFormat="false" ht="12.75" hidden="false" customHeight="false" outlineLevel="0" collapsed="false">
      <c r="A81" s="0"/>
      <c r="B81" s="0"/>
      <c r="C81" s="0"/>
      <c r="D81" s="0"/>
      <c r="E81" s="0"/>
      <c r="F81" s="0"/>
      <c r="G81" s="0"/>
      <c r="H81" s="0"/>
      <c r="I81" s="0"/>
      <c r="J81" s="0"/>
    </row>
    <row r="82" customFormat="false" ht="12.75" hidden="false" customHeight="false" outlineLevel="0" collapsed="false">
      <c r="A82" s="0"/>
      <c r="B82" s="0"/>
      <c r="C82" s="0"/>
      <c r="D82" s="0"/>
      <c r="E82" s="0"/>
      <c r="F82" s="0"/>
      <c r="G82" s="0"/>
      <c r="H82" s="0"/>
      <c r="I82" s="0"/>
      <c r="J82" s="0"/>
    </row>
    <row r="83" customFormat="false" ht="12.75" hidden="false" customHeight="false" outlineLevel="0" collapsed="false">
      <c r="A83" s="0"/>
      <c r="B83" s="0"/>
      <c r="C83" s="0"/>
      <c r="D83" s="0"/>
      <c r="E83" s="0"/>
      <c r="F83" s="0"/>
      <c r="G83" s="0"/>
      <c r="H83" s="0"/>
      <c r="I83" s="0"/>
      <c r="J83" s="0"/>
    </row>
    <row r="84" customFormat="false" ht="12.75" hidden="false" customHeight="false" outlineLevel="0" collapsed="false">
      <c r="A84" s="0"/>
      <c r="B84" s="0"/>
      <c r="C84" s="0"/>
      <c r="D84" s="0"/>
      <c r="E84" s="0"/>
      <c r="F84" s="0"/>
      <c r="G84" s="0"/>
      <c r="H84" s="0"/>
      <c r="I84" s="0"/>
      <c r="J84" s="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2000-01-25T07:06:00Z</dcterms:created>
  <dc:creator/>
  <dc:description/>
  <dc:language>en-US</dc:language>
  <cp:lastModifiedBy>mlangman002</cp:lastModifiedBy>
  <cp:revision>0</cp:revision>
  <dc:subject/>
  <dc:title/>
</cp:coreProperties>
</file>