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Sheet1!$A$80:$AB$118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<sst xmlns="http://schemas.openxmlformats.org/spreadsheetml/2006/main" count="95" uniqueCount="73">
  <si>
    <t xml:space="preserve">Fidelity Funds After Tax Year 2000 Dividend and Income Analysis</t>
  </si>
  <si>
    <t xml:space="preserve">Ordinary</t>
  </si>
  <si>
    <t xml:space="preserve">Short Term</t>
  </si>
  <si>
    <t xml:space="preserve">Long Term</t>
  </si>
  <si>
    <t xml:space="preserve">Total Taxable</t>
  </si>
  <si>
    <t xml:space="preserve">Dividends</t>
  </si>
  <si>
    <t xml:space="preserve">Capital Gain</t>
  </si>
  <si>
    <t xml:space="preserve">Income</t>
  </si>
  <si>
    <t xml:space="preserve">Fidelity Fund</t>
  </si>
  <si>
    <t xml:space="preserve">Magellan Fund</t>
  </si>
  <si>
    <t xml:space="preserve">Value Fund</t>
  </si>
  <si>
    <t xml:space="preserve">Worldwide Fund</t>
  </si>
  <si>
    <t xml:space="preserve">Vanguard Funds After Tax Year 2000 Dividend and Income Analysis</t>
  </si>
  <si>
    <t xml:space="preserve">Foreign</t>
  </si>
  <si>
    <t xml:space="preserve">Tax Free</t>
  </si>
  <si>
    <t xml:space="preserve">Explorer</t>
  </si>
  <si>
    <t xml:space="preserve">500 Index</t>
  </si>
  <si>
    <t xml:space="preserve">International Growth</t>
  </si>
  <si>
    <t xml:space="preserve">Interm. Muni</t>
  </si>
  <si>
    <t xml:space="preserve">High Yield Muni</t>
  </si>
  <si>
    <t xml:space="preserve">500 Index - Kathryn</t>
  </si>
  <si>
    <t xml:space="preserve">Windsor 2 - Allison</t>
  </si>
  <si>
    <t xml:space="preserve">Windsor 2 - Matthew</t>
  </si>
  <si>
    <t xml:space="preserve">Paine Webber 2000 Option Exercises and Interest Analysis</t>
  </si>
  <si>
    <t xml:space="preserve">RMA Tax Free Money Market Balances</t>
  </si>
  <si>
    <t xml:space="preserve">Totals</t>
  </si>
  <si>
    <t xml:space="preserve">Beginning Balance</t>
  </si>
  <si>
    <t xml:space="preserve">Net Value of Exercises/Sales</t>
  </si>
  <si>
    <t xml:space="preserve">Change in Invest. Value</t>
  </si>
  <si>
    <t xml:space="preserve">Reported</t>
  </si>
  <si>
    <t xml:space="preserve">on 1099</t>
  </si>
  <si>
    <t xml:space="preserve">Non-Taxable Interest</t>
  </si>
  <si>
    <t xml:space="preserve">Diff Adjusted in 1/01/01</t>
  </si>
  <si>
    <t xml:space="preserve">Checks Written</t>
  </si>
  <si>
    <t xml:space="preserve">Ending Balance</t>
  </si>
  <si>
    <t xml:space="preserve"># of Options Exercised</t>
  </si>
  <si>
    <t xml:space="preserve"># of Phantom Stk Sold</t>
  </si>
  <si>
    <t xml:space="preserve">Price of Exercise/Sale</t>
  </si>
  <si>
    <t xml:space="preserve">Gross Proceeds</t>
  </si>
  <si>
    <t xml:space="preserve">Options Cost</t>
  </si>
  <si>
    <t xml:space="preserve">Federal W/H</t>
  </si>
  <si>
    <t xml:space="preserve">Medicare</t>
  </si>
  <si>
    <t xml:space="preserve">Social Security</t>
  </si>
  <si>
    <t xml:space="preserve">Commissions</t>
  </si>
  <si>
    <t xml:space="preserve">Cash Transferred to RMA</t>
  </si>
  <si>
    <t xml:space="preserve">Enron 2001 Salary</t>
  </si>
  <si>
    <t xml:space="preserve">Gross Salary</t>
  </si>
  <si>
    <t xml:space="preserve">Pre Tax Savings Plan</t>
  </si>
  <si>
    <t xml:space="preserve">Pre Tax Med.,Dent,Life,ADD</t>
  </si>
  <si>
    <t xml:space="preserve">Pre Tax Spending Acct</t>
  </si>
  <si>
    <t xml:space="preserve">Taxable Benefits Income</t>
  </si>
  <si>
    <t xml:space="preserve">Flex Dollars</t>
  </si>
  <si>
    <t xml:space="preserve">Bonus Income</t>
  </si>
  <si>
    <t xml:space="preserve">Phantom Gross Income</t>
  </si>
  <si>
    <t xml:space="preserve">Options Gross Income</t>
  </si>
  <si>
    <t xml:space="preserve">Before Tax Deductions</t>
  </si>
  <si>
    <t xml:space="preserve">Current Earnings</t>
  </si>
  <si>
    <t xml:space="preserve">Total Earnings</t>
  </si>
  <si>
    <t xml:space="preserve">Cum. Federal W/H</t>
  </si>
  <si>
    <t xml:space="preserve">Cum. Medicare</t>
  </si>
  <si>
    <t xml:space="preserve">FICA</t>
  </si>
  <si>
    <t xml:space="preserve">Cum. FICA</t>
  </si>
  <si>
    <t xml:space="preserve">Cum. Taxes W/H</t>
  </si>
  <si>
    <t xml:space="preserve">Cum. Gross Pay</t>
  </si>
  <si>
    <t xml:space="preserve">Cum. Not Subject To Inc Tax</t>
  </si>
  <si>
    <t xml:space="preserve">Cum. Pay Subject To Inc. Tax</t>
  </si>
  <si>
    <t xml:space="preserve">Current Period</t>
  </si>
  <si>
    <t xml:space="preserve">Total Earnings + Imputed</t>
  </si>
  <si>
    <t xml:space="preserve">Taxes Withheld</t>
  </si>
  <si>
    <t xml:space="preserve">After Tax Deductions</t>
  </si>
  <si>
    <t xml:space="preserve">Net Pay</t>
  </si>
  <si>
    <t xml:space="preserve">Earnings Subject to Income Tax</t>
  </si>
  <si>
    <t xml:space="preserve">Year To Date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</si>
</sst>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[$-409]mmm\-yy"/>
    <numFmt numFmtId="166" formatCode="_(\$* #,##0.00_);_(\$* \(#,##0.00\);_(\$* \-??_);_(@_)"/>
    <numFmt numFmtId="167" formatCode="_(* #,##0.00_);_(* \(#,##0.00\);_(* \-??_);_(@_)"/>
    <numFmt numFmtId="168" formatCode="_(\$* #,##0.0000_);_(\$* \(#,##0.0000\);_(\$* \-??_);_(@_)"/>
    <numFmt numFmtId="169" formatCode="0.00"/>
    <numFmt numFmtId="170" formatCode="0%"/>
    <numFmt numFmtId="171" formatCode="0.0%"/>
    <numFmt numFmtId="172" formatCode="_(\$* #,##0.000_);_(\$* \(#,##0.000\);_(\$* \-??_);_(@_)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u val="single"/>
      <sz val="10"/>
      <name val="Arial"/>
      <family val="2"/>
    </font>
    <font>
      <b val="true"/>
      <sz val="10"/>
      <name val="Arial"/>
      <family val="2"/>
    </font>
    <font>
      <b val="true"/>
      <i val="true"/>
      <u val="single"/>
      <sz val="12"/>
      <name val="Arial"/>
      <family val="2"/>
    </font>
    <font>
      <i val="true"/>
      <u val="single"/>
      <sz val="12"/>
      <name val="Arial"/>
      <family val="2"/>
    </font>
  </fonts>
  <fills count="2">
    <fill>
      <patternFill patternType="none"/>
    </fill>
    <fill>
      <patternFill patternType="gray125"/>
    </fill>
  </fills>
  <borders count="7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70" fontId="0" fillId="0" borderId="0" applyFont="true" applyBorder="false" applyAlignment="false" applyProtection="false"/>
  </cellStyleXfs>
  <cellXfs count="2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AE15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0.28"/>
    <col collapsed="false" customWidth="true" hidden="false" outlineLevel="0" max="3" min="3" style="0" width="11.28"/>
    <col collapsed="false" customWidth="true" hidden="false" outlineLevel="0" max="4" min="4" style="0" width="15.99"/>
    <col collapsed="false" customWidth="true" hidden="false" outlineLevel="0" max="5" min="5" style="0" width="1.41"/>
    <col collapsed="false" customWidth="true" hidden="false" outlineLevel="0" max="6" min="6" style="0" width="13.85"/>
    <col collapsed="false" customWidth="true" hidden="false" outlineLevel="0" max="7" min="7" style="0" width="1.56"/>
    <col collapsed="false" customWidth="true" hidden="false" outlineLevel="0" max="8" min="8" style="0" width="13.7"/>
    <col collapsed="false" customWidth="true" hidden="false" outlineLevel="0" max="9" min="9" style="0" width="1.56"/>
    <col collapsed="false" customWidth="true" hidden="false" outlineLevel="0" max="10" min="10" style="0" width="13.85"/>
    <col collapsed="false" customWidth="true" hidden="false" outlineLevel="0" max="11" min="11" style="0" width="1.85"/>
    <col collapsed="false" customWidth="true" hidden="false" outlineLevel="0" max="12" min="12" style="0" width="13.56"/>
    <col collapsed="false" customWidth="true" hidden="false" outlineLevel="0" max="13" min="13" style="0" width="1.56"/>
    <col collapsed="false" customWidth="true" hidden="false" outlineLevel="0" max="14" min="14" style="0" width="13.56"/>
    <col collapsed="false" customWidth="true" hidden="false" outlineLevel="0" max="15" min="15" style="0" width="1.28"/>
    <col collapsed="false" customWidth="true" hidden="false" outlineLevel="0" max="16" min="16" style="0" width="13.85"/>
    <col collapsed="false" customWidth="true" hidden="false" outlineLevel="0" max="17" min="17" style="0" width="1.56"/>
    <col collapsed="false" customWidth="true" hidden="false" outlineLevel="0" max="18" min="18" style="0" width="13.14"/>
    <col collapsed="false" customWidth="true" hidden="false" outlineLevel="0" max="19" min="19" style="0" width="1.56"/>
    <col collapsed="false" customWidth="true" hidden="false" outlineLevel="0" max="20" min="20" style="0" width="12.28"/>
    <col collapsed="false" customWidth="true" hidden="false" outlineLevel="0" max="21" min="21" style="0" width="1.56"/>
    <col collapsed="false" customWidth="true" hidden="false" outlineLevel="0" max="22" min="22" style="0" width="12.56"/>
    <col collapsed="false" customWidth="true" hidden="false" outlineLevel="0" max="23" min="23" style="0" width="1.28"/>
    <col collapsed="false" customWidth="true" hidden="false" outlineLevel="0" max="24" min="24" style="0" width="14.28"/>
    <col collapsed="false" customWidth="true" hidden="false" outlineLevel="0" max="25" min="25" style="0" width="1.7"/>
    <col collapsed="false" customWidth="true" hidden="false" outlineLevel="0" max="26" min="26" style="0" width="14.7"/>
    <col collapsed="false" customWidth="true" hidden="false" outlineLevel="0" max="27" min="27" style="0" width="1.41"/>
    <col collapsed="false" customWidth="true" hidden="false" outlineLevel="0" max="28" min="28" style="0" width="13.7"/>
    <col collapsed="false" customWidth="true" hidden="false" outlineLevel="0" max="30" min="30" style="0" width="11.85"/>
  </cols>
  <sheetData>
    <row r="2" customFormat="false" ht="12.75" hidden="false" customHeight="false" outlineLevel="0" collapsed="false">
      <c r="D2" s="0" t="s">
        <v>0</v>
      </c>
    </row>
    <row r="4" customFormat="false" ht="12.75" hidden="false" customHeight="false" outlineLevel="0" collapsed="false">
      <c r="D4" s="0" t="s">
        <v>1</v>
      </c>
      <c r="F4" s="0" t="s">
        <v>2</v>
      </c>
      <c r="H4" s="0" t="s">
        <v>3</v>
      </c>
      <c r="J4" s="0" t="s">
        <v>4</v>
      </c>
    </row>
    <row r="5" customFormat="false" ht="12.75" hidden="false" customHeight="false" outlineLevel="0" collapsed="false">
      <c r="D5" s="0" t="s">
        <v>5</v>
      </c>
      <c r="F5" s="0" t="s">
        <v>6</v>
      </c>
      <c r="H5" s="0" t="s">
        <v>6</v>
      </c>
      <c r="J5" s="0" t="s">
        <v>7</v>
      </c>
    </row>
    <row r="6" customFormat="false" ht="12.75" hidden="false" customHeight="false" outlineLevel="0" collapsed="false">
      <c r="A6" s="0" t="s">
        <v>8</v>
      </c>
      <c r="D6" s="0" t="n">
        <f aca="false">20.49+27.93+46.37+79.05</f>
        <v>173.84</v>
      </c>
      <c r="H6" s="0" t="n">
        <f aca="false">2189.5+1667.89</f>
        <v>3857.39</v>
      </c>
      <c r="J6" s="0" t="n">
        <f aca="false">D6+F6+H6</f>
        <v>4031.23</v>
      </c>
    </row>
    <row r="8" customFormat="false" ht="12.75" hidden="false" customHeight="false" outlineLevel="0" collapsed="false">
      <c r="A8" s="0" t="s">
        <v>9</v>
      </c>
      <c r="D8" s="0" t="n">
        <f aca="false">8.61+25.15</f>
        <v>33.76</v>
      </c>
      <c r="F8" s="0" t="n">
        <f aca="false">113.18</f>
        <v>113.18</v>
      </c>
      <c r="H8" s="0" t="n">
        <f aca="false">234.98+233.85</f>
        <v>468.83</v>
      </c>
      <c r="J8" s="0" t="n">
        <f aca="false">D8+F8+H8</f>
        <v>615.77</v>
      </c>
    </row>
    <row r="9" customFormat="false" ht="12.75" hidden="false" customHeight="false" outlineLevel="0" collapsed="false">
      <c r="F9" s="0" t="n">
        <f aca="false">D8+F8</f>
        <v>146.94</v>
      </c>
    </row>
    <row r="10" customFormat="false" ht="12.75" hidden="false" customHeight="false" outlineLevel="0" collapsed="false">
      <c r="A10" s="0" t="s">
        <v>10</v>
      </c>
      <c r="D10" s="0" t="n">
        <f aca="false">494.31+5.42</f>
        <v>499.73</v>
      </c>
      <c r="J10" s="0" t="n">
        <f aca="false">D10+F10+H10</f>
        <v>499.73</v>
      </c>
    </row>
    <row r="12" customFormat="false" ht="12.75" hidden="false" customHeight="false" outlineLevel="0" collapsed="false">
      <c r="A12" s="0" t="s">
        <v>11</v>
      </c>
      <c r="D12" s="0" t="n">
        <f aca="false">340.54</f>
        <v>340.54</v>
      </c>
      <c r="F12" s="0" t="n">
        <f aca="false">442.71</f>
        <v>442.71</v>
      </c>
      <c r="H12" s="0" t="n">
        <f aca="false">1472.85</f>
        <v>1472.85</v>
      </c>
      <c r="J12" s="0" t="n">
        <f aca="false">D12+F12+H12</f>
        <v>2256.1</v>
      </c>
    </row>
    <row r="13" customFormat="false" ht="12.75" hidden="false" customHeight="false" outlineLevel="0" collapsed="false">
      <c r="F13" s="0" t="n">
        <f aca="false">D12+F12</f>
        <v>783.25</v>
      </c>
    </row>
    <row r="16" customFormat="false" ht="12.75" hidden="false" customHeight="false" outlineLevel="0" collapsed="false">
      <c r="D16" s="0" t="s">
        <v>12</v>
      </c>
    </row>
    <row r="20" customFormat="false" ht="12.75" hidden="false" customHeight="false" outlineLevel="0" collapsed="false">
      <c r="D20" s="0" t="s">
        <v>1</v>
      </c>
      <c r="F20" s="0" t="s">
        <v>2</v>
      </c>
      <c r="H20" s="0" t="s">
        <v>3</v>
      </c>
      <c r="J20" s="0" t="s">
        <v>4</v>
      </c>
      <c r="L20" s="0" t="s">
        <v>13</v>
      </c>
      <c r="N20" s="0" t="s">
        <v>14</v>
      </c>
    </row>
    <row r="21" customFormat="false" ht="12.75" hidden="false" customHeight="false" outlineLevel="0" collapsed="false">
      <c r="D21" s="0" t="s">
        <v>5</v>
      </c>
      <c r="F21" s="0" t="s">
        <v>6</v>
      </c>
      <c r="H21" s="0" t="s">
        <v>6</v>
      </c>
      <c r="J21" s="0" t="s">
        <v>7</v>
      </c>
      <c r="L21" s="0" t="s">
        <v>7</v>
      </c>
      <c r="N21" s="0" t="s">
        <v>7</v>
      </c>
    </row>
    <row r="22" customFormat="false" ht="12.75" hidden="false" customHeight="false" outlineLevel="0" collapsed="false">
      <c r="A22" s="0" t="s">
        <v>15</v>
      </c>
      <c r="D22" s="0" t="n">
        <v>135.55</v>
      </c>
      <c r="F22" s="0" t="n">
        <v>4548.91</v>
      </c>
      <c r="H22" s="0" t="n">
        <v>2992.84</v>
      </c>
      <c r="J22" s="0" t="n">
        <f aca="false">D22+F22+H22</f>
        <v>7677.3</v>
      </c>
    </row>
    <row r="23" customFormat="false" ht="12.75" hidden="false" customHeight="false" outlineLevel="0" collapsed="false">
      <c r="F23" s="0" t="n">
        <f aca="false">D22+F22</f>
        <v>4684.46</v>
      </c>
    </row>
    <row r="24" customFormat="false" ht="12.75" hidden="false" customHeight="false" outlineLevel="0" collapsed="false">
      <c r="A24" s="0" t="s">
        <v>16</v>
      </c>
      <c r="D24" s="0" t="n">
        <f aca="false">141.78+146.81+151.9+176.06</f>
        <v>616.55</v>
      </c>
      <c r="J24" s="0" t="n">
        <f aca="false">D24+F24+H24</f>
        <v>616.55</v>
      </c>
    </row>
    <row r="26" customFormat="false" ht="12.75" hidden="false" customHeight="false" outlineLevel="0" collapsed="false">
      <c r="A26" s="0" t="s">
        <v>17</v>
      </c>
      <c r="D26" s="0" t="n">
        <v>262.25</v>
      </c>
      <c r="F26" s="0" t="n">
        <v>238.41</v>
      </c>
      <c r="H26" s="0" t="n">
        <v>1454.32</v>
      </c>
      <c r="J26" s="0" t="n">
        <f aca="false">D26+F26+H26</f>
        <v>1954.98</v>
      </c>
      <c r="L26" s="0" t="n">
        <v>30.81</v>
      </c>
    </row>
    <row r="27" customFormat="false" ht="12.75" hidden="false" customHeight="false" outlineLevel="0" collapsed="false">
      <c r="F27" s="0" t="n">
        <f aca="false">D26+F26</f>
        <v>500.66</v>
      </c>
    </row>
    <row r="28" customFormat="false" ht="12.75" hidden="false" customHeight="false" outlineLevel="0" collapsed="false">
      <c r="A28" s="0" t="s">
        <v>18</v>
      </c>
      <c r="N28" s="0" t="n">
        <v>1004.24</v>
      </c>
    </row>
    <row r="30" customFormat="false" ht="12.75" hidden="false" customHeight="false" outlineLevel="0" collapsed="false">
      <c r="A30" s="0" t="s">
        <v>19</v>
      </c>
      <c r="N30" s="0" t="n">
        <v>889.75</v>
      </c>
      <c r="O30" s="0" t="n">
        <f aca="false">N28+N30</f>
        <v>1893.99</v>
      </c>
    </row>
    <row r="32" customFormat="false" ht="12.75" hidden="false" customHeight="false" outlineLevel="0" collapsed="false">
      <c r="A32" s="0" t="s">
        <v>20</v>
      </c>
      <c r="D32" s="0" t="n">
        <f aca="false">50.31+52.1+77.09+89.35</f>
        <v>268.85</v>
      </c>
      <c r="J32" s="0" t="n">
        <f aca="false">D32+F32+H32</f>
        <v>268.85</v>
      </c>
    </row>
    <row r="34" customFormat="false" ht="12.75" hidden="false" customHeight="false" outlineLevel="0" collapsed="false">
      <c r="A34" s="0" t="s">
        <v>21</v>
      </c>
      <c r="D34" s="0" t="n">
        <f aca="false">226.59+378.38</f>
        <v>604.97</v>
      </c>
      <c r="H34" s="0" t="n">
        <v>1466.22</v>
      </c>
      <c r="J34" s="0" t="n">
        <f aca="false">D34+F34+H34</f>
        <v>2071.19</v>
      </c>
    </row>
    <row r="36" customFormat="false" ht="12.75" hidden="false" customHeight="false" outlineLevel="0" collapsed="false">
      <c r="A36" s="0" t="s">
        <v>22</v>
      </c>
      <c r="D36" s="0" t="n">
        <f aca="false">116.79+243.27</f>
        <v>360.06</v>
      </c>
      <c r="H36" s="0" t="n">
        <v>942.68</v>
      </c>
      <c r="J36" s="0" t="n">
        <f aca="false">D36+F36+H36</f>
        <v>1302.74</v>
      </c>
    </row>
    <row r="39" customFormat="false" ht="12.75" hidden="false" customHeight="false" outlineLevel="0" collapsed="false">
      <c r="D39" s="0" t="s">
        <v>23</v>
      </c>
    </row>
    <row r="41" customFormat="false" ht="12.75" hidden="false" customHeight="false" outlineLevel="0" collapsed="false">
      <c r="E41" s="0" t="s">
        <v>24</v>
      </c>
    </row>
    <row r="43" customFormat="false" ht="12.75" hidden="false" customHeight="false" outlineLevel="0" collapsed="false">
      <c r="D43" s="1" t="n">
        <v>36892</v>
      </c>
      <c r="F43" s="1" t="n">
        <v>36923</v>
      </c>
      <c r="H43" s="1" t="n">
        <v>36951</v>
      </c>
      <c r="J43" s="1" t="n">
        <v>36982</v>
      </c>
      <c r="L43" s="1" t="n">
        <v>37012</v>
      </c>
      <c r="N43" s="1" t="n">
        <v>37043</v>
      </c>
      <c r="P43" s="1" t="n">
        <v>37073</v>
      </c>
      <c r="R43" s="1" t="n">
        <v>37104</v>
      </c>
      <c r="T43" s="1" t="n">
        <v>37135</v>
      </c>
      <c r="V43" s="1" t="n">
        <v>37165</v>
      </c>
      <c r="X43" s="1" t="n">
        <v>37196</v>
      </c>
      <c r="Z43" s="1" t="n">
        <v>37226</v>
      </c>
      <c r="AB43" s="0" t="s">
        <v>25</v>
      </c>
    </row>
    <row r="44" customFormat="false" ht="12.75" hidden="false" customHeight="false" outlineLevel="0" collapsed="false">
      <c r="A44" s="0" t="s">
        <v>26</v>
      </c>
      <c r="D44" s="2" t="n">
        <v>761546.59</v>
      </c>
      <c r="E44" s="2"/>
      <c r="F44" s="3" t="n">
        <f aca="false">D56</f>
        <v>1200882.33</v>
      </c>
      <c r="G44" s="2"/>
      <c r="H44" s="2" t="n">
        <f aca="false">F56</f>
        <v>1203752.32</v>
      </c>
      <c r="I44" s="2"/>
      <c r="J44" s="2" t="n">
        <f aca="false">H56</f>
        <v>1985428.23</v>
      </c>
      <c r="K44" s="2"/>
      <c r="L44" s="2" t="n">
        <f aca="false">J56</f>
        <v>1985745.58</v>
      </c>
      <c r="M44" s="2"/>
      <c r="N44" s="2" t="n">
        <f aca="false">L56</f>
        <v>1986413.08</v>
      </c>
      <c r="O44" s="2"/>
      <c r="P44" s="2" t="n">
        <f aca="false">N56</f>
        <v>1987214.34</v>
      </c>
      <c r="Q44" s="2"/>
      <c r="R44" s="2" t="n">
        <f aca="false">P56</f>
        <v>2124292.84</v>
      </c>
      <c r="S44" s="2"/>
      <c r="T44" s="2" t="n">
        <f aca="false">R56</f>
        <v>2125296.79</v>
      </c>
      <c r="V44" s="2" t="n">
        <f aca="false">T56</f>
        <v>2126571.32</v>
      </c>
      <c r="X44" s="2" t="n">
        <f aca="false">V56</f>
        <v>2127702.64</v>
      </c>
      <c r="Z44" s="2" t="n">
        <f aca="false">X56</f>
        <v>2543875.9596</v>
      </c>
      <c r="AB44" s="2"/>
    </row>
    <row r="45" customFormat="false" ht="12.75" hidden="false" customHeight="false" outlineLevel="0" collapsed="false"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</row>
    <row r="46" customFormat="false" ht="12.75" hidden="false" customHeight="false" outlineLevel="0" collapsed="false">
      <c r="A46" s="0" t="s">
        <v>27</v>
      </c>
      <c r="D46" s="2" t="n">
        <f aca="false">D65-(D67+D69+D71+D73)</f>
        <v>437314.43</v>
      </c>
      <c r="E46" s="2"/>
      <c r="F46" s="2"/>
      <c r="G46" s="2"/>
      <c r="H46" s="2" t="n">
        <f aca="false">H77</f>
        <v>850362.12</v>
      </c>
      <c r="I46" s="2"/>
      <c r="J46" s="2" t="n">
        <f aca="false">J77</f>
        <v>0</v>
      </c>
      <c r="K46" s="2"/>
      <c r="L46" s="2"/>
      <c r="M46" s="2"/>
      <c r="N46" s="2"/>
      <c r="O46" s="2"/>
      <c r="P46" s="2" t="n">
        <f aca="false">P77</f>
        <v>136397.17</v>
      </c>
      <c r="Q46" s="2"/>
      <c r="R46" s="2"/>
      <c r="S46" s="2"/>
      <c r="X46" s="4" t="n">
        <f aca="false">X77</f>
        <v>414528.3396</v>
      </c>
      <c r="AB46" s="4" t="n">
        <f aca="false">SUM(D46:Z46)</f>
        <v>1838602.0596</v>
      </c>
    </row>
    <row r="47" customFormat="false" ht="12.75" hidden="false" customHeight="false" outlineLevel="0" collapsed="false">
      <c r="D47" s="2"/>
      <c r="E47" s="5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</row>
    <row r="48" customFormat="false" ht="13.5" hidden="false" customHeight="false" outlineLevel="0" collapsed="false">
      <c r="A48" s="0" t="s">
        <v>28</v>
      </c>
      <c r="D48" s="2" t="n">
        <v>0</v>
      </c>
      <c r="E48" s="2"/>
      <c r="F48" s="2" t="n">
        <v>0</v>
      </c>
      <c r="G48" s="2"/>
      <c r="H48" s="2" t="n">
        <v>-71837.88</v>
      </c>
      <c r="I48" s="2"/>
      <c r="J48" s="2" t="n">
        <v>0</v>
      </c>
      <c r="K48" s="2"/>
      <c r="L48" s="2"/>
      <c r="M48" s="2"/>
      <c r="N48" s="2"/>
      <c r="O48" s="2"/>
      <c r="P48" s="2"/>
      <c r="Q48" s="2"/>
      <c r="R48" s="2"/>
      <c r="S48" s="2"/>
      <c r="AC48" s="0" t="s">
        <v>29</v>
      </c>
    </row>
    <row r="49" customFormat="false" ht="12.75" hidden="false" customHeight="false" outlineLevel="0" collapsed="false"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AC49" s="6" t="s">
        <v>30</v>
      </c>
      <c r="AD49" s="7"/>
      <c r="AE49" s="8"/>
    </row>
    <row r="50" customFormat="false" ht="17.25" hidden="false" customHeight="false" outlineLevel="0" collapsed="false">
      <c r="A50" s="0" t="s">
        <v>31</v>
      </c>
      <c r="D50" s="2" t="n">
        <v>2021.31</v>
      </c>
      <c r="E50" s="2"/>
      <c r="F50" s="2" t="n">
        <v>2869.99</v>
      </c>
      <c r="G50" s="2"/>
      <c r="H50" s="2" t="n">
        <v>3151.67</v>
      </c>
      <c r="I50" s="2"/>
      <c r="J50" s="2" t="n">
        <v>317.35</v>
      </c>
      <c r="K50" s="2"/>
      <c r="L50" s="2" t="n">
        <v>667.5</v>
      </c>
      <c r="M50" s="2"/>
      <c r="N50" s="2" t="n">
        <v>801.26</v>
      </c>
      <c r="O50" s="2"/>
      <c r="P50" s="2" t="n">
        <v>681.33</v>
      </c>
      <c r="Q50" s="2"/>
      <c r="R50" s="2" t="n">
        <v>1003.95</v>
      </c>
      <c r="S50" s="2"/>
      <c r="T50" s="2" t="n">
        <v>1274.53</v>
      </c>
      <c r="V50" s="2" t="n">
        <v>1131.32</v>
      </c>
      <c r="X50" s="2" t="n">
        <v>1644.98</v>
      </c>
      <c r="Z50" s="2" t="n">
        <v>2797.33</v>
      </c>
      <c r="AB50" s="4" t="n">
        <f aca="false">SUM(D50:Z50)</f>
        <v>18362.52</v>
      </c>
      <c r="AC50" s="0" t="n">
        <v>11865.68</v>
      </c>
      <c r="AD50" s="9" t="n">
        <f aca="false">AC50-AB50</f>
        <v>-6496.84</v>
      </c>
      <c r="AE50" s="10"/>
    </row>
    <row r="51" customFormat="false" ht="13.5" hidden="false" customHeight="false" outlineLevel="0" collapsed="false"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V51" s="2"/>
      <c r="X51" s="2"/>
      <c r="Z51" s="2"/>
      <c r="AD51" s="11"/>
      <c r="AE51" s="12"/>
    </row>
    <row r="52" customFormat="false" ht="12.75" hidden="false" customHeight="false" outlineLevel="0" collapsed="false">
      <c r="A52" s="0" t="s">
        <v>5</v>
      </c>
      <c r="D52" s="2"/>
      <c r="E52" s="2"/>
      <c r="F52" s="2"/>
      <c r="G52" s="2"/>
      <c r="H52" s="2" t="n">
        <v>0</v>
      </c>
      <c r="I52" s="2"/>
      <c r="J52" s="2" t="n">
        <v>0</v>
      </c>
      <c r="K52" s="2"/>
      <c r="L52" s="2" t="n">
        <v>0</v>
      </c>
      <c r="M52" s="2"/>
      <c r="N52" s="2" t="n">
        <v>0</v>
      </c>
      <c r="O52" s="2"/>
      <c r="P52" s="2" t="n">
        <v>0</v>
      </c>
      <c r="Q52" s="2"/>
      <c r="R52" s="2" t="n">
        <v>0</v>
      </c>
      <c r="S52" s="2"/>
      <c r="T52" s="2" t="n">
        <v>0</v>
      </c>
      <c r="V52" s="2" t="n">
        <v>0</v>
      </c>
      <c r="X52" s="2" t="n">
        <v>0</v>
      </c>
      <c r="Z52" s="2" t="n">
        <v>0</v>
      </c>
      <c r="AB52" s="4" t="n">
        <f aca="false">SUM(D52:Z52)</f>
        <v>0</v>
      </c>
      <c r="AD52" s="13" t="s">
        <v>32</v>
      </c>
    </row>
    <row r="53" customFormat="false" ht="12.75" hidden="false" customHeight="false" outlineLevel="0" collapsed="false"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V53" s="2"/>
      <c r="X53" s="2"/>
      <c r="Z53" s="2"/>
    </row>
    <row r="54" customFormat="false" ht="12.75" hidden="false" customHeight="false" outlineLevel="0" collapsed="false">
      <c r="A54" s="0" t="s">
        <v>33</v>
      </c>
      <c r="D54" s="2" t="n">
        <v>0</v>
      </c>
      <c r="E54" s="2"/>
      <c r="F54" s="2" t="n">
        <v>0</v>
      </c>
      <c r="G54" s="2"/>
      <c r="H54" s="2" t="n">
        <v>0</v>
      </c>
      <c r="I54" s="2"/>
      <c r="J54" s="2" t="n">
        <v>0</v>
      </c>
      <c r="K54" s="2"/>
      <c r="L54" s="2"/>
      <c r="M54" s="2"/>
      <c r="N54" s="2"/>
      <c r="O54" s="2"/>
      <c r="P54" s="2"/>
      <c r="Q54" s="2"/>
      <c r="R54" s="2"/>
      <c r="S54" s="2"/>
      <c r="X54" s="2" t="n">
        <v>0</v>
      </c>
      <c r="Z54" s="2" t="n">
        <v>35000</v>
      </c>
    </row>
    <row r="55" customFormat="false" ht="12.75" hidden="false" customHeight="false" outlineLevel="0" collapsed="false"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</row>
    <row r="56" customFormat="false" ht="12.75" hidden="false" customHeight="false" outlineLevel="0" collapsed="false">
      <c r="A56" s="0" t="s">
        <v>34</v>
      </c>
      <c r="D56" s="3" t="n">
        <f aca="false">D44+D46+D48+D50+D52-D54</f>
        <v>1200882.33</v>
      </c>
      <c r="E56" s="2"/>
      <c r="F56" s="2" t="n">
        <f aca="false">F44+F46+F48+F50+F52-F54</f>
        <v>1203752.32</v>
      </c>
      <c r="G56" s="2"/>
      <c r="H56" s="2" t="n">
        <f aca="false">H44+H46+H48+H50+H52-H54</f>
        <v>1985428.23</v>
      </c>
      <c r="I56" s="2"/>
      <c r="J56" s="2" t="n">
        <f aca="false">J44+J46+J48+J50+J52-J54</f>
        <v>1985745.58</v>
      </c>
      <c r="K56" s="2"/>
      <c r="L56" s="2" t="n">
        <f aca="false">L44+L46+L48+L50+L52-L54</f>
        <v>1986413.08</v>
      </c>
      <c r="M56" s="2"/>
      <c r="N56" s="2" t="n">
        <f aca="false">N44+N46+N48+N50+N52-N54</f>
        <v>1987214.34</v>
      </c>
      <c r="O56" s="2"/>
      <c r="P56" s="2" t="n">
        <f aca="false">P44+P46+P48+P50+P52-P54</f>
        <v>2124292.84</v>
      </c>
      <c r="Q56" s="2"/>
      <c r="R56" s="2" t="n">
        <f aca="false">R44+R46+R48+R50+R52-R54</f>
        <v>2125296.79</v>
      </c>
      <c r="S56" s="2"/>
      <c r="T56" s="2" t="n">
        <f aca="false">T44+T46+T48+T50+T52-T54</f>
        <v>2126571.32</v>
      </c>
      <c r="V56" s="2" t="n">
        <f aca="false">V44+V46+V48+V50+V52-V54</f>
        <v>2127702.64</v>
      </c>
      <c r="X56" s="2" t="n">
        <f aca="false">X44+X46+X48+X50+X52-X54</f>
        <v>2543875.9596</v>
      </c>
      <c r="Z56" s="2" t="n">
        <f aca="false">Z44+Z46+Z48+Z50+Z52-Z54</f>
        <v>2511673.2896</v>
      </c>
      <c r="AB56" s="2"/>
    </row>
    <row r="59" customFormat="false" ht="12.75" hidden="false" customHeight="false" outlineLevel="0" collapsed="false">
      <c r="A59" s="0" t="s">
        <v>35</v>
      </c>
      <c r="D59" s="14" t="n">
        <v>10000</v>
      </c>
      <c r="F59" s="4"/>
      <c r="H59" s="0" t="n">
        <v>15000</v>
      </c>
      <c r="P59" s="0" t="n">
        <v>4000</v>
      </c>
      <c r="X59" s="0" t="n">
        <v>9352</v>
      </c>
    </row>
    <row r="61" customFormat="false" ht="12.75" hidden="false" customHeight="false" outlineLevel="0" collapsed="false">
      <c r="A61" s="0" t="s">
        <v>36</v>
      </c>
      <c r="F61" s="4"/>
      <c r="H61" s="0" t="n">
        <v>0</v>
      </c>
    </row>
    <row r="63" customFormat="false" ht="12.75" hidden="false" customHeight="false" outlineLevel="0" collapsed="false">
      <c r="A63" s="0" t="s">
        <v>37</v>
      </c>
      <c r="D63" s="15" t="n">
        <v>81.1569</v>
      </c>
      <c r="H63" s="15" t="n">
        <v>56.7527</v>
      </c>
      <c r="P63" s="0" t="n">
        <v>70.6719</v>
      </c>
      <c r="X63" s="0" t="n">
        <v>81.1698</v>
      </c>
    </row>
    <row r="65" customFormat="false" ht="12.75" hidden="false" customHeight="false" outlineLevel="0" collapsed="false">
      <c r="A65" s="0" t="s">
        <v>38</v>
      </c>
      <c r="D65" s="2" t="n">
        <v>810941.93</v>
      </c>
      <c r="F65" s="2" t="n">
        <v>0</v>
      </c>
      <c r="H65" s="2" t="n">
        <v>850362.12</v>
      </c>
      <c r="J65" s="2" t="n">
        <f aca="false">J59*J63</f>
        <v>0</v>
      </c>
      <c r="P65" s="2" t="n">
        <f aca="false">P59*P63</f>
        <v>282687.6</v>
      </c>
      <c r="X65" s="2" t="n">
        <f aca="false">X59*X63</f>
        <v>759099.9696</v>
      </c>
      <c r="AB65" s="4" t="n">
        <f aca="false">SUM(D65:Z65)</f>
        <v>2703091.6196</v>
      </c>
    </row>
    <row r="66" customFormat="false" ht="12.75" hidden="false" customHeight="false" outlineLevel="0" collapsed="false">
      <c r="H66" s="2"/>
    </row>
    <row r="67" customFormat="false" ht="12.75" hidden="false" customHeight="false" outlineLevel="0" collapsed="false">
      <c r="A67" s="0" t="s">
        <v>39</v>
      </c>
      <c r="D67" s="2" t="n">
        <v>183750</v>
      </c>
      <c r="H67" s="2"/>
      <c r="J67" s="2" t="n">
        <f aca="false">J59*22.25</f>
        <v>0</v>
      </c>
      <c r="P67" s="2" t="n">
        <f aca="false">P59*22.25</f>
        <v>89000</v>
      </c>
      <c r="X67" s="2" t="n">
        <f aca="false">(((5340*15.25)+(2692*22.25)+(1320*22.25))/9352)*X59</f>
        <v>170702</v>
      </c>
      <c r="Y67" s="4"/>
      <c r="AB67" s="4" t="n">
        <f aca="false">SUM(D67:Z67)</f>
        <v>443452</v>
      </c>
    </row>
    <row r="68" customFormat="false" ht="12.75" hidden="false" customHeight="false" outlineLevel="0" collapsed="false">
      <c r="H68" s="2"/>
    </row>
    <row r="69" customFormat="false" ht="12.75" hidden="false" customHeight="false" outlineLevel="0" collapsed="false">
      <c r="A69" s="0" t="s">
        <v>40</v>
      </c>
      <c r="D69" s="2" t="n">
        <v>175789.32</v>
      </c>
      <c r="F69" s="2" t="n">
        <v>0</v>
      </c>
      <c r="H69" s="2" t="n">
        <v>0</v>
      </c>
      <c r="J69" s="2" t="n">
        <v>0</v>
      </c>
      <c r="P69" s="2" t="n">
        <v>54232.53</v>
      </c>
      <c r="X69" s="2" t="n">
        <f aca="false">98563.28+44411.39+21776.76</f>
        <v>164751.43</v>
      </c>
      <c r="AB69" s="4" t="n">
        <f aca="false">SUM(D69:Z69)</f>
        <v>394773.28</v>
      </c>
    </row>
    <row r="70" customFormat="false" ht="12.75" hidden="false" customHeight="false" outlineLevel="0" collapsed="false">
      <c r="H70" s="2"/>
    </row>
    <row r="71" customFormat="false" ht="12.75" hidden="false" customHeight="false" outlineLevel="0" collapsed="false">
      <c r="A71" s="0" t="s">
        <v>41</v>
      </c>
      <c r="D71" s="2" t="n">
        <v>9103.38</v>
      </c>
      <c r="F71" s="2" t="n">
        <v>0</v>
      </c>
      <c r="H71" s="2" t="n">
        <v>0</v>
      </c>
      <c r="J71" s="2" t="n">
        <v>0</v>
      </c>
      <c r="P71" s="2" t="n">
        <v>2808.47</v>
      </c>
      <c r="X71" s="2" t="n">
        <f aca="false">5104.17+2299.87+1127.73</f>
        <v>8531.77</v>
      </c>
      <c r="AB71" s="4" t="n">
        <f aca="false">SUM(D71:Z71)</f>
        <v>20443.62</v>
      </c>
    </row>
    <row r="72" customFormat="false" ht="12.75" hidden="false" customHeight="false" outlineLevel="0" collapsed="false">
      <c r="D72" s="2"/>
      <c r="H72" s="2"/>
    </row>
    <row r="73" customFormat="false" ht="12.75" hidden="false" customHeight="false" outlineLevel="0" collapsed="false">
      <c r="A73" s="0" t="s">
        <v>42</v>
      </c>
      <c r="D73" s="2" t="n">
        <v>4984.8</v>
      </c>
      <c r="H73" s="2"/>
    </row>
    <row r="74" customFormat="false" ht="12.75" hidden="false" customHeight="false" outlineLevel="0" collapsed="false">
      <c r="D74" s="2"/>
      <c r="H74" s="2"/>
    </row>
    <row r="75" customFormat="false" ht="12.75" hidden="false" customHeight="false" outlineLevel="0" collapsed="false">
      <c r="A75" s="0" t="s">
        <v>43</v>
      </c>
      <c r="D75" s="2" t="n">
        <v>627.07</v>
      </c>
      <c r="H75" s="2"/>
      <c r="J75" s="2" t="n">
        <v>0</v>
      </c>
      <c r="P75" s="2" t="n">
        <v>249.43</v>
      </c>
      <c r="X75" s="2" t="n">
        <f aca="false">561.12+25.31</f>
        <v>586.43</v>
      </c>
      <c r="AB75" s="4" t="n">
        <f aca="false">SUM(D75:Z75)</f>
        <v>1462.93</v>
      </c>
    </row>
    <row r="76" customFormat="false" ht="12.75" hidden="false" customHeight="false" outlineLevel="0" collapsed="false">
      <c r="D76" s="2"/>
      <c r="H76" s="2"/>
    </row>
    <row r="77" customFormat="false" ht="12.75" hidden="false" customHeight="false" outlineLevel="0" collapsed="false">
      <c r="A77" s="0" t="s">
        <v>44</v>
      </c>
      <c r="D77" s="2"/>
      <c r="H77" s="2" t="n">
        <f aca="false">H65-H75</f>
        <v>850362.12</v>
      </c>
      <c r="J77" s="4" t="n">
        <f aca="false">J65-J67-J69-J71-J75</f>
        <v>0</v>
      </c>
      <c r="P77" s="4" t="n">
        <f aca="false">P65-P67-P69-P71-P75</f>
        <v>136397.17</v>
      </c>
      <c r="X77" s="4" t="n">
        <f aca="false">X65-X67-X69-X71-X75</f>
        <v>414528.3396</v>
      </c>
    </row>
    <row r="79" customFormat="false" ht="12.75" hidden="false" customHeight="false" outlineLevel="0" collapsed="false">
      <c r="T79" s="0" t="n">
        <v>750</v>
      </c>
    </row>
    <row r="80" customFormat="false" ht="12.75" hidden="false" customHeight="false" outlineLevel="0" collapsed="false">
      <c r="D80" s="0" t="s">
        <v>45</v>
      </c>
      <c r="T80" s="0" t="n">
        <f aca="false">T79*3</f>
        <v>2250</v>
      </c>
    </row>
    <row r="82" customFormat="false" ht="12.75" hidden="false" customHeight="false" outlineLevel="0" collapsed="false">
      <c r="D82" s="1" t="n">
        <v>36892</v>
      </c>
      <c r="F82" s="1" t="n">
        <v>36923</v>
      </c>
      <c r="H82" s="1" t="n">
        <v>36951</v>
      </c>
      <c r="J82" s="1" t="n">
        <v>36982</v>
      </c>
      <c r="L82" s="1" t="n">
        <v>37012</v>
      </c>
      <c r="N82" s="1" t="n">
        <v>37043</v>
      </c>
      <c r="P82" s="1" t="n">
        <v>37073</v>
      </c>
      <c r="R82" s="1" t="n">
        <v>37104</v>
      </c>
      <c r="T82" s="1" t="n">
        <v>37135</v>
      </c>
      <c r="V82" s="1" t="n">
        <v>37165</v>
      </c>
      <c r="X82" s="1" t="n">
        <v>37196</v>
      </c>
      <c r="Z82" s="1" t="n">
        <v>37226</v>
      </c>
      <c r="AB82" s="0" t="s">
        <v>25</v>
      </c>
    </row>
    <row r="83" customFormat="false" ht="12.75" hidden="false" customHeight="false" outlineLevel="0" collapsed="false">
      <c r="A83" s="0" t="s">
        <v>46</v>
      </c>
      <c r="D83" s="2" t="n">
        <f aca="false">7500*2</f>
        <v>15000</v>
      </c>
      <c r="E83" s="2"/>
      <c r="F83" s="2" t="n">
        <f aca="false">(7500*2)</f>
        <v>15000</v>
      </c>
      <c r="G83" s="2"/>
      <c r="H83" s="2" t="n">
        <f aca="false">7500*2</f>
        <v>15000</v>
      </c>
      <c r="I83" s="2"/>
      <c r="J83" s="2" t="n">
        <f aca="false">7500*2</f>
        <v>15000</v>
      </c>
      <c r="K83" s="2"/>
      <c r="L83" s="2" t="n">
        <f aca="false">7500*2</f>
        <v>15000</v>
      </c>
      <c r="M83" s="2"/>
      <c r="N83" s="2" t="n">
        <f aca="false">7500*2</f>
        <v>15000</v>
      </c>
      <c r="O83" s="2"/>
      <c r="P83" s="2" t="n">
        <f aca="false">7500*2</f>
        <v>15000</v>
      </c>
      <c r="R83" s="2" t="n">
        <f aca="false">7500*2</f>
        <v>15000</v>
      </c>
      <c r="T83" s="2" t="n">
        <f aca="false">7500*2</f>
        <v>15000</v>
      </c>
      <c r="V83" s="2" t="n">
        <f aca="false">7500*2</f>
        <v>15000</v>
      </c>
      <c r="X83" s="2" t="n">
        <f aca="false">7500*2</f>
        <v>15000</v>
      </c>
      <c r="Y83" s="2"/>
      <c r="Z83" s="2" t="n">
        <f aca="false">7500*2</f>
        <v>15000</v>
      </c>
      <c r="AA83" s="2"/>
      <c r="AB83" s="2"/>
    </row>
    <row r="84" customFormat="false" ht="12.75" hidden="false" customHeight="false" outlineLevel="0" collapsed="false"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R84" s="2"/>
      <c r="T84" s="2"/>
      <c r="V84" s="2"/>
      <c r="X84" s="2"/>
      <c r="Y84" s="2"/>
      <c r="Z84" s="2"/>
      <c r="AA84" s="2"/>
      <c r="AB84" s="2"/>
    </row>
    <row r="85" customFormat="false" ht="12.75" hidden="false" customHeight="false" outlineLevel="0" collapsed="false">
      <c r="A85" s="0" t="s">
        <v>47</v>
      </c>
      <c r="D85" s="2" t="n">
        <f aca="false">425*2</f>
        <v>850</v>
      </c>
      <c r="E85" s="2"/>
      <c r="F85" s="2" t="n">
        <f aca="false">425*2</f>
        <v>850</v>
      </c>
      <c r="G85" s="2"/>
      <c r="H85" s="2" t="n">
        <f aca="false">425*2</f>
        <v>850</v>
      </c>
      <c r="I85" s="2"/>
      <c r="J85" s="2" t="n">
        <f aca="false">425*2</f>
        <v>850</v>
      </c>
      <c r="K85" s="2"/>
      <c r="L85" s="2" t="n">
        <f aca="false">425*2</f>
        <v>850</v>
      </c>
      <c r="M85" s="2"/>
      <c r="N85" s="2" t="n">
        <f aca="false">425*2</f>
        <v>850</v>
      </c>
      <c r="O85" s="2"/>
      <c r="P85" s="2" t="n">
        <f aca="false">425*2</f>
        <v>850</v>
      </c>
      <c r="R85" s="2" t="n">
        <f aca="false">425*2</f>
        <v>850</v>
      </c>
      <c r="T85" s="2" t="n">
        <f aca="false">425*2</f>
        <v>850</v>
      </c>
      <c r="V85" s="2" t="n">
        <f aca="false">425*2</f>
        <v>850</v>
      </c>
      <c r="X85" s="2" t="n">
        <f aca="false">425*2</f>
        <v>850</v>
      </c>
      <c r="Y85" s="2"/>
      <c r="Z85" s="2" t="n">
        <f aca="false">425*2</f>
        <v>850</v>
      </c>
      <c r="AA85" s="2"/>
      <c r="AB85" s="2" t="n">
        <f aca="false">SUM(D85:Z85)</f>
        <v>10200</v>
      </c>
    </row>
    <row r="86" customFormat="false" ht="12.75" hidden="false" customHeight="false" outlineLevel="0" collapsed="false"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R86" s="2"/>
      <c r="S86" s="4"/>
      <c r="T86" s="2"/>
      <c r="V86" s="2"/>
      <c r="X86" s="2"/>
      <c r="Y86" s="2"/>
      <c r="Z86" s="2"/>
      <c r="AA86" s="2"/>
      <c r="AB86" s="2"/>
    </row>
    <row r="87" customFormat="false" ht="12.75" hidden="false" customHeight="false" outlineLevel="0" collapsed="false">
      <c r="A87" s="0" t="s">
        <v>48</v>
      </c>
      <c r="D87" s="2" t="n">
        <f aca="false">(226.7+36.04+24+5.2)*2</f>
        <v>583.88</v>
      </c>
      <c r="E87" s="2"/>
      <c r="F87" s="2" t="n">
        <f aca="false">(226.7+36.04+24+5.2)*2</f>
        <v>583.88</v>
      </c>
      <c r="G87" s="2"/>
      <c r="H87" s="2" t="n">
        <f aca="false">(226.7+36.04+24+5.2)*2</f>
        <v>583.88</v>
      </c>
      <c r="I87" s="2"/>
      <c r="J87" s="2" t="n">
        <f aca="false">(226.7+36.04+24+5.2)*2</f>
        <v>583.88</v>
      </c>
      <c r="K87" s="2"/>
      <c r="L87" s="2" t="n">
        <f aca="false">(226.7+36.04+24+5.2)*2</f>
        <v>583.88</v>
      </c>
      <c r="M87" s="2"/>
      <c r="N87" s="2" t="n">
        <f aca="false">(226.7+36.04+24+5.2)*2</f>
        <v>583.88</v>
      </c>
      <c r="O87" s="2"/>
      <c r="P87" s="2" t="n">
        <f aca="false">(226.7+36.04+24+5.2)*2</f>
        <v>583.88</v>
      </c>
      <c r="Q87" s="4"/>
      <c r="R87" s="2" t="n">
        <f aca="false">(226.7+36.04+24+5.2)*2</f>
        <v>583.88</v>
      </c>
      <c r="T87" s="2" t="n">
        <f aca="false">(226.7+36.04+24+5.2)*2</f>
        <v>583.88</v>
      </c>
      <c r="V87" s="2" t="n">
        <f aca="false">(226.7+36.04+24+5.2)*2</f>
        <v>583.88</v>
      </c>
      <c r="X87" s="2" t="n">
        <f aca="false">(226.7+36.04+24+5.2)*2</f>
        <v>583.88</v>
      </c>
      <c r="Y87" s="2"/>
      <c r="Z87" s="2" t="n">
        <f aca="false">(226.7+36.04+24+5.2)*2</f>
        <v>583.88</v>
      </c>
      <c r="AA87" s="2"/>
      <c r="AB87" s="2"/>
    </row>
    <row r="88" customFormat="false" ht="12.75" hidden="false" customHeight="false" outlineLevel="0" collapsed="false"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4"/>
      <c r="R88" s="2"/>
      <c r="T88" s="2"/>
      <c r="V88" s="2"/>
      <c r="X88" s="2"/>
      <c r="Y88" s="2"/>
      <c r="Z88" s="2"/>
      <c r="AA88" s="2"/>
      <c r="AB88" s="2"/>
    </row>
    <row r="89" customFormat="false" ht="12.75" hidden="false" customHeight="false" outlineLevel="0" collapsed="false">
      <c r="A89" s="0" t="s">
        <v>49</v>
      </c>
      <c r="D89" s="2" t="n">
        <f aca="false">(35)*2</f>
        <v>70</v>
      </c>
      <c r="E89" s="2"/>
      <c r="F89" s="2" t="n">
        <f aca="false">(35)*2</f>
        <v>70</v>
      </c>
      <c r="G89" s="2"/>
      <c r="H89" s="2" t="n">
        <f aca="false">(35)*2</f>
        <v>70</v>
      </c>
      <c r="I89" s="2"/>
      <c r="J89" s="2" t="n">
        <f aca="false">(35)*2</f>
        <v>70</v>
      </c>
      <c r="K89" s="2"/>
      <c r="L89" s="2" t="n">
        <f aca="false">(35)*2</f>
        <v>70</v>
      </c>
      <c r="M89" s="2"/>
      <c r="N89" s="2" t="n">
        <f aca="false">(35)*2</f>
        <v>70</v>
      </c>
      <c r="O89" s="2"/>
      <c r="P89" s="2" t="n">
        <f aca="false">(35)*2</f>
        <v>70</v>
      </c>
      <c r="R89" s="2" t="n">
        <f aca="false">(35)*2</f>
        <v>70</v>
      </c>
      <c r="T89" s="2" t="n">
        <f aca="false">(35)*2</f>
        <v>70</v>
      </c>
      <c r="V89" s="2" t="n">
        <f aca="false">(35)*2</f>
        <v>70</v>
      </c>
      <c r="X89" s="2" t="n">
        <f aca="false">(35)*2</f>
        <v>70</v>
      </c>
      <c r="Y89" s="2"/>
      <c r="Z89" s="2" t="n">
        <f aca="false">(35)*2</f>
        <v>70</v>
      </c>
      <c r="AA89" s="2"/>
      <c r="AB89" s="2"/>
    </row>
    <row r="90" customFormat="false" ht="12.75" hidden="false" customHeight="false" outlineLevel="0" collapsed="false">
      <c r="B90" s="4"/>
      <c r="C90" s="4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4"/>
      <c r="R90" s="2"/>
      <c r="T90" s="2"/>
      <c r="V90" s="2"/>
      <c r="X90" s="2"/>
      <c r="Y90" s="2"/>
      <c r="Z90" s="2"/>
      <c r="AA90" s="2"/>
      <c r="AB90" s="2"/>
    </row>
    <row r="91" customFormat="false" ht="12.75" hidden="false" customHeight="false" outlineLevel="0" collapsed="false">
      <c r="A91" s="0" t="s">
        <v>50</v>
      </c>
      <c r="B91" s="4"/>
      <c r="C91" s="4"/>
      <c r="D91" s="2" t="n">
        <f aca="false">(27.5+0.75+0.33)*2</f>
        <v>57.16</v>
      </c>
      <c r="E91" s="2"/>
      <c r="F91" s="2" t="n">
        <f aca="false">(27.5+0.75+0.33)*2</f>
        <v>57.16</v>
      </c>
      <c r="G91" s="2"/>
      <c r="H91" s="2" t="n">
        <f aca="false">(27.5+0.75+0.33)*2</f>
        <v>57.16</v>
      </c>
      <c r="I91" s="2"/>
      <c r="J91" s="2" t="n">
        <f aca="false">(27.5+0.75+0.33)*2</f>
        <v>57.16</v>
      </c>
      <c r="K91" s="2"/>
      <c r="L91" s="2"/>
      <c r="M91" s="2"/>
      <c r="N91" s="2"/>
      <c r="O91" s="2"/>
      <c r="P91" s="2"/>
      <c r="Q91" s="4"/>
      <c r="R91" s="2"/>
      <c r="T91" s="2"/>
      <c r="V91" s="2"/>
      <c r="X91" s="2"/>
      <c r="Y91" s="2"/>
      <c r="Z91" s="2"/>
      <c r="AA91" s="2"/>
      <c r="AB91" s="2"/>
    </row>
    <row r="92" customFormat="false" ht="12.75" hidden="false" customHeight="false" outlineLevel="0" collapsed="false">
      <c r="B92" s="4"/>
      <c r="C92" s="4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4"/>
      <c r="R92" s="2"/>
      <c r="T92" s="2"/>
      <c r="V92" s="2"/>
      <c r="X92" s="2"/>
      <c r="Y92" s="2"/>
      <c r="Z92" s="2"/>
      <c r="AA92" s="2"/>
      <c r="AB92" s="2"/>
    </row>
    <row r="93" customFormat="false" ht="12.75" hidden="false" customHeight="false" outlineLevel="0" collapsed="false">
      <c r="A93" s="0" t="s">
        <v>51</v>
      </c>
      <c r="D93" s="2" t="n">
        <f aca="false">220.33+220.33</f>
        <v>440.66</v>
      </c>
      <c r="E93" s="2"/>
      <c r="F93" s="2" t="n">
        <f aca="false">220.33+220.33</f>
        <v>440.66</v>
      </c>
      <c r="G93" s="2"/>
      <c r="H93" s="2" t="n">
        <f aca="false">220.33+220.33</f>
        <v>440.66</v>
      </c>
      <c r="I93" s="2"/>
      <c r="J93" s="2" t="n">
        <f aca="false">220.33+220.33</f>
        <v>440.66</v>
      </c>
      <c r="K93" s="2"/>
      <c r="L93" s="2" t="n">
        <f aca="false">220.33+220.33</f>
        <v>440.66</v>
      </c>
      <c r="M93" s="2"/>
      <c r="N93" s="2" t="n">
        <f aca="false">220.33+220.33</f>
        <v>440.66</v>
      </c>
      <c r="O93" s="2"/>
      <c r="P93" s="2" t="n">
        <f aca="false">220.33+220.33</f>
        <v>440.66</v>
      </c>
      <c r="Q93" s="4"/>
      <c r="R93" s="2" t="n">
        <f aca="false">220.33+220.33</f>
        <v>440.66</v>
      </c>
      <c r="T93" s="2" t="n">
        <f aca="false">220.33+220.33</f>
        <v>440.66</v>
      </c>
      <c r="V93" s="2" t="n">
        <f aca="false">220.33+220.33</f>
        <v>440.66</v>
      </c>
      <c r="X93" s="2" t="n">
        <f aca="false">220.33+220.33</f>
        <v>440.66</v>
      </c>
      <c r="Y93" s="2"/>
      <c r="Z93" s="2" t="n">
        <f aca="false">220.33+220.33</f>
        <v>440.66</v>
      </c>
      <c r="AA93" s="2"/>
      <c r="AB93" s="2"/>
    </row>
    <row r="94" customFormat="false" ht="12.75" hidden="false" customHeight="false" outlineLevel="0" collapsed="false"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4"/>
      <c r="X94" s="2"/>
      <c r="Y94" s="2"/>
      <c r="Z94" s="2"/>
      <c r="AA94" s="2"/>
      <c r="AB94" s="2"/>
    </row>
    <row r="95" customFormat="false" ht="12.75" hidden="false" customHeight="false" outlineLevel="0" collapsed="false">
      <c r="A95" s="0" t="s">
        <v>52</v>
      </c>
      <c r="D95" s="2"/>
      <c r="E95" s="2"/>
      <c r="F95" s="2" t="n">
        <v>500000</v>
      </c>
      <c r="G95" s="2"/>
      <c r="H95" s="2"/>
      <c r="I95" s="2"/>
      <c r="J95" s="2"/>
      <c r="K95" s="2"/>
      <c r="L95" s="2"/>
      <c r="M95" s="2"/>
      <c r="N95" s="2"/>
      <c r="O95" s="2"/>
      <c r="P95" s="2"/>
      <c r="Q95" s="4"/>
      <c r="X95" s="2"/>
      <c r="Y95" s="2"/>
      <c r="Z95" s="2"/>
      <c r="AA95" s="2"/>
      <c r="AB95" s="2"/>
    </row>
    <row r="96" customFormat="false" ht="12.75" hidden="false" customHeight="false" outlineLevel="0" collapsed="false"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4"/>
      <c r="X96" s="2"/>
      <c r="Y96" s="2"/>
      <c r="Z96" s="2"/>
      <c r="AA96" s="2"/>
      <c r="AB96" s="2"/>
    </row>
    <row r="97" customFormat="false" ht="12.75" hidden="false" customHeight="false" outlineLevel="0" collapsed="false">
      <c r="A97" s="0" t="s">
        <v>53</v>
      </c>
      <c r="D97" s="2"/>
      <c r="E97" s="2"/>
      <c r="F97" s="2" t="n">
        <v>0</v>
      </c>
      <c r="G97" s="2"/>
      <c r="H97" s="2" t="n">
        <v>0</v>
      </c>
      <c r="I97" s="2"/>
      <c r="J97" s="2" t="n">
        <v>0</v>
      </c>
      <c r="K97" s="2"/>
      <c r="L97" s="2" t="n">
        <v>0</v>
      </c>
      <c r="M97" s="2"/>
      <c r="N97" s="2" t="n">
        <v>0</v>
      </c>
      <c r="O97" s="2"/>
      <c r="P97" s="2"/>
      <c r="Q97" s="4"/>
      <c r="R97" s="0" t="n">
        <v>0</v>
      </c>
      <c r="T97" s="0" t="n">
        <v>0</v>
      </c>
      <c r="V97" s="0" t="n">
        <v>0</v>
      </c>
      <c r="X97" s="0" t="n">
        <v>0</v>
      </c>
      <c r="Y97" s="2"/>
      <c r="Z97" s="0" t="n">
        <v>0</v>
      </c>
      <c r="AA97" s="2"/>
      <c r="AB97" s="2"/>
    </row>
    <row r="98" customFormat="false" ht="12.75" hidden="false" customHeight="false" outlineLevel="0" collapsed="false"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X98" s="2"/>
      <c r="Y98" s="2"/>
      <c r="Z98" s="2"/>
      <c r="AA98" s="2"/>
      <c r="AB98" s="2"/>
    </row>
    <row r="99" customFormat="false" ht="12.75" hidden="false" customHeight="false" outlineLevel="0" collapsed="false">
      <c r="A99" s="0" t="s">
        <v>54</v>
      </c>
      <c r="D99" s="2" t="n">
        <v>627819</v>
      </c>
      <c r="E99" s="2"/>
      <c r="F99" s="2" t="n">
        <v>0</v>
      </c>
      <c r="G99" s="2"/>
      <c r="H99" s="2" t="n">
        <v>0</v>
      </c>
      <c r="I99" s="2"/>
      <c r="J99" s="2" t="n">
        <v>0</v>
      </c>
      <c r="K99" s="2"/>
      <c r="L99" s="2" t="n">
        <f aca="false">J65-J67</f>
        <v>0</v>
      </c>
      <c r="M99" s="2"/>
      <c r="N99" s="2" t="n">
        <v>0</v>
      </c>
      <c r="O99" s="2"/>
      <c r="P99" s="2" t="n">
        <f aca="false">P65-P67</f>
        <v>193687.6</v>
      </c>
      <c r="R99" s="0" t="n">
        <v>0</v>
      </c>
      <c r="T99" s="0" t="n">
        <v>0</v>
      </c>
      <c r="V99" s="0" t="n">
        <v>0</v>
      </c>
      <c r="X99" s="2" t="n">
        <f aca="false">X65-X67</f>
        <v>588397.9696</v>
      </c>
      <c r="Y99" s="2"/>
      <c r="Z99" s="2" t="n">
        <v>0</v>
      </c>
      <c r="AA99" s="2"/>
      <c r="AB99" s="2"/>
    </row>
    <row r="100" customFormat="false" ht="12.75" hidden="false" customHeight="false" outlineLevel="0" collapsed="false"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X100" s="2"/>
      <c r="Y100" s="2"/>
      <c r="Z100" s="2"/>
      <c r="AA100" s="2"/>
      <c r="AB100" s="2"/>
    </row>
    <row r="101" customFormat="false" ht="12.75" hidden="false" customHeight="false" outlineLevel="0" collapsed="false">
      <c r="A101" s="0" t="s">
        <v>55</v>
      </c>
      <c r="D101" s="2" t="n">
        <f aca="false">D85+D87+D89</f>
        <v>1503.88</v>
      </c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X101" s="2"/>
      <c r="Y101" s="2"/>
      <c r="Z101" s="2"/>
      <c r="AA101" s="2"/>
      <c r="AB101" s="2"/>
    </row>
    <row r="102" customFormat="false" ht="12.75" hidden="false" customHeight="false" outlineLevel="0" collapsed="false"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X102" s="2"/>
      <c r="Y102" s="2"/>
      <c r="Z102" s="2"/>
      <c r="AA102" s="2"/>
      <c r="AB102" s="2"/>
    </row>
    <row r="103" customFormat="false" ht="12.75" hidden="false" customHeight="false" outlineLevel="0" collapsed="false">
      <c r="A103" s="0" t="s">
        <v>56</v>
      </c>
      <c r="C103" s="16"/>
      <c r="D103" s="2" t="n">
        <f aca="false">D83+D91+D93+D95+D97+D99</f>
        <v>643316.82</v>
      </c>
      <c r="E103" s="2"/>
      <c r="F103" s="2" t="n">
        <f aca="false">F83-F85-F87-F89+F93+F97+F99</f>
        <v>13936.78</v>
      </c>
      <c r="G103" s="2"/>
      <c r="H103" s="2" t="n">
        <f aca="false">H83-H85-H87-H89+H93+H97+H99</f>
        <v>13936.78</v>
      </c>
      <c r="I103" s="2"/>
      <c r="J103" s="2" t="n">
        <f aca="false">J83-J85-J87-J89+J93+J97+J99</f>
        <v>13936.78</v>
      </c>
      <c r="K103" s="2"/>
      <c r="L103" s="2" t="n">
        <f aca="false">L83-L85-L87-L89+L93+L97+L99</f>
        <v>13936.78</v>
      </c>
      <c r="M103" s="2"/>
      <c r="N103" s="2" t="n">
        <f aca="false">N83-N85-N87-N89+N93+N97+N99</f>
        <v>13936.78</v>
      </c>
      <c r="O103" s="2"/>
      <c r="P103" s="2" t="n">
        <f aca="false">P83-P85-P87-P89+P93+P97+P99</f>
        <v>207624.38</v>
      </c>
      <c r="R103" s="2" t="n">
        <f aca="false">R83-R85-R87-R89+R93+R97+R99</f>
        <v>13936.78</v>
      </c>
      <c r="T103" s="2" t="n">
        <f aca="false">T83-T85-T87-T89+T93+T97+T99</f>
        <v>13936.78</v>
      </c>
      <c r="V103" s="2" t="n">
        <f aca="false">V83-V85-V87-V89+V93+V97+V99</f>
        <v>13936.78</v>
      </c>
      <c r="X103" s="2" t="n">
        <f aca="false">X83-X85-X87-X89+X93+X97+X99</f>
        <v>602334.7496</v>
      </c>
      <c r="Y103" s="2"/>
      <c r="Z103" s="2" t="n">
        <f aca="false">Z83-Z85-Z87-Z89+Z93+Z97+Z99</f>
        <v>13936.78</v>
      </c>
      <c r="AA103" s="2"/>
      <c r="AB103" s="2"/>
    </row>
    <row r="104" customFormat="false" ht="12.75" hidden="false" customHeight="false" outlineLevel="0" collapsed="false">
      <c r="C104" s="4"/>
      <c r="D104" s="2"/>
      <c r="E104" s="2"/>
      <c r="F104" s="2" t="n">
        <f aca="false">(6968.39*2)-F103</f>
        <v>0</v>
      </c>
      <c r="G104" s="2"/>
      <c r="H104" s="2" t="n">
        <f aca="false">(6968.39*2)-H103</f>
        <v>0</v>
      </c>
      <c r="I104" s="2"/>
      <c r="J104" s="2"/>
      <c r="K104" s="2"/>
      <c r="L104" s="2"/>
      <c r="M104" s="2"/>
      <c r="N104" s="2"/>
      <c r="O104" s="2"/>
      <c r="P104" s="2"/>
      <c r="Y104" s="2"/>
      <c r="Z104" s="2"/>
      <c r="AA104" s="2"/>
      <c r="AB104" s="2"/>
    </row>
    <row r="105" customFormat="false" ht="12.75" hidden="false" customHeight="false" outlineLevel="0" collapsed="false">
      <c r="A105" s="17" t="s">
        <v>57</v>
      </c>
      <c r="B105" s="17"/>
      <c r="C105" s="17"/>
      <c r="D105" s="18"/>
      <c r="E105" s="18"/>
      <c r="F105" s="18" t="n">
        <f aca="false">D103+F103+F91</f>
        <v>657310.76</v>
      </c>
      <c r="G105" s="18"/>
      <c r="H105" s="18" t="n">
        <f aca="false">F105+H103+H91</f>
        <v>671304.7</v>
      </c>
      <c r="I105" s="18"/>
      <c r="J105" s="18" t="n">
        <f aca="false">H105+J103+J91</f>
        <v>685298.64</v>
      </c>
      <c r="K105" s="18"/>
      <c r="L105" s="18" t="n">
        <f aca="false">J105+L103</f>
        <v>699235.42</v>
      </c>
      <c r="M105" s="18"/>
      <c r="N105" s="18" t="n">
        <f aca="false">L105+N103</f>
        <v>713172.2</v>
      </c>
      <c r="O105" s="18"/>
      <c r="P105" s="18" t="n">
        <f aca="false">N105+P103</f>
        <v>920796.58</v>
      </c>
      <c r="R105" s="18" t="n">
        <f aca="false">P105+R103</f>
        <v>934733.36</v>
      </c>
      <c r="T105" s="18" t="n">
        <f aca="false">R105+T103</f>
        <v>948670.14</v>
      </c>
      <c r="V105" s="18" t="n">
        <f aca="false">T105+V103</f>
        <v>962606.92</v>
      </c>
      <c r="X105" s="18" t="n">
        <f aca="false">V105+X103</f>
        <v>1564941.6696</v>
      </c>
      <c r="Y105" s="2"/>
      <c r="Z105" s="18" t="n">
        <f aca="false">X105+Z103</f>
        <v>1578878.4496</v>
      </c>
      <c r="AA105" s="19" t="n">
        <v>0.375</v>
      </c>
      <c r="AB105" s="2" t="n">
        <f aca="false">Z105*AA105</f>
        <v>592079.4186</v>
      </c>
    </row>
    <row r="106" customFormat="false" ht="12.75" hidden="false" customHeight="false" outlineLevel="0" collapsed="false"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X106" s="2"/>
      <c r="Y106" s="2"/>
      <c r="Z106" s="2"/>
      <c r="AA106" s="20"/>
      <c r="AB106" s="2" t="n">
        <f aca="false">AB105-Z110</f>
        <v>151543.2886</v>
      </c>
    </row>
    <row r="107" customFormat="false" ht="12.75" hidden="false" customHeight="false" outlineLevel="0" collapsed="false"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X107" s="2"/>
      <c r="Y107" s="2"/>
      <c r="Z107" s="2"/>
      <c r="AA107" s="2"/>
      <c r="AB107" s="2"/>
    </row>
    <row r="108" customFormat="false" ht="12.75" hidden="false" customHeight="false" outlineLevel="0" collapsed="false">
      <c r="A108" s="0" t="s">
        <v>40</v>
      </c>
      <c r="D108" s="2" t="n">
        <f aca="false">(2106.06+2106.06)+D69</f>
        <v>180001.44</v>
      </c>
      <c r="F108" s="2" t="n">
        <f aca="false">(2106.06+2106.06)+F69</f>
        <v>4212.12</v>
      </c>
      <c r="H108" s="2" t="n">
        <f aca="false">1746.54+1746.55</f>
        <v>3493.09</v>
      </c>
      <c r="J108" s="2" t="n">
        <f aca="false">1746.54+1746.55</f>
        <v>3493.09</v>
      </c>
      <c r="L108" s="2" t="n">
        <f aca="false">1746.54+1746.55+J69</f>
        <v>3493.09</v>
      </c>
      <c r="N108" s="2" t="n">
        <f aca="false">1746.54+1746.55</f>
        <v>3493.09</v>
      </c>
      <c r="P108" s="2" t="n">
        <f aca="false">1746.54+1746.54+P69</f>
        <v>57725.61</v>
      </c>
      <c r="R108" s="2" t="n">
        <f aca="false">1746.54+1746.54</f>
        <v>3493.08</v>
      </c>
      <c r="T108" s="2" t="n">
        <f aca="false">1746.54+1746.54</f>
        <v>3493.08</v>
      </c>
      <c r="V108" s="2" t="n">
        <f aca="false">1746.54+1746.54</f>
        <v>3493.08</v>
      </c>
      <c r="X108" s="2" t="n">
        <f aca="false">2118.54+2118.54+X69+919.77</f>
        <v>169908.28</v>
      </c>
      <c r="Y108" s="2"/>
      <c r="Z108" s="2" t="n">
        <f aca="false">2118.54+2118.54</f>
        <v>4237.08</v>
      </c>
      <c r="AA108" s="2"/>
      <c r="AB108" s="2"/>
    </row>
    <row r="109" customFormat="false" ht="12.75" hidden="false" customHeight="false" outlineLevel="0" collapsed="false">
      <c r="F109" s="4"/>
      <c r="X109" s="2"/>
      <c r="Y109" s="2"/>
      <c r="Z109" s="2"/>
      <c r="AA109" s="2"/>
      <c r="AB109" s="2"/>
    </row>
    <row r="110" customFormat="false" ht="12.75" hidden="false" customHeight="false" outlineLevel="0" collapsed="false">
      <c r="A110" s="17" t="s">
        <v>58</v>
      </c>
      <c r="B110" s="17"/>
      <c r="C110" s="17"/>
      <c r="D110" s="17"/>
      <c r="E110" s="17"/>
      <c r="F110" s="21" t="n">
        <f aca="false">D108+F108</f>
        <v>184213.56</v>
      </c>
      <c r="G110" s="17"/>
      <c r="H110" s="21" t="n">
        <f aca="false">H108+F110</f>
        <v>187706.65</v>
      </c>
      <c r="J110" s="21" t="n">
        <f aca="false">J108+H110</f>
        <v>191199.74</v>
      </c>
      <c r="L110" s="21" t="n">
        <f aca="false">L108+J110</f>
        <v>194692.83</v>
      </c>
      <c r="N110" s="21" t="n">
        <f aca="false">N108+L110</f>
        <v>198185.92</v>
      </c>
      <c r="P110" s="21" t="n">
        <f aca="false">P108+N110</f>
        <v>255911.53</v>
      </c>
      <c r="R110" s="21" t="n">
        <f aca="false">R108+P110</f>
        <v>259404.61</v>
      </c>
      <c r="T110" s="21" t="n">
        <f aca="false">T108+R110</f>
        <v>262897.69</v>
      </c>
      <c r="V110" s="21" t="n">
        <f aca="false">V108+T110</f>
        <v>266390.77</v>
      </c>
      <c r="X110" s="21" t="n">
        <f aca="false">X108+V110</f>
        <v>436299.05</v>
      </c>
      <c r="Y110" s="2"/>
      <c r="Z110" s="21" t="n">
        <f aca="false">Z108+X110</f>
        <v>440536.13</v>
      </c>
      <c r="AA110" s="2"/>
      <c r="AB110" s="2"/>
    </row>
    <row r="111" customFormat="false" ht="12.75" hidden="false" customHeight="false" outlineLevel="0" collapsed="false">
      <c r="F111" s="4"/>
      <c r="Y111" s="2"/>
      <c r="Z111" s="2"/>
      <c r="AA111" s="2"/>
      <c r="AB111" s="2"/>
    </row>
    <row r="112" customFormat="false" ht="12.75" hidden="false" customHeight="false" outlineLevel="0" collapsed="false">
      <c r="A112" s="0" t="s">
        <v>41</v>
      </c>
      <c r="D112" s="2" t="n">
        <f aca="false">(107.62*2)+D71</f>
        <v>9318.62</v>
      </c>
      <c r="F112" s="2" t="n">
        <f aca="false">(107.62*2)+F71+7250</f>
        <v>7465.24</v>
      </c>
      <c r="H112" s="2" t="n">
        <f aca="false">89.23+89.23</f>
        <v>178.46</v>
      </c>
      <c r="J112" s="2" t="n">
        <f aca="false">89.23+89.23</f>
        <v>178.46</v>
      </c>
      <c r="L112" s="2" t="n">
        <f aca="false">89.23+89.23+J71</f>
        <v>178.46</v>
      </c>
      <c r="N112" s="2" t="n">
        <f aca="false">89.23+89.23</f>
        <v>178.46</v>
      </c>
      <c r="P112" s="2" t="n">
        <f aca="false">89.23+89.23+P71</f>
        <v>2986.93</v>
      </c>
      <c r="R112" s="2" t="n">
        <f aca="false">89.23+89.23</f>
        <v>178.46</v>
      </c>
      <c r="T112" s="2" t="n">
        <f aca="false">89.23+89.23</f>
        <v>178.46</v>
      </c>
      <c r="V112" s="2" t="n">
        <f aca="false">89.24+89.23</f>
        <v>178.47</v>
      </c>
      <c r="X112" s="2" t="n">
        <f aca="false">107.36+107.36+X71+72.5</f>
        <v>8818.99</v>
      </c>
      <c r="Y112" s="2"/>
      <c r="Z112" s="2" t="n">
        <f aca="false">107.36+107.36</f>
        <v>214.72</v>
      </c>
      <c r="AA112" s="2"/>
      <c r="AB112" s="2"/>
    </row>
    <row r="113" customFormat="false" ht="12.75" hidden="false" customHeight="false" outlineLevel="0" collapsed="false">
      <c r="Y113" s="2"/>
      <c r="Z113" s="2"/>
      <c r="AA113" s="2"/>
      <c r="AB113" s="2"/>
    </row>
    <row r="114" customFormat="false" ht="12.75" hidden="false" customHeight="false" outlineLevel="0" collapsed="false">
      <c r="A114" s="17" t="s">
        <v>59</v>
      </c>
      <c r="B114" s="17"/>
      <c r="C114" s="17"/>
      <c r="D114" s="17"/>
      <c r="E114" s="17"/>
      <c r="F114" s="21" t="n">
        <f aca="false">F112+D112</f>
        <v>16783.86</v>
      </c>
      <c r="G114" s="17"/>
      <c r="H114" s="21" t="n">
        <f aca="false">H112+F114</f>
        <v>16962.32</v>
      </c>
      <c r="J114" s="21" t="n">
        <f aca="false">J112+H114</f>
        <v>17140.78</v>
      </c>
      <c r="L114" s="21" t="n">
        <f aca="false">L112+J114</f>
        <v>17319.24</v>
      </c>
      <c r="N114" s="21" t="n">
        <f aca="false">N112+L114</f>
        <v>17497.7</v>
      </c>
      <c r="P114" s="21" t="n">
        <f aca="false">P112+N114</f>
        <v>20484.63</v>
      </c>
      <c r="R114" s="21" t="n">
        <f aca="false">R112+P114</f>
        <v>20663.09</v>
      </c>
      <c r="T114" s="21" t="n">
        <f aca="false">T112+R114</f>
        <v>20841.55</v>
      </c>
      <c r="V114" s="21" t="n">
        <f aca="false">V112+T114</f>
        <v>21020.02</v>
      </c>
      <c r="X114" s="21" t="n">
        <f aca="false">X112+V114</f>
        <v>29839.01</v>
      </c>
      <c r="Y114" s="2"/>
      <c r="Z114" s="21" t="n">
        <f aca="false">Z112+X114</f>
        <v>30053.73</v>
      </c>
      <c r="AA114" s="2"/>
      <c r="AB114" s="2"/>
    </row>
    <row r="115" customFormat="false" ht="12.75" hidden="false" customHeight="false" outlineLevel="0" collapsed="false">
      <c r="Y115" s="2"/>
      <c r="Z115" s="2"/>
      <c r="AA115" s="2"/>
      <c r="AB115" s="2"/>
    </row>
    <row r="116" customFormat="false" ht="12.75" hidden="false" customHeight="false" outlineLevel="0" collapsed="false">
      <c r="A116" s="0" t="s">
        <v>60</v>
      </c>
      <c r="D116" s="2" t="n">
        <f aca="false">(D73)</f>
        <v>4984.8</v>
      </c>
      <c r="F116" s="2" t="n">
        <v>0</v>
      </c>
      <c r="H116" s="0" t="n">
        <v>0</v>
      </c>
      <c r="J116" s="0" t="n">
        <v>0</v>
      </c>
      <c r="L116" s="0" t="n">
        <v>0</v>
      </c>
      <c r="N116" s="0" t="n">
        <v>0</v>
      </c>
      <c r="P116" s="0" t="n">
        <v>0</v>
      </c>
      <c r="R116" s="0" t="n">
        <v>0</v>
      </c>
      <c r="T116" s="0" t="n">
        <v>0</v>
      </c>
      <c r="V116" s="0" t="n">
        <v>0</v>
      </c>
      <c r="X116" s="0" t="n">
        <v>0</v>
      </c>
      <c r="Y116" s="2"/>
      <c r="Z116" s="0" t="n">
        <v>0</v>
      </c>
      <c r="AA116" s="2"/>
      <c r="AB116" s="2"/>
    </row>
    <row r="117" customFormat="false" ht="12.75" hidden="false" customHeight="false" outlineLevel="0" collapsed="false">
      <c r="Y117" s="2"/>
      <c r="AA117" s="2"/>
      <c r="AB117" s="2"/>
    </row>
    <row r="118" customFormat="false" ht="12.75" hidden="false" customHeight="false" outlineLevel="0" collapsed="false">
      <c r="A118" s="17" t="s">
        <v>61</v>
      </c>
      <c r="B118" s="17"/>
      <c r="C118" s="17"/>
      <c r="D118" s="17"/>
      <c r="E118" s="17"/>
      <c r="F118" s="21" t="n">
        <f aca="false">F116+D116</f>
        <v>4984.8</v>
      </c>
      <c r="G118" s="17"/>
      <c r="H118" s="21" t="n">
        <f aca="false">F118+H116</f>
        <v>4984.8</v>
      </c>
      <c r="J118" s="21" t="n">
        <f aca="false">H118+J116</f>
        <v>4984.8</v>
      </c>
      <c r="L118" s="21" t="n">
        <f aca="false">J118+L116</f>
        <v>4984.8</v>
      </c>
      <c r="N118" s="21" t="n">
        <f aca="false">L118+N116</f>
        <v>4984.8</v>
      </c>
      <c r="P118" s="21" t="n">
        <f aca="false">N118+P116</f>
        <v>4984.8</v>
      </c>
      <c r="R118" s="21" t="n">
        <f aca="false">P118+R116</f>
        <v>4984.8</v>
      </c>
      <c r="T118" s="21" t="n">
        <f aca="false">R118+T116</f>
        <v>4984.8</v>
      </c>
      <c r="V118" s="21" t="n">
        <f aca="false">T118+V116</f>
        <v>4984.8</v>
      </c>
      <c r="X118" s="21" t="n">
        <f aca="false">V118+X116</f>
        <v>4984.8</v>
      </c>
      <c r="Y118" s="2"/>
      <c r="Z118" s="21" t="n">
        <f aca="false">X118+Z116</f>
        <v>4984.8</v>
      </c>
      <c r="AA118" s="2"/>
      <c r="AB118" s="2"/>
    </row>
    <row r="120" customFormat="false" ht="12.75" hidden="false" customHeight="false" outlineLevel="0" collapsed="false">
      <c r="A120" s="0" t="s">
        <v>62</v>
      </c>
      <c r="D120" s="4" t="n">
        <f aca="false">D108+D112+D116</f>
        <v>194304.86</v>
      </c>
    </row>
    <row r="122" customFormat="false" ht="12.75" hidden="false" customHeight="false" outlineLevel="0" collapsed="false">
      <c r="A122" s="17" t="s">
        <v>63</v>
      </c>
      <c r="B122" s="17"/>
      <c r="C122" s="17"/>
      <c r="D122" s="4" t="n">
        <f aca="false">(D65-(D67+D75))+D83+D91</f>
        <v>641622.02</v>
      </c>
      <c r="X122" s="4"/>
      <c r="Z122" s="4"/>
    </row>
    <row r="123" customFormat="false" ht="12.75" hidden="false" customHeight="false" outlineLevel="0" collapsed="false">
      <c r="A123" s="17"/>
      <c r="B123" s="17"/>
      <c r="C123" s="17"/>
      <c r="X123" s="2"/>
      <c r="Z123" s="2"/>
    </row>
    <row r="124" customFormat="false" ht="13.5" hidden="false" customHeight="true" outlineLevel="0" collapsed="false">
      <c r="A124" s="17" t="s">
        <v>64</v>
      </c>
      <c r="B124" s="17"/>
      <c r="C124" s="17"/>
      <c r="X124" s="4"/>
      <c r="Z124" s="4"/>
    </row>
    <row r="125" customFormat="false" ht="12.75" hidden="false" customHeight="true" outlineLevel="0" collapsed="false">
      <c r="A125" s="17"/>
      <c r="B125" s="17"/>
      <c r="C125" s="17"/>
      <c r="X125" s="22"/>
      <c r="Z125" s="22"/>
    </row>
    <row r="126" customFormat="false" ht="12.75" hidden="false" customHeight="false" outlineLevel="0" collapsed="false">
      <c r="A126" s="17" t="s">
        <v>65</v>
      </c>
      <c r="B126" s="17"/>
      <c r="C126" s="17"/>
    </row>
    <row r="127" customFormat="false" ht="12.75" hidden="false" customHeight="false" outlineLevel="0" collapsed="false">
      <c r="X127" s="21"/>
      <c r="Y127" s="2"/>
      <c r="Z127" s="21"/>
    </row>
    <row r="128" customFormat="false" ht="12.75" hidden="false" customHeight="false" outlineLevel="0" collapsed="false">
      <c r="X128" s="2"/>
      <c r="Z128" s="2"/>
    </row>
    <row r="129" customFormat="false" ht="17.25" hidden="false" customHeight="false" outlineLevel="0" collapsed="false">
      <c r="X129" s="22"/>
      <c r="Z129" s="22"/>
      <c r="AD129" s="4"/>
    </row>
    <row r="131" customFormat="false" ht="12.75" hidden="false" customHeight="false" outlineLevel="0" collapsed="false">
      <c r="X131" s="21"/>
      <c r="Z131" s="21"/>
    </row>
    <row r="132" customFormat="false" ht="12.75" hidden="false" customHeight="false" outlineLevel="0" collapsed="false">
      <c r="X132" s="2"/>
      <c r="Z132" s="2"/>
    </row>
    <row r="133" customFormat="false" ht="17.25" hidden="false" customHeight="false" outlineLevel="0" collapsed="false">
      <c r="J133" s="0" t="s">
        <v>66</v>
      </c>
      <c r="X133" s="22"/>
      <c r="Z133" s="22"/>
    </row>
    <row r="135" customFormat="false" ht="12.75" hidden="false" customHeight="false" outlineLevel="0" collapsed="false">
      <c r="D135" s="1" t="n">
        <v>36892</v>
      </c>
      <c r="F135" s="1" t="n">
        <v>36923</v>
      </c>
      <c r="H135" s="1" t="n">
        <v>36951</v>
      </c>
      <c r="J135" s="1" t="n">
        <v>36982</v>
      </c>
      <c r="L135" s="1" t="n">
        <v>37012</v>
      </c>
      <c r="N135" s="1" t="n">
        <v>37043</v>
      </c>
      <c r="P135" s="1" t="n">
        <v>37073</v>
      </c>
      <c r="R135" s="1" t="n">
        <v>37104</v>
      </c>
      <c r="T135" s="1" t="n">
        <v>37135</v>
      </c>
      <c r="V135" s="1" t="n">
        <v>37165</v>
      </c>
      <c r="X135" s="1" t="n">
        <v>37196</v>
      </c>
      <c r="Z135" s="1" t="n">
        <v>37226</v>
      </c>
    </row>
    <row r="136" customFormat="false" ht="12.75" hidden="false" customHeight="false" outlineLevel="0" collapsed="false">
      <c r="A136" s="0" t="s">
        <v>67</v>
      </c>
      <c r="D136" s="2" t="n">
        <f aca="false">635567.91+7748.91</f>
        <v>643316.82</v>
      </c>
      <c r="E136" s="2"/>
      <c r="F136" s="2"/>
      <c r="G136" s="2"/>
      <c r="H136" s="2"/>
      <c r="I136" s="2"/>
      <c r="J136" s="2"/>
      <c r="K136" s="2"/>
      <c r="L136" s="2"/>
      <c r="M136" s="2"/>
      <c r="N136" s="2"/>
    </row>
    <row r="137" customFormat="false" ht="12.75" hidden="false" customHeight="false" outlineLevel="0" collapsed="false">
      <c r="A137" s="0" t="s">
        <v>55</v>
      </c>
      <c r="D137" s="2" t="n">
        <f aca="false">751.94+751.94</f>
        <v>1503.88</v>
      </c>
      <c r="E137" s="2"/>
      <c r="F137" s="2"/>
      <c r="G137" s="2"/>
      <c r="H137" s="2"/>
      <c r="I137" s="2"/>
      <c r="J137" s="2"/>
      <c r="K137" s="2"/>
      <c r="L137" s="2"/>
      <c r="M137" s="2"/>
      <c r="N137" s="2"/>
    </row>
    <row r="138" customFormat="false" ht="12.75" hidden="false" customHeight="false" outlineLevel="0" collapsed="false">
      <c r="A138" s="0" t="s">
        <v>68</v>
      </c>
      <c r="D138" s="2" t="n">
        <f aca="false">192091.17+2213.68</f>
        <v>194304.85</v>
      </c>
      <c r="E138" s="2"/>
      <c r="F138" s="2"/>
      <c r="G138" s="2"/>
      <c r="H138" s="2"/>
      <c r="I138" s="2"/>
      <c r="J138" s="2"/>
      <c r="K138" s="2"/>
      <c r="L138" s="2"/>
      <c r="M138" s="2"/>
      <c r="N138" s="2"/>
    </row>
    <row r="139" customFormat="false" ht="12.75" hidden="false" customHeight="false" outlineLevel="0" collapsed="false">
      <c r="A139" s="0" t="s">
        <v>69</v>
      </c>
      <c r="D139" s="2" t="n">
        <f aca="false">774.17+774.17</f>
        <v>1548.34</v>
      </c>
      <c r="E139" s="2"/>
      <c r="F139" s="2"/>
      <c r="G139" s="2"/>
      <c r="H139" s="2"/>
      <c r="I139" s="2"/>
      <c r="J139" s="2"/>
      <c r="K139" s="2"/>
      <c r="L139" s="2"/>
      <c r="M139" s="2"/>
      <c r="N139" s="2"/>
    </row>
    <row r="140" customFormat="false" ht="12.75" hidden="false" customHeight="false" outlineLevel="0" collapsed="false">
      <c r="A140" s="0" t="s">
        <v>70</v>
      </c>
      <c r="D140" s="2" t="n">
        <f aca="false">3980.55+3980.54</f>
        <v>7961.09</v>
      </c>
      <c r="E140" s="2"/>
      <c r="F140" s="2"/>
      <c r="G140" s="2"/>
      <c r="H140" s="2"/>
      <c r="I140" s="2"/>
      <c r="J140" s="2"/>
      <c r="K140" s="2"/>
      <c r="L140" s="2"/>
      <c r="M140" s="2"/>
      <c r="N140" s="2"/>
    </row>
    <row r="141" customFormat="false" ht="12.75" hidden="false" customHeight="false" outlineLevel="0" collapsed="false">
      <c r="A141" s="0" t="s">
        <v>71</v>
      </c>
      <c r="D141" s="2" t="n">
        <f aca="false">D136-D137</f>
        <v>641812.94</v>
      </c>
      <c r="E141" s="2"/>
      <c r="F141" s="2"/>
      <c r="G141" s="2"/>
      <c r="H141" s="2"/>
      <c r="I141" s="2"/>
      <c r="J141" s="2"/>
      <c r="K141" s="2"/>
      <c r="L141" s="2"/>
      <c r="M141" s="2"/>
      <c r="N141" s="2"/>
    </row>
    <row r="143" customFormat="false" ht="12.75" hidden="false" customHeight="false" outlineLevel="0" collapsed="false">
      <c r="J143" s="0" t="s">
        <v>72</v>
      </c>
    </row>
    <row r="145" customFormat="false" ht="12.75" hidden="false" customHeight="false" outlineLevel="0" collapsed="false">
      <c r="D145" s="1" t="n">
        <v>36892</v>
      </c>
      <c r="F145" s="1" t="n">
        <v>36923</v>
      </c>
      <c r="H145" s="1" t="n">
        <v>36951</v>
      </c>
      <c r="J145" s="1" t="n">
        <v>36982</v>
      </c>
      <c r="L145" s="1" t="n">
        <v>37012</v>
      </c>
      <c r="N145" s="1" t="n">
        <v>37043</v>
      </c>
      <c r="P145" s="1" t="n">
        <v>37073</v>
      </c>
      <c r="R145" s="1" t="n">
        <v>37104</v>
      </c>
      <c r="T145" s="1" t="n">
        <v>37135</v>
      </c>
      <c r="V145" s="1" t="n">
        <v>37165</v>
      </c>
      <c r="X145" s="1" t="n">
        <v>37196</v>
      </c>
      <c r="Z145" s="1" t="n">
        <v>37226</v>
      </c>
    </row>
    <row r="146" customFormat="false" ht="12.75" hidden="false" customHeight="false" outlineLevel="0" collapsed="false">
      <c r="A146" s="0" t="s">
        <v>67</v>
      </c>
    </row>
    <row r="147" customFormat="false" ht="12.75" hidden="false" customHeight="false" outlineLevel="0" collapsed="false">
      <c r="A147" s="0" t="s">
        <v>55</v>
      </c>
    </row>
    <row r="148" customFormat="false" ht="12.75" hidden="false" customHeight="false" outlineLevel="0" collapsed="false">
      <c r="A148" s="0" t="s">
        <v>68</v>
      </c>
    </row>
    <row r="149" customFormat="false" ht="12.75" hidden="false" customHeight="false" outlineLevel="0" collapsed="false">
      <c r="A149" s="0" t="s">
        <v>69</v>
      </c>
    </row>
    <row r="150" customFormat="false" ht="12.75" hidden="false" customHeight="false" outlineLevel="0" collapsed="false">
      <c r="A150" s="0" t="s">
        <v>70</v>
      </c>
    </row>
    <row r="151" customFormat="false" ht="12.75" hidden="false" customHeight="false" outlineLevel="0" collapsed="false">
      <c r="A151" s="0" t="s">
        <v>71</v>
      </c>
    </row>
  </sheetData>
  <printOptions headings="false" gridLines="false" gridLinesSet="true" horizontalCentered="false" verticalCentered="false"/>
  <pageMargins left="0" right="0" top="0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2001-04-13T18:23:21Z</dcterms:created>
  <dc:creator>Lyne Martin</dc:creator>
  <dc:description/>
  <dc:language>en-US</dc:language>
  <cp:lastModifiedBy>Lyne Martin</cp:lastModifiedBy>
  <cp:lastPrinted>2002-01-13T23:39:14Z</cp:lastPrinted>
  <dcterms:modified xsi:type="dcterms:W3CDTF">2002-01-21T23:47:59Z</dcterms:modified>
  <cp:revision>0</cp:revision>
  <dc:subject/>
  <dc:title/>
</cp:coreProperties>
</file>