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vmlDrawing11.vml" ContentType="application/vnd.openxmlformats-officedocument.vmlDrawing"/>
  <Override PartName="/xl/ctrlProps/ctrlProps2.xml" ContentType="application/vnd.ms-excel.controlproperties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13.xml" ContentType="application/vnd.openxmlformats-officedocument.spreadsheetml.comments+xml"/>
  <Override PartName="/xl/comments9.xml" ContentType="application/vnd.openxmlformats-officedocument.spreadsheetml.comment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ds" sheetId="1" state="visible" r:id="rId3"/>
    <sheet name="Sheet1" sheetId="2" state="visible" r:id="rId4"/>
    <sheet name="Summary" sheetId="3" state="visible" r:id="rId5"/>
    <sheet name="SummerSum" sheetId="4" state="visible" r:id="rId6"/>
    <sheet name="WinterSum" sheetId="5" state="visible" r:id="rId7"/>
    <sheet name="WEI Fuel Tax" sheetId="6" state="visible" r:id="rId8"/>
    <sheet name="Westcoast" sheetId="7" state="visible" r:id="rId9"/>
    <sheet name="NWP$" sheetId="8" state="visible" r:id="rId10"/>
    <sheet name="Nova&amp;ANG&amp;GLGT$" sheetId="9" state="visible" r:id="rId11"/>
    <sheet name="PGT$" sheetId="10" state="visible" r:id="rId12"/>
    <sheet name="TCPL$" sheetId="11" state="visible" r:id="rId13"/>
    <sheet name="Cost Components" sheetId="12" state="visible" r:id="rId14"/>
    <sheet name="Fuel Ratio" sheetId="13" state="visible" r:id="rId15"/>
    <sheet name="Change Comp" sheetId="14" state="visible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Summary!$A$15:$J$50</definedName>
    <definedName function="false" hidden="false" localSheetId="3" name="_xlnm.Print_Area" vbProcedure="false">SummerSum!$A$1:$Q$52</definedName>
    <definedName function="false" hidden="false" localSheetId="4" name="_xlnm.Print_Area" vbProcedure="false">WinterSum!$A$1:$L$50</definedName>
    <definedName function="false" hidden="false" name="_x000c__x0015_?deliver" vbProcedure="false">'[2]#REF'!$BG$73</definedName>
    <definedName function="false" hidden="false" name="Cash" vbProcedure="false">[4]Deals!$G$6</definedName>
    <definedName function="false" hidden="false" name="curves" vbProcedure="false">#REF!</definedName>
    <definedName function="false" hidden="false" name="deliveries" vbProcedure="false">'[1]'!$A$1</definedName>
    <definedName function="false" hidden="false" name="FinishFlag" vbProcedure="false">#REF!</definedName>
    <definedName function="false" hidden="false" name="M1COLUMN" vbProcedure="false">#REF!</definedName>
    <definedName function="false" hidden="false" name="M1ROW" vbProcedure="false">#REF!</definedName>
    <definedName function="false" hidden="false" name="M1SHEET" vbProcedure="false">#REF!</definedName>
    <definedName function="false" hidden="false" name="names" vbProcedure="false">[5]pl_book!$J$10:$S$10</definedName>
    <definedName function="false" hidden="false" name="Opsheet" vbProcedure="false">'[3]'!CC$20047</definedName>
    <definedName function="false" hidden="false" name="PRCBASHIMONTH" vbProcedure="false">[6]AllQueries!$G$13014</definedName>
    <definedName function="false" hidden="false" name="Prompt1" vbProcedure="false">[4]Deals!$I$4</definedName>
    <definedName function="false" hidden="false" name="Prompt2" vbProcedure="false">[4]Deals!$I$5</definedName>
    <definedName function="false" hidden="false" name="Prompt3" vbProcedure="false">[4]Deals!$I$6</definedName>
    <definedName function="false" hidden="false" name="Prompt4" vbProcedure="false">[4]Deals!$I$7</definedName>
    <definedName function="false" hidden="false" name="Prompt5" vbProcedure="false">[4]Deals!$I$8</definedName>
    <definedName function="false" hidden="false" name="Prompt6" vbProcedure="false">[4]Deals!$I$9</definedName>
    <definedName function="false" hidden="false" name="Prompt7" vbProcedure="false">[4]Deals!$I$10</definedName>
    <definedName function="false" hidden="false" name="Prompt8" vbProcedure="false">[4]Deals!$I$11</definedName>
    <definedName function="false" hidden="false" name="StartMonth" vbProcedure="false">#REF!</definedName>
    <definedName function="false" hidden="false" name="StradArray" vbProcedure="false">#REF!</definedName>
    <definedName function="false" hidden="false" name="StradOpArray" vbProcedure="false">#REF!</definedName>
    <definedName function="false" hidden="false" name="StradOpColumn" vbProcedure="false">#REF!</definedName>
    <definedName function="false" hidden="false" name="StradOpRow" vbProcedure="false">#REF!</definedName>
    <definedName function="false" hidden="false" name="StradSwpArray" vbProcedure="false">#REF!</definedName>
    <definedName function="false" hidden="false" name="StradSwpColumn" vbProcedure="false">#REF!</definedName>
    <definedName function="false" hidden="false" name="StradSwpRow" vbProcedure="false">#REF!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jpearso3:
</t>
        </r>
        <r>
          <rPr>
            <sz val="8"/>
            <color rgb="FF000000"/>
            <rFont val="Tahoma"/>
            <family val="0"/>
          </rPr>
          <t xml:space="preserve">http://www.pge-nw.com/info_post/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4</xdr:col>
                <xdr:colOff>16</xdr:colOff>
                <xdr:row>7</xdr:row>
                <xdr:rowOff>13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Eastern Zone found on TC service toll sheet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22</xdr:row>
                <xdr:rowOff>7</xdr:rowOff>
              </xdr:from>
              <xdr:to>
                <xdr:col>3</xdr:col>
                <xdr:colOff>1</xdr:colOff>
                <xdr:row>26</xdr:row>
                <xdr:rowOff>14</xdr:rowOff>
              </xdr:to>
            </anchor>
          </commentPr>
        </mc:Choice>
        <mc:Fallback/>
      </mc:AlternateContent>
    </commen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jpearso3:
</t>
        </r>
        <r>
          <rPr>
            <sz val="8"/>
            <color rgb="FF000000"/>
            <rFont val="Tahoma"/>
            <family val="0"/>
          </rPr>
          <t xml:space="preserve">http://www.transcanada.com/business/PDFTariff/index.html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6</xdr:row>
                <xdr:rowOff>7</xdr:rowOff>
              </xdr:from>
              <xdr:to>
                <xdr:col>4</xdr:col>
                <xdr:colOff>0</xdr:colOff>
                <xdr:row>10</xdr:row>
                <xdr:rowOff>14</xdr:rowOff>
              </xdr:to>
            </anchor>
          </commentPr>
        </mc:Choice>
        <mc:Fallback/>
      </mc:AlternateContent>
    </comment>
    <comment ref="B19" authorId="0">
      <text>
        <r>
          <rPr>
            <b val="true"/>
            <sz val="8"/>
            <color rgb="FF000000"/>
            <rFont val="Tahoma"/>
            <family val="0"/>
          </rPr>
          <t xml:space="preserve">rwatt:
</t>
        </r>
        <r>
          <rPr>
            <sz val="8"/>
            <color rgb="FF000000"/>
            <rFont val="Tahoma"/>
            <family val="0"/>
          </rPr>
          <t xml:space="preserve">IT Bid Floor on TC Service Tolls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16</xdr:row>
                <xdr:rowOff>16</xdr:rowOff>
              </xdr:from>
              <xdr:to>
                <xdr:col>4</xdr:col>
                <xdr:colOff>0</xdr:colOff>
                <xdr:row>21</xdr:row>
                <xdr:rowOff>6</xdr:rowOff>
              </xdr:to>
            </anchor>
          </commentPr>
        </mc:Choice>
        <mc:Fallback/>
      </mc:AlternateContent>
    </comment>
    <comment ref="B27" authorId="0">
      <text>
        <r>
          <rPr>
            <b val="true"/>
            <sz val="8"/>
            <color rgb="FF000000"/>
            <rFont val="Tahoma"/>
            <family val="0"/>
          </rPr>
          <t xml:space="preserve">rwatt:
</t>
        </r>
        <r>
          <rPr>
            <sz val="8"/>
            <color rgb="FF000000"/>
            <rFont val="Tahoma"/>
            <family val="0"/>
          </rPr>
          <t xml:space="preserve">On the Delivery pressure page.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24</xdr:row>
                <xdr:rowOff>16</xdr:rowOff>
              </xdr:from>
              <xdr:to>
                <xdr:col>4</xdr:col>
                <xdr:colOff>0</xdr:colOff>
                <xdr:row>29</xdr:row>
                <xdr:rowOff>6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A CAD/GJ figure converted into US/MMBTU's number;</t>
        </r>
        <r>
          <rPr>
            <sz val="8"/>
            <color rgb="FFFF0000"/>
            <rFont val="Tahoma"/>
            <family val="2"/>
          </rPr>
          <t xml:space="preserve">Need to find where the number comes from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22</xdr:row>
                <xdr:rowOff>7</xdr:rowOff>
              </xdr:from>
              <xdr:to>
                <xdr:col>4</xdr:col>
                <xdr:colOff>16</xdr:colOff>
                <xdr:row>29</xdr:row>
                <xdr:rowOff>4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T-South Exports from WEI- Company Info- Fuel Ratios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</xdr:row>
                <xdr:rowOff>7</xdr:rowOff>
              </xdr:from>
              <xdr:to>
                <xdr:col>3</xdr:col>
                <xdr:colOff>16</xdr:colOff>
                <xdr:row>13</xdr:row>
                <xdr:rowOff>13</xdr:rowOff>
              </xdr:to>
            </anchor>
          </commentPr>
        </mc:Choice>
        <mc:Fallback/>
      </mc:AlternateContent>
    </comment>
    <comment ref="A12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Gordondale from WEI Company Info Fuel Ratios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10</xdr:row>
                <xdr:rowOff>7</xdr:rowOff>
              </xdr:from>
              <xdr:to>
                <xdr:col>3</xdr:col>
                <xdr:colOff>16</xdr:colOff>
                <xdr:row>14</xdr:row>
                <xdr:rowOff>13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From Williams Line- Northwest- Tariff- Fuel Use Requirement Factors TF-1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11</xdr:row>
                <xdr:rowOff>7</xdr:rowOff>
              </xdr:from>
              <xdr:to>
                <xdr:col>3</xdr:col>
                <xdr:colOff>16</xdr:colOff>
                <xdr:row>15</xdr:row>
                <xdr:rowOff>13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TCPL Alberta- Alberta System Usage -Use a guesstimate until known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12</xdr:row>
                <xdr:rowOff>7</xdr:rowOff>
              </xdr:from>
              <xdr:to>
                <xdr:col>3</xdr:col>
                <xdr:colOff>16</xdr:colOff>
                <xdr:row>16</xdr:row>
                <xdr:rowOff>13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From TCPL BC System Operations Archives Historical Fuel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13</xdr:row>
                <xdr:rowOff>7</xdr:rowOff>
              </xdr:from>
              <xdr:to>
                <xdr:col>3</xdr:col>
                <xdr:colOff>16</xdr:colOff>
                <xdr:row>17</xdr:row>
                <xdr:rowOff>13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From PGT -Pipeline Operations- Fuel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14</xdr:row>
                <xdr:rowOff>7</xdr:rowOff>
              </xdr:from>
              <xdr:to>
                <xdr:col>3</xdr:col>
                <xdr:colOff>16</xdr:colOff>
                <xdr:row>18</xdr:row>
                <xdr:rowOff>13</xdr:rowOff>
              </xdr:to>
            </anchor>
          </commentPr>
        </mc:Choice>
        <mc:Fallback/>
      </mc:AlternateContent>
    </comment>
    <comment ref="A19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From Foothills Pipe-Transportation and Operations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17</xdr:row>
                <xdr:rowOff>7</xdr:rowOff>
              </xdr:from>
              <xdr:to>
                <xdr:col>3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  <comment ref="A29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From NBP- Informational Postings -Pipeline Information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27</xdr:row>
                <xdr:rowOff>7</xdr:rowOff>
              </xdr:from>
              <xdr:to>
                <xdr:col>3</xdr:col>
                <xdr:colOff>16</xdr:colOff>
                <xdr:row>31</xdr:row>
                <xdr:rowOff>13</xdr:rowOff>
              </xdr:to>
            </anchor>
          </commentPr>
        </mc:Choice>
        <mc:Fallback/>
      </mc:AlternateContent>
    </comment>
    <comment ref="A33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From GLGT-Site Map- Rates-Transporter Use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31</xdr:row>
                <xdr:rowOff>7</xdr:rowOff>
              </xdr:from>
              <xdr:to>
                <xdr:col>3</xdr:col>
                <xdr:colOff>16</xdr:colOff>
                <xdr:row>35</xdr:row>
                <xdr:rowOff>13</xdr:rowOff>
              </xdr:to>
            </anchor>
          </commentPr>
        </mc:Choice>
        <mc:Fallback/>
      </mc:AlternateContent>
    </commen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From Alliance-Operational Reports-Capacity Fuel Projections-All Can Avg+All USA Avg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7</xdr:rowOff>
              </xdr:from>
              <xdr:to>
                <xdr:col>3</xdr:col>
                <xdr:colOff>16</xdr:colOff>
                <xdr:row>38</xdr:row>
                <xdr:rowOff>13</xdr:rowOff>
              </xdr:to>
            </anchor>
          </commentPr>
        </mc:Choice>
        <mc:Fallback/>
      </mc:AlternateContent>
    </comment>
    <comment ref="A37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From TCPL BC System -Operations Archives -Historical Deemed Heating Values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35</xdr:row>
                <xdr:rowOff>7</xdr:rowOff>
              </xdr:from>
              <xdr:to>
                <xdr:col>3</xdr:col>
                <xdr:colOff>16</xdr:colOff>
                <xdr:row>39</xdr:row>
                <xdr:rowOff>13</xdr:rowOff>
              </xdr:to>
            </anchor>
          </commentPr>
        </mc:Choice>
        <mc:Fallback/>
      </mc:AlternateContent>
    </comment>
    <comment ref="A38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Operational Info-Heating Values-Scroll Down Prev Month and use NOVA/Gordondale (Hunt for T-South) to estimate this month.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36</xdr:row>
                <xdr:rowOff>7</xdr:rowOff>
              </xdr:from>
              <xdr:to>
                <xdr:col>3</xdr:col>
                <xdr:colOff>16</xdr:colOff>
                <xdr:row>43</xdr:row>
                <xdr:rowOff>7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from PGT Website : Non-critical Notice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22</xdr:colOff>
                <xdr:row>13</xdr:row>
                <xdr:rowOff>7</xdr:rowOff>
              </xdr:from>
              <xdr:to>
                <xdr:col>12</xdr:col>
                <xdr:colOff>21</xdr:colOff>
                <xdr:row>17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7" authorId="0">
      <text>
        <r>
          <rPr>
            <b val="true"/>
            <sz val="8"/>
            <color rgb="FF000000"/>
            <rFont val="Tahoma"/>
            <family val="0"/>
          </rPr>
          <t xml:space="preserve">rwatt:
</t>
        </r>
        <r>
          <rPr>
            <sz val="8"/>
            <color rgb="FF000000"/>
            <rFont val="Tahoma"/>
            <family val="0"/>
          </rPr>
          <t xml:space="preserve">Less the 1.25% the producer would have had to pay NOVA to get to AECO.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35</xdr:row>
                <xdr:rowOff>5</xdr:rowOff>
              </xdr:from>
              <xdr:to>
                <xdr:col>3</xdr:col>
                <xdr:colOff>63</xdr:colOff>
                <xdr:row>38</xdr:row>
                <xdr:rowOff>28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7" authorId="0">
      <text>
        <r>
          <rPr>
            <b val="true"/>
            <sz val="8"/>
            <color rgb="FF000000"/>
            <rFont val="Tahoma"/>
            <family val="0"/>
          </rPr>
          <t xml:space="preserve">rwatt:
</t>
        </r>
        <r>
          <rPr>
            <sz val="8"/>
            <color rgb="FF000000"/>
            <rFont val="Tahoma"/>
            <family val="0"/>
          </rPr>
          <t xml:space="preserve">Less the 1.25% the producer would have had to pay NOVA to get to AECO.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35</xdr:row>
                <xdr:rowOff>7</xdr:rowOff>
              </xdr:from>
              <xdr:to>
                <xdr:col>6</xdr:col>
                <xdr:colOff>45</xdr:colOff>
                <xdr:row>39</xdr:row>
                <xdr:rowOff>3</xdr:rowOff>
              </xdr:to>
            </anchor>
          </commentPr>
        </mc:Choice>
        <mc:Fallback/>
      </mc:AlternateContent>
    </comment>
    <comment ref="D38" authorId="0">
      <text>
        <r>
          <rPr>
            <b val="true"/>
            <sz val="8"/>
            <color rgb="FF000000"/>
            <rFont val="Tahoma"/>
            <family val="0"/>
          </rPr>
          <t xml:space="preserve">rwatt:
</t>
        </r>
        <r>
          <rPr>
            <sz val="8"/>
            <color rgb="FF000000"/>
            <rFont val="Tahoma"/>
            <family val="0"/>
          </rPr>
          <t xml:space="preserve">SUMMER EST.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36</xdr:row>
                <xdr:rowOff>7</xdr:rowOff>
              </xdr:from>
              <xdr:to>
                <xdr:col>6</xdr:col>
                <xdr:colOff>43</xdr:colOff>
                <xdr:row>40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7" authorId="0">
      <text>
        <r>
          <rPr>
            <b val="true"/>
            <sz val="8"/>
            <color rgb="FF000000"/>
            <rFont val="Tahoma"/>
            <family val="0"/>
          </rPr>
          <t xml:space="preserve">rwatt:
</t>
        </r>
        <r>
          <rPr>
            <sz val="8"/>
            <color rgb="FF000000"/>
            <rFont val="Tahoma"/>
            <family val="0"/>
          </rPr>
          <t xml:space="preserve">Less the 1.25% the producer would have had to pay NOVA to get to AECO.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35</xdr:row>
                <xdr:rowOff>7</xdr:rowOff>
              </xdr:from>
              <xdr:to>
                <xdr:col>6</xdr:col>
                <xdr:colOff>45</xdr:colOff>
                <xdr:row>39</xdr:row>
                <xdr:rowOff>3</xdr:rowOff>
              </xdr:to>
            </anchor>
          </commentPr>
        </mc:Choice>
        <mc:Fallback/>
      </mc:AlternateContent>
    </comment>
    <comment ref="D38" authorId="0">
      <text>
        <r>
          <rPr>
            <b val="true"/>
            <sz val="8"/>
            <color rgb="FF000000"/>
            <rFont val="Tahoma"/>
            <family val="0"/>
          </rPr>
          <t xml:space="preserve">Less t-north tolls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36</xdr:row>
                <xdr:rowOff>7</xdr:rowOff>
              </xdr:from>
              <xdr:to>
                <xdr:col>6</xdr:col>
                <xdr:colOff>43</xdr:colOff>
                <xdr:row>40</xdr:row>
                <xdr:rowOff>4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icooke:
</t>
        </r>
        <r>
          <rPr>
            <sz val="8"/>
            <color rgb="FF000000"/>
            <rFont val="Tahoma"/>
            <family val="0"/>
          </rPr>
          <t xml:space="preserve">https://noms.wei-pipeline.com/noms/cip002.buildframe1?parstartingnode=1193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2</xdr:rowOff>
              </xdr:from>
              <xdr:to>
                <xdr:col>3</xdr:col>
                <xdr:colOff>16</xdr:colOff>
                <xdr:row>4</xdr:row>
                <xdr:rowOff>8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b val="true"/>
            <sz val="8"/>
            <color rgb="FF000000"/>
            <rFont val="Tahoma"/>
            <family val="0"/>
          </rPr>
          <t xml:space="preserve">jpearso3:
</t>
        </r>
        <r>
          <rPr>
            <sz val="8"/>
            <color rgb="FF000000"/>
            <rFont val="Tahoma"/>
            <family val="0"/>
          </rPr>
          <t xml:space="preserve">From wei-pipeline.com/company info/operational info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</xdr:row>
                <xdr:rowOff>7</xdr:rowOff>
              </xdr:from>
              <xdr:to>
                <xdr:col>4</xdr:col>
                <xdr:colOff>1</xdr:colOff>
                <xdr:row>5</xdr:row>
                <xdr:rowOff>13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icooke:
WEI/Company Info/Oper. Info/ WEI Pipeline Tariff/Toll Schedules (choose
 area)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10</xdr:rowOff>
              </xdr:from>
              <xdr:to>
                <xdr:col>4</xdr:col>
                <xdr:colOff>1</xdr:colOff>
                <xdr:row>11</xdr:row>
                <xdr:rowOff>16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jpearso3:
</t>
        </r>
        <r>
          <rPr>
            <sz val="8"/>
            <color rgb="FF000000"/>
            <rFont val="Tahoma"/>
            <family val="0"/>
          </rPr>
          <t xml:space="preserve">http://www.1line.williams.com/webbi/ebb/Frame.jsp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4</xdr:col>
                <xdr:colOff>16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jpearso3:
</t>
        </r>
        <r>
          <rPr>
            <sz val="8"/>
            <color rgb="FF000000"/>
            <rFont val="Tahoma"/>
            <family val="0"/>
          </rPr>
          <t xml:space="preserve">http://www.transcanada.com/BC_System/ratesdandcharges.html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4</xdr:col>
                <xdr:colOff>0</xdr:colOff>
                <xdr:row>17</xdr:row>
                <xdr:rowOff>13</xdr:rowOff>
              </xdr:to>
            </anchor>
          </commentPr>
        </mc:Choice>
        <mc:Fallback/>
      </mc:AlternateContent>
    </comment>
    <comment ref="C22" authorId="0">
      <text>
        <r>
          <rPr>
            <b val="true"/>
            <sz val="8"/>
            <color rgb="FF000000"/>
            <rFont val="Tahoma"/>
            <family val="0"/>
          </rPr>
          <t xml:space="preserve">jpearso3:
</t>
        </r>
        <r>
          <rPr>
            <sz val="8"/>
            <color rgb="FF000000"/>
            <rFont val="Tahoma"/>
            <family val="0"/>
          </rPr>
          <t xml:space="preserve">http://www.glgt.com/7a_frame.htm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20</xdr:row>
                <xdr:rowOff>7</xdr:rowOff>
              </xdr:from>
              <xdr:to>
                <xdr:col>5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jpearso3:
</t>
        </r>
        <r>
          <rPr>
            <sz val="8"/>
            <color rgb="FF000000"/>
            <rFont val="Tahoma"/>
            <family val="0"/>
          </rPr>
          <t xml:space="preserve">http://www.nbp.enron.com/html/nbfmtarf.html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<sst xmlns="http://schemas.openxmlformats.org/spreadsheetml/2006/main" count="727" uniqueCount="369">
  <si>
    <t xml:space="preserve">  Copy Positions Tab!!!</t>
  </si>
  <si>
    <t xml:space="preserve">This page should automatically roll, watch if you add a curve to the Input Sheet</t>
  </si>
  <si>
    <t xml:space="preserve">Cash</t>
  </si>
  <si>
    <t xml:space="preserve">2001 6 27</t>
  </si>
  <si>
    <t xml:space="preserve">This is for saving the mids for each day, do not touch!</t>
  </si>
  <si>
    <t xml:space="preserve">GREEN ARE VLOOKUPS</t>
  </si>
  <si>
    <t xml:space="preserve">Winter 00</t>
  </si>
  <si>
    <t xml:space="preserve">Aeco Physical Spread</t>
  </si>
  <si>
    <t xml:space="preserve">DON'T CHANGE THE CURVE NAMES</t>
  </si>
  <si>
    <t xml:space="preserve">AprOct01</t>
  </si>
  <si>
    <t xml:space="preserve">Prompt  Index</t>
  </si>
  <si>
    <t xml:space="preserve">CHANGE TO PROMPT WHEN MONTH ROLLS</t>
  </si>
  <si>
    <t xml:space="preserve">CHANGE</t>
  </si>
  <si>
    <t xml:space="preserve">Strip Avg</t>
  </si>
  <si>
    <t xml:space="preserve">Phys Vol Spread</t>
  </si>
  <si>
    <t xml:space="preserve">DATE!</t>
  </si>
  <si>
    <t xml:space="preserve">BASIS CURVES</t>
  </si>
  <si>
    <t xml:space="preserve">Winter Sumas</t>
  </si>
  <si>
    <t xml:space="preserve">Winter01</t>
  </si>
  <si>
    <t xml:space="preserve">Winter Average</t>
  </si>
  <si>
    <t xml:space="preserve">PRICE</t>
  </si>
  <si>
    <t xml:space="preserve">Apr Oct</t>
  </si>
  <si>
    <t xml:space="preserve">Apr2 +</t>
  </si>
  <si>
    <t xml:space="preserve">Summer Average</t>
  </si>
  <si>
    <t xml:space="preserve">You hole</t>
  </si>
  <si>
    <t xml:space="preserve">Aeco</t>
  </si>
  <si>
    <t xml:space="preserve">Date</t>
  </si>
  <si>
    <t xml:space="preserve">Nymex</t>
  </si>
  <si>
    <t xml:space="preserve">AecoB</t>
  </si>
  <si>
    <t xml:space="preserve">EmpressB</t>
  </si>
  <si>
    <t xml:space="preserve">Station2B</t>
  </si>
  <si>
    <t xml:space="preserve">DawnB</t>
  </si>
  <si>
    <t xml:space="preserve">ParkwayB</t>
  </si>
  <si>
    <t xml:space="preserve">NiagaraB</t>
  </si>
  <si>
    <t xml:space="preserve">WaddB</t>
  </si>
  <si>
    <t xml:space="preserve">  ChicagoB</t>
  </si>
  <si>
    <t xml:space="preserve">MichiganB</t>
  </si>
  <si>
    <t xml:space="preserve">   TZ6B</t>
  </si>
  <si>
    <t xml:space="preserve">  RockiesB</t>
  </si>
  <si>
    <t xml:space="preserve">SocalB</t>
  </si>
  <si>
    <t xml:space="preserve">  MalinB</t>
  </si>
  <si>
    <t xml:space="preserve">  SumasB</t>
  </si>
  <si>
    <t xml:space="preserve">Aeco Vol</t>
  </si>
  <si>
    <t xml:space="preserve">Aeco Phys Vol</t>
  </si>
  <si>
    <t xml:space="preserve">SumasVol</t>
  </si>
  <si>
    <t xml:space="preserve">Omnicron 1</t>
  </si>
  <si>
    <t xml:space="preserve">Nymex Vol</t>
  </si>
  <si>
    <t xml:space="preserve">AecoUS</t>
  </si>
  <si>
    <t xml:space="preserve">EmpressUS</t>
  </si>
  <si>
    <t xml:space="preserve">Stn2 US</t>
  </si>
  <si>
    <t xml:space="preserve">ETransport</t>
  </si>
  <si>
    <t xml:space="preserve">STNTransport</t>
  </si>
  <si>
    <t xml:space="preserve">Aeco </t>
  </si>
  <si>
    <t xml:space="preserve">Empress</t>
  </si>
  <si>
    <t xml:space="preserve">Station2</t>
  </si>
  <si>
    <t xml:space="preserve">  Sumas</t>
  </si>
  <si>
    <t xml:space="preserve">  Rockies</t>
  </si>
  <si>
    <t xml:space="preserve">  Malin</t>
  </si>
  <si>
    <t xml:space="preserve">San Juan</t>
  </si>
  <si>
    <t xml:space="preserve">FX</t>
  </si>
  <si>
    <t xml:space="preserve">CD %</t>
  </si>
  <si>
    <t xml:space="preserve">US %</t>
  </si>
  <si>
    <t xml:space="preserve">CD DF</t>
  </si>
  <si>
    <t xml:space="preserve">US DF</t>
  </si>
  <si>
    <t xml:space="preserve">Consumers</t>
  </si>
  <si>
    <t xml:space="preserve">Aeco/Emp</t>
  </si>
  <si>
    <t xml:space="preserve">Adj.FX</t>
  </si>
  <si>
    <t xml:space="preserve">Basis</t>
  </si>
  <si>
    <t xml:space="preserve">Index</t>
  </si>
  <si>
    <t xml:space="preserve">VentB</t>
  </si>
  <si>
    <t xml:space="preserve">Aeco GD Vol</t>
  </si>
  <si>
    <t xml:space="preserve">Sumas GD Vol</t>
  </si>
  <si>
    <t xml:space="preserve">AllianceB</t>
  </si>
  <si>
    <t xml:space="preserve">Winter 00/01</t>
  </si>
  <si>
    <t xml:space="preserve">Tolls</t>
  </si>
  <si>
    <t xml:space="preserve">Change</t>
  </si>
  <si>
    <t xml:space="preserve">Summer 01 -</t>
  </si>
  <si>
    <t xml:space="preserve">due to FX</t>
  </si>
  <si>
    <t xml:space="preserve">Nov 99</t>
  </si>
  <si>
    <t xml:space="preserve">Sum</t>
  </si>
  <si>
    <t xml:space="preserve">Nov 00</t>
  </si>
  <si>
    <t xml:space="preserve">Wtr</t>
  </si>
  <si>
    <t xml:space="preserve">Nov 01</t>
  </si>
  <si>
    <t xml:space="preserve">Nov 02</t>
  </si>
  <si>
    <t xml:space="preserve">Nov 03</t>
  </si>
  <si>
    <t xml:space="preserve">Nov 04</t>
  </si>
  <si>
    <t xml:space="preserve">Nov 05</t>
  </si>
  <si>
    <t xml:space="preserve">Nov 06</t>
  </si>
  <si>
    <t xml:space="preserve">Nov 07</t>
  </si>
  <si>
    <t xml:space="preserve">Nov 08</t>
  </si>
  <si>
    <t xml:space="preserve">TARIFF SUMMARY</t>
  </si>
  <si>
    <t xml:space="preserve">Mids Date:</t>
  </si>
  <si>
    <t xml:space="preserve">Aeco to Border</t>
  </si>
  <si>
    <t xml:space="preserve">$C/GJ</t>
  </si>
  <si>
    <t xml:space="preserve">$US/MMBTU</t>
  </si>
  <si>
    <t xml:space="preserve">Gas Prices</t>
  </si>
  <si>
    <t xml:space="preserve">AECO</t>
  </si>
  <si>
    <t xml:space="preserve">Empress/Border</t>
  </si>
  <si>
    <t xml:space="preserve">Station 2</t>
  </si>
  <si>
    <t xml:space="preserve">Stanfield</t>
  </si>
  <si>
    <t xml:space="preserve">Sumas</t>
  </si>
  <si>
    <t xml:space="preserve">Emerson</t>
  </si>
  <si>
    <t xml:space="preserve">USD/MM</t>
  </si>
  <si>
    <t xml:space="preserve">CAN</t>
  </si>
  <si>
    <t xml:space="preserve">/GJ</t>
  </si>
  <si>
    <t xml:space="preserve">Transportation Point</t>
  </si>
  <si>
    <t xml:space="preserve">% Fuel</t>
  </si>
  <si>
    <t xml:space="preserve">Fuel</t>
  </si>
  <si>
    <t xml:space="preserve"> Firm Var</t>
  </si>
  <si>
    <t xml:space="preserve">IT Var </t>
  </si>
  <si>
    <t xml:space="preserve"> FirmTotal</t>
  </si>
  <si>
    <t xml:space="preserve"> IT Total</t>
  </si>
  <si>
    <t xml:space="preserve">ABC to Kingsgate</t>
  </si>
  <si>
    <t xml:space="preserve">ABC to Stanfield*</t>
  </si>
  <si>
    <t xml:space="preserve">ABC to Stanfield (NWPL)*</t>
  </si>
  <si>
    <t xml:space="preserve">ABC to Malin*</t>
  </si>
  <si>
    <t xml:space="preserve">Empress to Saskatchewan</t>
  </si>
  <si>
    <t xml:space="preserve">Empress to GLGT</t>
  </si>
  <si>
    <t xml:space="preserve">Empress to Dawn</t>
  </si>
  <si>
    <t xml:space="preserve">Empress to Niagara</t>
  </si>
  <si>
    <t xml:space="preserve">Empress to Iroquois</t>
  </si>
  <si>
    <t xml:space="preserve">Empress to Chippawa</t>
  </si>
  <si>
    <t xml:space="preserve">Empress to Phillipsburg</t>
  </si>
  <si>
    <t xml:space="preserve">Empress to St Clair</t>
  </si>
  <si>
    <t xml:space="preserve">Empress to Ventura</t>
  </si>
  <si>
    <t xml:space="preserve">Empress to Chicago</t>
  </si>
  <si>
    <t xml:space="preserve">Empress to Parkway</t>
  </si>
  <si>
    <t xml:space="preserve">Empress to St. Clair (GLGT) w/o GLGT</t>
  </si>
  <si>
    <t xml:space="preserve">Emerson to St. Clair (GLGT) w/o GLGT</t>
  </si>
  <si>
    <t xml:space="preserve">Emerson to Fortune Lake (GLGT) w/o GLGT</t>
  </si>
  <si>
    <t xml:space="preserve">Emerson to Carlton (GLGT) w/o GLGT</t>
  </si>
  <si>
    <t xml:space="preserve">Alberta to Chicago via Alliance</t>
  </si>
  <si>
    <t xml:space="preserve">BC to Chicago via Alliance</t>
  </si>
  <si>
    <t xml:space="preserve">Stanfield to Malin*</t>
  </si>
  <si>
    <t xml:space="preserve">Station 2 to AECO</t>
  </si>
  <si>
    <t xml:space="preserve">Station 2 to Huntingdon</t>
  </si>
  <si>
    <t xml:space="preserve">Station 2 to NWPL*</t>
  </si>
  <si>
    <t xml:space="preserve">Huntingdon to NWPL*</t>
  </si>
  <si>
    <t xml:space="preserve">AECO to Station 2 **</t>
  </si>
  <si>
    <t xml:space="preserve">All numbers in $US/MMBtu</t>
  </si>
  <si>
    <t xml:space="preserve">*Includes GRI</t>
  </si>
  <si>
    <t xml:space="preserve">**AECO to Station 2 IT priced off of Empress</t>
  </si>
  <si>
    <t xml:space="preserve">Station 2 to NWPL IT has T-South firm and NWPL IT</t>
  </si>
  <si>
    <t xml:space="preserve">TCPL IT costs assume floor bid of 80% of firm</t>
  </si>
  <si>
    <t xml:space="preserve">SUMMER TARIFF SUMMARY</t>
  </si>
  <si>
    <t xml:space="preserve">ROLL EACH MONTH</t>
  </si>
  <si>
    <t xml:space="preserve">(Using Summer to Date average fuel ratio)</t>
  </si>
  <si>
    <t xml:space="preserve">FP</t>
  </si>
  <si>
    <t xml:space="preserve">BASIS</t>
  </si>
  <si>
    <t xml:space="preserve">AECO CAD</t>
  </si>
  <si>
    <t xml:space="preserve">AECO USD</t>
  </si>
  <si>
    <t xml:space="preserve">NX1</t>
  </si>
  <si>
    <t xml:space="preserve">PRICE TERM:</t>
  </si>
  <si>
    <t xml:space="preserve">-</t>
  </si>
  <si>
    <t xml:space="preserve">EMPRESS USD</t>
  </si>
  <si>
    <t xml:space="preserve">CHICAGO</t>
  </si>
  <si>
    <t xml:space="preserve">DAWN</t>
  </si>
  <si>
    <t xml:space="preserve">MALIN</t>
  </si>
  <si>
    <t xml:space="preserve">STATION 2</t>
  </si>
  <si>
    <t xml:space="preserve">$US/MM</t>
  </si>
  <si>
    <t xml:space="preserve">FIRM TRANSPORTATION</t>
  </si>
  <si>
    <t xml:space="preserve">Firm Variable</t>
  </si>
  <si>
    <t xml:space="preserve">IT Variable</t>
  </si>
  <si>
    <t xml:space="preserve">Firm Variable Total</t>
  </si>
  <si>
    <t xml:space="preserve">IT Total</t>
  </si>
  <si>
    <t xml:space="preserve">RECP</t>
  </si>
  <si>
    <t xml:space="preserve">DELIV</t>
  </si>
  <si>
    <t xml:space="preserve">SPREAD</t>
  </si>
  <si>
    <t xml:space="preserve">VALUE</t>
  </si>
  <si>
    <t xml:space="preserve">WINTER TARIFF SUMMARY</t>
  </si>
  <si>
    <t xml:space="preserve">(Using average 2000 winter fuel ratios, IT floor bid calculated using Marginal fuel cost)</t>
  </si>
  <si>
    <t xml:space="preserve">Aeco to Empress</t>
  </si>
  <si>
    <t xml:space="preserve">$US/MMBtu</t>
  </si>
  <si>
    <t xml:space="preserve">EMPRESS CAD</t>
  </si>
  <si>
    <t xml:space="preserve">Aeco to Kingsgate</t>
  </si>
  <si>
    <t xml:space="preserve">Aeco to Stanfield*</t>
  </si>
  <si>
    <t xml:space="preserve">Aeco to Stanfield (NWPL)*</t>
  </si>
  <si>
    <t xml:space="preserve">Aeco to Malin*</t>
  </si>
  <si>
    <t xml:space="preserve">Aeco to Ventura</t>
  </si>
  <si>
    <t xml:space="preserve">Aeco to Chicago</t>
  </si>
  <si>
    <t xml:space="preserve">Aeco to Saskatchewan</t>
  </si>
  <si>
    <t xml:space="preserve">Aeco to GLGT</t>
  </si>
  <si>
    <t xml:space="preserve">Aeco to Dawn</t>
  </si>
  <si>
    <t xml:space="preserve">Aeco to Niagara</t>
  </si>
  <si>
    <t xml:space="preserve">Aeco to Iroquois</t>
  </si>
  <si>
    <t xml:space="preserve">Aeco to Chippawa</t>
  </si>
  <si>
    <t xml:space="preserve">Aeco to Phillipsburg</t>
  </si>
  <si>
    <t xml:space="preserve">Aeco to St Clair</t>
  </si>
  <si>
    <t xml:space="preserve">Aeco to Parkway</t>
  </si>
  <si>
    <t xml:space="preserve">Aeco to St. Clair (GLGT) w/o GLGT</t>
  </si>
  <si>
    <t xml:space="preserve">WEI Monthly Fuel Taxes</t>
  </si>
  <si>
    <t xml:space="preserve">Bold=Best Estimate</t>
  </si>
  <si>
    <t xml:space="preserve">T-North Long Haul</t>
  </si>
  <si>
    <t xml:space="preserve">January</t>
  </si>
  <si>
    <t xml:space="preserve">February</t>
  </si>
  <si>
    <t xml:space="preserve">March 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</si>
  <si>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</si>
  <si>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</si>
  <si>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</si>
  <si>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</si>
  <si>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</si>
  <si>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</si>
  <si>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</si>
  <si>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</si>
  <si>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</si>
  <si>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Average</t>
  </si>
  <si>
    <t xml:space="preserve">T-South PNG</t>
  </si>
  <si>
    <t xml:space="preserve">T-South Inland Delivery</t>
  </si>
  <si>
    <t xml:space="preserve">T-South Huntington Delivery</t>
  </si>
  <si>
    <t xml:space="preserve">Westcoast Alberta Zone B</t>
  </si>
  <si>
    <t xml:space="preserve">Westcoast Alberta Zone C</t>
  </si>
  <si>
    <t xml:space="preserve">Westcoast Tariff Summary</t>
  </si>
  <si>
    <t xml:space="preserve">T-South Heating Value</t>
  </si>
  <si>
    <t xml:space="preserve">Gordondale Receipt/Delivery</t>
  </si>
  <si>
    <t xml:space="preserve">GJ/E3M3</t>
  </si>
  <si>
    <t xml:space="preserve">T-South Deliveries</t>
  </si>
  <si>
    <t xml:space="preserve">Firm Demand</t>
  </si>
  <si>
    <t xml:space="preserve">Winter IT Commodity</t>
  </si>
  <si>
    <t xml:space="preserve">Summer IT Commodity</t>
  </si>
  <si>
    <t xml:space="preserve">Winter Fuel Tax</t>
  </si>
  <si>
    <t xml:space="preserve">June Fuel Tax Estimate</t>
  </si>
  <si>
    <t xml:space="preserve">T-South PNG Delivery</t>
  </si>
  <si>
    <t xml:space="preserve">PNG Demand</t>
  </si>
  <si>
    <t xml:space="preserve">Winter PNG IT Commodity</t>
  </si>
  <si>
    <t xml:space="preserve">Summer PNG IT Commodity</t>
  </si>
  <si>
    <t xml:space="preserve">Summer Fuel Tax</t>
  </si>
  <si>
    <t xml:space="preserve">T-South  Inland Delivery</t>
  </si>
  <si>
    <t xml:space="preserve">Inland Delivery Demand</t>
  </si>
  <si>
    <t xml:space="preserve">Winter Inland IT Commodity</t>
  </si>
  <si>
    <t xml:space="preserve">Summer Inland IT Commodity</t>
  </si>
  <si>
    <t xml:space="preserve">T-South Huntingdon Delivery</t>
  </si>
  <si>
    <t xml:space="preserve">Huntingdon Demand</t>
  </si>
  <si>
    <t xml:space="preserve">Winter Huntingdon IT Commodity</t>
  </si>
  <si>
    <t xml:space="preserve">Summer Huntingdon IT Commodity</t>
  </si>
  <si>
    <t xml:space="preserve">Zone B Demand</t>
  </si>
  <si>
    <t xml:space="preserve">Winter Zone B IT Commodity</t>
  </si>
  <si>
    <t xml:space="preserve">Summer Zone B IT Commodity</t>
  </si>
  <si>
    <t xml:space="preserve">Zone C Demand</t>
  </si>
  <si>
    <t xml:space="preserve">Winter Zone C IT Commodity</t>
  </si>
  <si>
    <t xml:space="preserve">Summer Zone C IT Commodity</t>
  </si>
  <si>
    <t xml:space="preserve">Charges only payable on eastern direction flows</t>
  </si>
  <si>
    <t xml:space="preserve">Northwest Pipeline Tariff Summary</t>
  </si>
  <si>
    <t xml:space="preserve">Firm Reservation Charge</t>
  </si>
  <si>
    <t xml:space="preserve">GRI Reservation Adjusment</t>
  </si>
  <si>
    <t xml:space="preserve">Firm Commodity Charge</t>
  </si>
  <si>
    <t xml:space="preserve">IT Commodity</t>
  </si>
  <si>
    <t xml:space="preserve">GRI Commodity Charge</t>
  </si>
  <si>
    <t xml:space="preserve">ACA</t>
  </si>
  <si>
    <t xml:space="preserve">* IT rate is maximum quoted, Firm commodity is minimum quoted</t>
  </si>
  <si>
    <t xml:space="preserve">Nova Delivery Charges</t>
  </si>
  <si>
    <t xml:space="preserve">Nova Receipt Energy</t>
  </si>
  <si>
    <t xml:space="preserve">Nova Delivery Energy</t>
  </si>
  <si>
    <t xml:space="preserve">Firm Gord. Receipt</t>
  </si>
  <si>
    <t xml:space="preserve">IT Gord. Receipt</t>
  </si>
  <si>
    <t xml:space="preserve">Firm Delivery Charge</t>
  </si>
  <si>
    <t xml:space="preserve">IT Delivery Charge</t>
  </si>
  <si>
    <t xml:space="preserve">ANG Tariff Summary</t>
  </si>
  <si>
    <t xml:space="preserve">Firm Demand Charge</t>
  </si>
  <si>
    <t xml:space="preserve">IT Commodity Charge</t>
  </si>
  <si>
    <t xml:space="preserve">NEB Cost Recovery</t>
  </si>
  <si>
    <t xml:space="preserve">GLGT Tariff Summary</t>
  </si>
  <si>
    <t xml:space="preserve">GRI</t>
  </si>
  <si>
    <t xml:space="preserve">St. Clair to Dawn</t>
  </si>
  <si>
    <t xml:space="preserve">Northern Border Tariff Summary</t>
  </si>
  <si>
    <t xml:space="preserve">Firm Mile Rate</t>
  </si>
  <si>
    <t xml:space="preserve">Commodity Rate</t>
  </si>
  <si>
    <t xml:space="preserve">Ventura Mileage</t>
  </si>
  <si>
    <t xml:space="preserve">Ventura Firm Rate</t>
  </si>
  <si>
    <t xml:space="preserve">Ventura Commodity</t>
  </si>
  <si>
    <t xml:space="preserve">Harper Mileage</t>
  </si>
  <si>
    <t xml:space="preserve">Harper Firm Rate</t>
  </si>
  <si>
    <t xml:space="preserve">Harper Commodity</t>
  </si>
  <si>
    <t xml:space="preserve">Manhattan Mileage</t>
  </si>
  <si>
    <t xml:space="preserve">Manhattan Firm Rate</t>
  </si>
  <si>
    <t xml:space="preserve">Manhattan Commodity</t>
  </si>
  <si>
    <t xml:space="preserve">PG&amp;E Gas Transmission</t>
  </si>
  <si>
    <t xml:space="preserve">Stanfield Deliveries</t>
  </si>
  <si>
    <t xml:space="preserve">Firm Mileage Reservation</t>
  </si>
  <si>
    <t xml:space="preserve">Firm non-mileage Reservation</t>
  </si>
  <si>
    <t xml:space="preserve">Commodity Charge</t>
  </si>
  <si>
    <t xml:space="preserve">IT</t>
  </si>
  <si>
    <t xml:space="preserve">GRI*</t>
  </si>
  <si>
    <t xml:space="preserve">* Payable if delivery is not to another interstate pipeline</t>
  </si>
  <si>
    <t xml:space="preserve">IT Rates are maximum quoted rates</t>
  </si>
  <si>
    <t xml:space="preserve">Malin Deliveries</t>
  </si>
  <si>
    <t xml:space="preserve">Stanfield to Malin</t>
  </si>
  <si>
    <t xml:space="preserve">Transcanada Tariff Summary</t>
  </si>
  <si>
    <t xml:space="preserve">Summer Aeco</t>
  </si>
  <si>
    <t xml:space="preserve">Winter Aeco</t>
  </si>
  <si>
    <t xml:space="preserve">% Marginal Fuel</t>
  </si>
  <si>
    <t xml:space="preserve">Winter IT</t>
  </si>
  <si>
    <t xml:space="preserve">Demand Toll</t>
  </si>
  <si>
    <t xml:space="preserve">Commodity Toll</t>
  </si>
  <si>
    <t xml:space="preserve">IT Commodity Toll</t>
  </si>
  <si>
    <t xml:space="preserve">Empress to Emerson</t>
  </si>
  <si>
    <t xml:space="preserve">Viking Pressure Demand Toll</t>
  </si>
  <si>
    <t xml:space="preserve">GLGT Pressure Demand Toll</t>
  </si>
  <si>
    <t xml:space="preserve">Viking IT Pressure Toll</t>
  </si>
  <si>
    <t xml:space="preserve">GLGT IT Pressure Toll</t>
  </si>
  <si>
    <t xml:space="preserve">Empress to Dawn (EDA)</t>
  </si>
  <si>
    <t xml:space="preserve">Pressure Demand Toll</t>
  </si>
  <si>
    <t xml:space="preserve">IT Pressure Toll</t>
  </si>
  <si>
    <t xml:space="preserve">TCPL/Union Fee</t>
  </si>
  <si>
    <t xml:space="preserve">Pressure Toll</t>
  </si>
  <si>
    <t xml:space="preserve">Empress to Iroqouis</t>
  </si>
  <si>
    <t xml:space="preserve">Empress to St-Clair</t>
  </si>
  <si>
    <t xml:space="preserve">F. Variable Components</t>
  </si>
  <si>
    <t xml:space="preserve">ANG Firm Commodity+NEB Cost Recovery Charge</t>
  </si>
  <si>
    <t xml:space="preserve">PGT Kingsgate to Stanfield Fuel Ratio+ANG Firm Commodity+NEB Cost Recovery+ Stanfield Deliveries;Commodity Charge, ACA and GRI</t>
  </si>
  <si>
    <t xml:space="preserve">NWP Postage Stamp*(PGT Commodity Charge+ACA)+Northwest Postage Stamp*Kingsgate to StanfieldFuel Ratio*(ANG Firm Commodity+NEB Cost Recovery Charge)+ NWP Firm Commodity +GRI + ACA Charges</t>
  </si>
  <si>
    <t xml:space="preserve">PGT Kingsgate to Malin Fuel Ratio*(ANG Firm commodity+NEB Cost Recovery Charges)+Malin deliveries;Commodity Charge+ACA+GRI</t>
  </si>
  <si>
    <t xml:space="preserve">TCPL's Empress to Sask. Commodity Toll</t>
  </si>
  <si>
    <t xml:space="preserve">TCPL's Empress to Emerson Commodity Toll+GLGT Pressure Demand Toll</t>
  </si>
  <si>
    <t xml:space="preserve">TCPL's Empress to Dawn Cmmodity toll + EDA Pressure Demand Toll</t>
  </si>
  <si>
    <t xml:space="preserve">TCPL's Empress to Niagra Commodity Toll+ENAPressure Toll</t>
  </si>
  <si>
    <t xml:space="preserve">TCPL's Empress to Iroqouis Commodity Toll+EIAPressure Toll</t>
  </si>
  <si>
    <t xml:space="preserve">TCPL's ECA Commodity Toll+ECA Pressure Toll</t>
  </si>
  <si>
    <t xml:space="preserve">TCPL's Emp. To Phillipsburg Commodity Toll+ Ephil.A Pressure Toll</t>
  </si>
  <si>
    <t xml:space="preserve">TCPL's ESCA Commodity Toll+ ESCA Pressure Toll</t>
  </si>
  <si>
    <t xml:space="preserve">TCPL's E-Park Commodity Toll + E-Park Pressure Toll</t>
  </si>
  <si>
    <t xml:space="preserve">0.04/FX*1.055056</t>
  </si>
  <si>
    <t xml:space="preserve">PGT's Stanfield to Malin Commodity Charge+ACA+GRI</t>
  </si>
  <si>
    <r>
      <rPr>
        <sz val="10"/>
        <rFont val="Arial"/>
        <family val="0"/>
      </rPr>
      <t xml:space="preserve">Nova Receipt Toll*</t>
    </r>
    <r>
      <rPr>
        <b val="true"/>
        <sz val="10"/>
        <rFont val="Arial"/>
        <family val="2"/>
      </rPr>
      <t xml:space="preserve">0.144618571428571/Westcoast Heating Value</t>
    </r>
  </si>
  <si>
    <r>
      <rPr>
        <sz val="10"/>
        <rFont val="Arial"/>
        <family val="0"/>
      </rPr>
      <t xml:space="preserve">Q:Wherer is the number found, what does it signify &amp; Why is it the "summer fuel tax"</t>
    </r>
    <r>
      <rPr>
        <b val="true"/>
        <sz val="10"/>
        <rFont val="Arial"/>
        <family val="2"/>
      </rPr>
      <t xml:space="preserve"> Bold means</t>
    </r>
    <r>
      <rPr>
        <sz val="10"/>
        <rFont val="Arial"/>
        <family val="2"/>
      </rPr>
      <t xml:space="preserve">:Summer Fuel Tax</t>
    </r>
  </si>
  <si>
    <t xml:space="preserve">T-South Huntington Delivery Summer Fuel Tax</t>
  </si>
  <si>
    <t xml:space="preserve">NWPL Postage Stamp*T-South Huntington Delivery Fuel Tax+NWPL Commodity Charge+ACA+GRI</t>
  </si>
  <si>
    <t xml:space="preserve">NWP Commodity Charge+ACA+GRI</t>
  </si>
  <si>
    <t xml:space="preserve">T-North Long Haul June fuel Tax estimate</t>
  </si>
  <si>
    <t xml:space="preserve">Current Month</t>
  </si>
  <si>
    <t xml:space="preserve">Current</t>
  </si>
  <si>
    <t xml:space="preserve">Receipt Based</t>
  </si>
  <si>
    <t xml:space="preserve">Sum Avg</t>
  </si>
  <si>
    <t xml:space="preserve">Sum Rec</t>
  </si>
  <si>
    <t xml:space="preserve">Winter Avg</t>
  </si>
  <si>
    <t xml:space="preserve">Winter Rec</t>
  </si>
  <si>
    <t xml:space="preserve">WC T-North Longhaul</t>
  </si>
  <si>
    <t xml:space="preserve">WC T-South PNG</t>
  </si>
  <si>
    <t xml:space="preserve">WC T-South Inland</t>
  </si>
  <si>
    <t xml:space="preserve">WC T-South Huntingdon</t>
  </si>
  <si>
    <t xml:space="preserve">WC Alberta Zone C</t>
  </si>
  <si>
    <t xml:space="preserve">NWP Postage Stamp</t>
  </si>
  <si>
    <t xml:space="preserve">Nova Receipt Toll</t>
  </si>
  <si>
    <t xml:space="preserve">ANG ABC to Kingsgate</t>
  </si>
  <si>
    <t xml:space="preserve">PGT Kingsgate Stanfield</t>
  </si>
  <si>
    <t xml:space="preserve">PGT Kingsgate Malin</t>
  </si>
  <si>
    <t xml:space="preserve">PGT Stanfield Malin</t>
  </si>
  <si>
    <t xml:space="preserve">Foothills Monchy</t>
  </si>
  <si>
    <t xml:space="preserve">TCPL Emp to Sask</t>
  </si>
  <si>
    <t xml:space="preserve">TCPL Emp to Viking</t>
  </si>
  <si>
    <t xml:space="preserve">TCPL Emp to GLGT</t>
  </si>
  <si>
    <t xml:space="preserve">TCPL Emp to Dawn</t>
  </si>
  <si>
    <t xml:space="preserve">TCPL Emp to Niagara</t>
  </si>
  <si>
    <t xml:space="preserve">TCPL Emp to Iroqouis</t>
  </si>
  <si>
    <t xml:space="preserve">TCPL Emp to Chippawa</t>
  </si>
  <si>
    <t xml:space="preserve">TCPL Emp to Phillipsburg</t>
  </si>
  <si>
    <t xml:space="preserve">TCPL Emp to St. Clair</t>
  </si>
  <si>
    <t xml:space="preserve">NB Monchy to Ventura</t>
  </si>
  <si>
    <t xml:space="preserve">NB Monchy to Harper</t>
  </si>
  <si>
    <t xml:space="preserve">NB Monchy to Manhattan</t>
  </si>
  <si>
    <t xml:space="preserve">TCPL Emp to Parkway (EDA)</t>
  </si>
  <si>
    <t xml:space="preserve">GLGT Emerson to St. Clair</t>
  </si>
  <si>
    <t xml:space="preserve">GLGT Emerson to Fortune Lake</t>
  </si>
  <si>
    <t xml:space="preserve">GLGT Emerson to Carlton</t>
  </si>
  <si>
    <t xml:space="preserve">Alliance</t>
  </si>
  <si>
    <t xml:space="preserve">ANG Heat Content</t>
  </si>
  <si>
    <t xml:space="preserve">Westcoast T-North Heat</t>
  </si>
  <si>
    <t xml:space="preserve">Westcoast T-South Heat</t>
  </si>
  <si>
    <t xml:space="preserve">Foothills Fuel</t>
  </si>
  <si>
    <t xml:space="preserve">Firm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</si>
</sst>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0.00_)"/>
    <numFmt numFmtId="166" formatCode="0.00%"/>
    <numFmt numFmtId="167" formatCode="0%"/>
    <numFmt numFmtId="168" formatCode="[$-409]m/d/yyyy"/>
    <numFmt numFmtId="169" formatCode="dd\-mmm_)"/>
    <numFmt numFmtId="170" formatCode="_(* #,##0.00_);_(* \(#,##0.00\);_(* \-??_);_(@_)"/>
    <numFmt numFmtId="171" formatCode="0.000"/>
    <numFmt numFmtId="172" formatCode="#,##0.0000_);\(#,##0.0000\)"/>
    <numFmt numFmtId="173" formatCode="0.00"/>
    <numFmt numFmtId="174" formatCode="\$#,##0_);&quot;($&quot;#,##0\)"/>
    <numFmt numFmtId="175" formatCode="0.0000"/>
    <numFmt numFmtId="176" formatCode="\$#,##0.000_);&quot;($&quot;#,##0.000\)"/>
    <numFmt numFmtId="177" formatCode="#,##0.000_);[RED]\(#,##0.000\)"/>
    <numFmt numFmtId="178" formatCode="[$-409]#,##0_);\(#,##0\)"/>
    <numFmt numFmtId="179" formatCode="0.0%"/>
    <numFmt numFmtId="180" formatCode="#,##0"/>
    <numFmt numFmtId="181" formatCode="[$-409]mmm\-yy"/>
    <numFmt numFmtId="182" formatCode="0.00000"/>
    <numFmt numFmtId="183" formatCode="mmmm\-yy"/>
    <numFmt numFmtId="184" formatCode="[$-409]d\-mmm"/>
    <numFmt numFmtId="185" formatCode="_(\$* #,##0.00_);_(\$* \(#,##0.00\);_(\$* \-??_);_(@_)"/>
    <numFmt numFmtId="186" formatCode="#,##0.000_);\(#,##0.000\)"/>
    <numFmt numFmtId="187" formatCode="0"/>
    <numFmt numFmtId="188" formatCode="0.000%"/>
    <numFmt numFmtId="189" formatCode="0.0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00800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00"/>
      <name val="Arial"/>
      <family val="2"/>
    </font>
    <font>
      <b val="true"/>
      <sz val="10"/>
      <color rgb="FF003366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4"/>
      <color rgb="FF0000FF"/>
      <name val="Arial"/>
      <family val="2"/>
    </font>
    <font>
      <b val="true"/>
      <u val="single"/>
      <sz val="11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FFFF"/>
      <name val="Arial"/>
      <family val="2"/>
    </font>
    <font>
      <b val="true"/>
      <sz val="11"/>
      <name val="Arial"/>
      <family val="2"/>
    </font>
    <font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0000"/>
      <name val="Arial"/>
      <family val="2"/>
    </font>
    <font>
      <sz val="11"/>
      <name val="Arial"/>
      <family val="2"/>
    </font>
    <font>
      <sz val="8"/>
      <color rgb="FFFF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7F"/>
        <bgColor rgb="FFFFFF99"/>
      </patternFill>
    </fill>
    <fill>
      <patternFill patternType="solid">
        <fgColor rgb="FFFFFF00"/>
        <bgColor rgb="FFFFCC00"/>
      </patternFill>
    </fill>
    <fill>
      <patternFill patternType="solid">
        <fgColor rgb="FFFFCC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7F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3333"/>
        <bgColor rgb="FF3333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5" fillId="0" borderId="1" applyFont="true" applyBorder="true" applyAlignment="false" applyProtection="false"/>
    <xf numFmtId="164" fontId="5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0" applyFont="true" applyBorder="false" applyAlignment="false" applyProtection="false"/>
    <xf numFmtId="164" fontId="0" fillId="4" borderId="0" applyFont="true" applyBorder="true" applyAlignment="false" applyProtection="false"/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</cellStyleXfs>
  <cellXfs count="4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5" borderId="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7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8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5" borderId="0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7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7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5" borderId="0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9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9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5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7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7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77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6" fontId="17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8" borderId="6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5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5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5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9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11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6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5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1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5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11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1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6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1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5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5" borderId="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9" fillId="0" borderId="5" xfId="2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1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1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3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0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1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0" fillId="0" borderId="12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0" fillId="5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0" fillId="0" borderId="12" xfId="2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0" fillId="0" borderId="1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0" fillId="0" borderId="12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2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3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0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1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4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2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20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12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0" fillId="0" borderId="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9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5" borderId="1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6" borderId="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3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5" borderId="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9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5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5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0" borderId="1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5" borderId="1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5" fillId="5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0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7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9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8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5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8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7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5" borderId="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9" fillId="0" borderId="7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5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7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9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48" wrapText="false" indent="0" shrinkToFit="false"/>
      <protection locked="true" hidden="false"/>
    </xf>
    <xf numFmtId="18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Header1" xfId="21"/>
    <cellStyle name="Header2" xfId="22"/>
    <cellStyle name="Input [yellow]" xfId="23"/>
    <cellStyle name="NewFill" xfId="24"/>
    <cellStyle name="Normal - Style1" xfId="25"/>
    <cellStyle name="Normal_m1" xfId="26"/>
    <cellStyle name="Normal_m1_1" xfId="27"/>
    <cellStyle name="Percent [2]" xfId="2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7F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externalLink" Target="externalLinks/externalLink3.xml"/><Relationship Id="rId20" Type="http://schemas.openxmlformats.org/officeDocument/2006/relationships/externalLink" Target="externalLinks/externalLink4.xml"/><Relationship Id="rId21" Type="http://schemas.openxmlformats.org/officeDocument/2006/relationships/externalLink" Target="externalLinks/externalLink5.xml"/><Relationship Id="rId22" Type="http://schemas.openxmlformats.org/officeDocument/2006/relationships/externalLink" Target="externalLinks/externalLink6.xml"/><Relationship Id="rId2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9360</xdr:rowOff>
        </xdr:from>
        <xdr:to>
          <xdr:col>6</xdr:col>
          <xdr:colOff>61560</xdr:colOff>
          <xdr:row>3</xdr:row>
          <xdr:rowOff>133200</xdr:rowOff>
        </xdr:to>
        <xdr:sp>
          <xdr:nvSpPr>
            <xdr:cNvPr id="1001" name="Button 94" descr="Get Mid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Mids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558000</xdr:colOff>
      <xdr:row>1</xdr:row>
      <xdr:rowOff>86040</xdr:rowOff>
    </xdr:from>
    <xdr:to>
      <xdr:col>3</xdr:col>
      <xdr:colOff>79920</xdr:colOff>
      <xdr:row>2</xdr:row>
      <xdr:rowOff>19080</xdr:rowOff>
    </xdr:to>
    <xdr:sp>
      <xdr:nvSpPr>
        <xdr:cNvPr id="0" name="Line 6"/>
        <xdr:cNvSpPr/>
      </xdr:nvSpPr>
      <xdr:spPr>
        <a:xfrm flipH="1">
          <a:off x="2782440" y="286200"/>
          <a:ext cx="945000" cy="94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Book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KHOLST/INTRA/Prompt/Deals_Jul2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cal-fs1/secure/Operations/Lavorato/Opshee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1998-99/1999/July00/TERM_072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cal-fs1/secure/Operations/NOVA/N-UPDATE/1995-96/NUPDATE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#REF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al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ct 1"/>
      <sheetName val="Oct7"/>
      <sheetName val="Oct8"/>
      <sheetName val="OCT14"/>
      <sheetName val="Jul 1"/>
      <sheetName val="Jul 3"/>
      <sheetName val="Jul 9"/>
      <sheetName val="Apr21"/>
      <sheetName val="Apr22"/>
      <sheetName val="Apr 23"/>
      <sheetName val="April 1"/>
      <sheetName val="April2"/>
      <sheetName val="Apr9"/>
      <sheetName val="Feb 5"/>
      <sheetName val="Jan 1"/>
      <sheetName val="Dec 31"/>
      <sheetName val="Xmas Eve"/>
      <sheetName val="Merry Xmas Joh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OL Pos"/>
      <sheetName val="SmallPOS"/>
      <sheetName val="Compare"/>
      <sheetName val="POS YESTERDAY"/>
      <sheetName val="POS"/>
      <sheetName val="POS CHANGE"/>
      <sheetName val="Index-Tolls Positions"/>
      <sheetName val="WOJO"/>
      <sheetName val="Spreads"/>
      <sheetName val="Swaps"/>
      <sheetName val="EOL Hedges"/>
      <sheetName val="p0"/>
      <sheetName val="p1"/>
      <sheetName val="p_chgs"/>
      <sheetName val="pl_book"/>
      <sheetName val="pl"/>
      <sheetName val="m0"/>
      <sheetName val="m1"/>
      <sheetName val="m_chg"/>
      <sheetName val="Input"/>
      <sheetName val="basis_upload"/>
      <sheetName val="index_upload"/>
      <sheetName val="tolls_upload"/>
      <sheetName val="Curve"/>
      <sheetName val="Codes"/>
      <sheetName val="prn"/>
      <sheetName val="PrnDat"/>
      <sheetName val="opts"/>
      <sheetName val="optDat"/>
      <sheetName val="index"/>
      <sheetName val="Tables"/>
      <sheetName val="Pivot"/>
      <sheetName val="sb Houston"/>
      <sheetName val="Houston "/>
      <sheetName val="Summary"/>
      <sheetName val="EOL"/>
      <sheetName val="EOLdat"/>
      <sheetName val="EolIndex"/>
      <sheetName val="EolIndexDat"/>
      <sheetName val="OP Options"/>
      <sheetName val="OpOptDat"/>
      <sheetName val="Prop Swaps"/>
      <sheetName val="PropSwpDat"/>
      <sheetName val="Prop Opts"/>
      <sheetName val="PropOpDat"/>
      <sheetName val="OP Swaps"/>
      <sheetName val="OpSwapDat"/>
      <sheetName val="EOL Opts"/>
      <sheetName val="EOLOptDa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tstg.cht"/>
      <sheetName val="Sheet1"/>
      <sheetName val="Stg info"/>
      <sheetName val="stg comparison"/>
      <sheetName val="N-update"/>
      <sheetName val="data"/>
      <sheetName val="Plant outages"/>
      <sheetName val="Border Outages"/>
      <sheetName val="TCPL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8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9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10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1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5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6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7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8.28"/>
    <col collapsed="false" customWidth="true" hidden="false" outlineLevel="0" max="3" min="3" style="1" width="10.28"/>
    <col collapsed="false" customWidth="true" hidden="false" outlineLevel="0" max="4" min="4" style="1" width="8.99"/>
    <col collapsed="false" customWidth="true" hidden="false" outlineLevel="0" max="5" min="5" style="1" width="8.28"/>
    <col collapsed="false" customWidth="true" hidden="false" outlineLevel="0" max="6" min="6" style="1" width="5.71"/>
    <col collapsed="false" customWidth="true" hidden="false" outlineLevel="0" max="7" min="7" style="1" width="7.42"/>
    <col collapsed="false" customWidth="true" hidden="false" outlineLevel="0" max="8" min="8" style="1" width="7.28"/>
    <col collapsed="false" customWidth="true" hidden="false" outlineLevel="0" max="9" min="9" style="1" width="6.85"/>
    <col collapsed="false" customWidth="true" hidden="false" outlineLevel="0" max="11" min="10" style="1" width="8.14"/>
    <col collapsed="false" customWidth="true" hidden="false" outlineLevel="0" max="12" min="12" style="1" width="7.28"/>
    <col collapsed="false" customWidth="true" hidden="false" outlineLevel="0" max="13" min="13" style="1" width="7.42"/>
    <col collapsed="false" customWidth="true" hidden="false" outlineLevel="0" max="14" min="14" style="1" width="5.99"/>
    <col collapsed="false" customWidth="true" hidden="false" outlineLevel="0" max="15" min="15" style="1" width="6.85"/>
    <col collapsed="false" customWidth="true" hidden="false" outlineLevel="0" max="16" min="16" style="1" width="8.99"/>
    <col collapsed="false" customWidth="true" hidden="false" outlineLevel="0" max="17" min="17" style="1" width="7.42"/>
    <col collapsed="false" customWidth="true" hidden="false" outlineLevel="0" max="18" min="18" style="2" width="12.42"/>
    <col collapsed="false" customWidth="true" hidden="false" outlineLevel="0" max="19" min="19" style="1" width="8.56"/>
    <col collapsed="false" customWidth="false" hidden="false" outlineLevel="0" max="20" min="20" style="1" width="9.14"/>
    <col collapsed="false" customWidth="true" hidden="false" outlineLevel="0" max="21" min="21" style="1" width="9.41"/>
    <col collapsed="false" customWidth="true" hidden="false" outlineLevel="0" max="22" min="22" style="1" width="9.7"/>
    <col collapsed="false" customWidth="true" hidden="false" outlineLevel="0" max="23" min="23" style="1" width="8.85"/>
    <col collapsed="false" customWidth="true" hidden="false" outlineLevel="0" max="24" min="24" style="1" width="7.14"/>
    <col collapsed="false" customWidth="false" hidden="false" outlineLevel="0" max="26" min="25" style="1" width="9.14"/>
    <col collapsed="false" customWidth="true" hidden="false" outlineLevel="0" max="27" min="27" style="3" width="9.99"/>
    <col collapsed="false" customWidth="true" hidden="false" outlineLevel="0" max="28" min="28" style="1" width="9.99"/>
    <col collapsed="false" customWidth="false" hidden="false" outlineLevel="0" max="32" min="29" style="1" width="9.14"/>
    <col collapsed="false" customWidth="true" hidden="false" outlineLevel="0" max="33" min="33" style="4" width="7.85"/>
    <col collapsed="false" customWidth="true" hidden="false" outlineLevel="0" max="34" min="34" style="1" width="10.56"/>
    <col collapsed="false" customWidth="true" hidden="false" outlineLevel="0" max="35" min="35" style="1" width="12.14"/>
    <col collapsed="false" customWidth="true" hidden="false" outlineLevel="0" max="36" min="36" style="1" width="10.56"/>
    <col collapsed="false" customWidth="true" hidden="false" outlineLevel="0" max="37" min="37" style="1" width="12.56"/>
    <col collapsed="false" customWidth="true" hidden="false" outlineLevel="0" max="38" min="38" style="1" width="6.28"/>
    <col collapsed="false" customWidth="true" hidden="false" outlineLevel="0" max="39" min="39" style="1" width="10.71"/>
    <col collapsed="false" customWidth="false" hidden="false" outlineLevel="0" max="44" min="40" style="1" width="9.14"/>
    <col collapsed="false" customWidth="true" hidden="false" outlineLevel="0" max="45" min="45" style="1" width="4.7"/>
    <col collapsed="false" customWidth="false" hidden="false" outlineLevel="0" max="46" min="46" style="5" width="9.14"/>
    <col collapsed="false" customWidth="true" hidden="false" outlineLevel="0" max="47" min="47" style="1" width="4.56"/>
    <col collapsed="false" customWidth="false" hidden="false" outlineLevel="0" max="48" min="48" style="1" width="9.14"/>
    <col collapsed="false" customWidth="true" hidden="false" outlineLevel="0" max="50" min="49" style="1" width="4.7"/>
    <col collapsed="false" customWidth="false" hidden="false" outlineLevel="0" max="51" min="51" style="1" width="9.14"/>
    <col collapsed="false" customWidth="true" hidden="false" outlineLevel="0" max="54" min="52" style="6" width="9.99"/>
    <col collapsed="false" customWidth="false" hidden="false" outlineLevel="0" max="257" min="55" style="1" width="9.14"/>
  </cols>
  <sheetData>
    <row r="1" customFormat="false" ht="13.5" hidden="false" customHeight="false" outlineLevel="0" collapsed="false">
      <c r="A1" s="7" t="n">
        <v>37069</v>
      </c>
      <c r="B1" s="8" t="s">
        <v>0</v>
      </c>
      <c r="C1" s="9"/>
      <c r="D1" s="10"/>
      <c r="E1" s="11"/>
      <c r="F1" s="12"/>
      <c r="G1" s="10"/>
      <c r="H1" s="10"/>
      <c r="I1" s="13"/>
      <c r="J1" s="14" t="s">
        <v>1</v>
      </c>
      <c r="K1" s="10"/>
      <c r="L1" s="10"/>
      <c r="M1" s="12"/>
      <c r="N1" s="11"/>
      <c r="O1" s="13"/>
      <c r="P1" s="11"/>
      <c r="Q1" s="13"/>
      <c r="S1" s="15" t="s">
        <v>2</v>
      </c>
      <c r="T1" s="16" t="n">
        <v>7.15</v>
      </c>
      <c r="U1" s="12"/>
      <c r="V1" s="10"/>
      <c r="W1" s="11"/>
      <c r="X1" s="17"/>
      <c r="Y1" s="10"/>
      <c r="Z1" s="13"/>
      <c r="AA1" s="18"/>
      <c r="AB1" s="13"/>
      <c r="AC1" s="11"/>
      <c r="AD1" s="12"/>
      <c r="AE1" s="12" t="n">
        <v>1.445</v>
      </c>
      <c r="AF1" s="10" t="n">
        <v>1.37</v>
      </c>
      <c r="AG1" s="19"/>
      <c r="AH1" s="20"/>
      <c r="AI1" s="21" t="n">
        <v>0.0318000000000001</v>
      </c>
      <c r="AJ1" s="10"/>
      <c r="AK1" s="10"/>
      <c r="AL1" s="10"/>
      <c r="AM1" s="22"/>
      <c r="AN1" s="22"/>
      <c r="AO1" s="22"/>
      <c r="AP1" s="22"/>
      <c r="AQ1" s="22"/>
      <c r="AR1" s="22"/>
      <c r="AS1" s="22"/>
      <c r="AT1" s="22"/>
      <c r="AU1" s="22"/>
      <c r="AV1" s="23" t="s">
        <v>3</v>
      </c>
      <c r="AW1" s="24" t="s">
        <v>4</v>
      </c>
      <c r="AX1" s="24"/>
      <c r="AY1" s="24"/>
      <c r="AZ1" s="25"/>
      <c r="BA1" s="25"/>
      <c r="BB1" s="25"/>
      <c r="BC1" s="22"/>
      <c r="BD1" s="22"/>
      <c r="BE1" s="22"/>
      <c r="BF1" s="22"/>
      <c r="BG1" s="22"/>
      <c r="BH1" s="22"/>
      <c r="BI1" s="22"/>
      <c r="BJ1" s="22"/>
      <c r="BK1" s="22"/>
      <c r="BL1" s="26"/>
      <c r="BM1" s="27"/>
      <c r="BN1" s="27"/>
      <c r="BO1" s="27"/>
      <c r="BP1" s="27"/>
      <c r="BQ1" s="27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</row>
    <row r="2" customFormat="false" ht="12.75" hidden="false" customHeight="false" outlineLevel="0" collapsed="false">
      <c r="A2" s="28"/>
      <c r="B2" s="28"/>
      <c r="C2" s="29"/>
      <c r="D2" s="10"/>
      <c r="E2" s="11"/>
      <c r="F2" s="12"/>
      <c r="G2" s="10"/>
      <c r="H2" s="10"/>
      <c r="I2" s="13"/>
      <c r="J2" s="30" t="s">
        <v>5</v>
      </c>
      <c r="K2" s="10"/>
      <c r="L2" s="10"/>
      <c r="M2" s="12"/>
      <c r="N2" s="10"/>
      <c r="O2" s="31"/>
      <c r="P2" s="32" t="s">
        <v>6</v>
      </c>
      <c r="Q2" s="33" t="n">
        <v>0.4645</v>
      </c>
      <c r="S2" s="10"/>
      <c r="T2" s="34" t="s">
        <v>7</v>
      </c>
      <c r="U2" s="12"/>
      <c r="V2" s="10" t="n">
        <v>-0.0025</v>
      </c>
      <c r="W2" s="11"/>
      <c r="X2" s="17"/>
      <c r="Y2" s="10" t="n">
        <v>2.97875</v>
      </c>
      <c r="Z2" s="13" t="n">
        <v>2.98375</v>
      </c>
      <c r="AA2" s="35"/>
      <c r="AB2" s="13" t="n">
        <v>0.015</v>
      </c>
      <c r="AC2" s="11"/>
      <c r="AD2" s="36"/>
      <c r="AE2" s="12" t="n">
        <v>4.525</v>
      </c>
      <c r="AF2" s="10" t="n">
        <v>4.555</v>
      </c>
      <c r="AG2" s="19"/>
      <c r="AH2" s="37"/>
      <c r="AI2" s="21" t="n">
        <v>0.0190000000000001</v>
      </c>
      <c r="AJ2" s="10"/>
      <c r="AK2" s="10"/>
      <c r="AL2" s="38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5"/>
      <c r="BA2" s="25"/>
      <c r="BB2" s="25"/>
      <c r="BC2" s="22"/>
      <c r="BD2" s="22"/>
      <c r="BE2" s="22"/>
      <c r="BF2" s="22"/>
      <c r="BG2" s="22"/>
      <c r="BH2" s="22"/>
      <c r="BI2" s="22"/>
      <c r="BJ2" s="22"/>
      <c r="BK2" s="22"/>
      <c r="BL2" s="27"/>
      <c r="BM2" s="39"/>
      <c r="BN2" s="40"/>
      <c r="BO2" s="40"/>
      <c r="BP2" s="40"/>
      <c r="BQ2" s="40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</row>
    <row r="3" customFormat="false" ht="12.75" hidden="false" customHeight="true" outlineLevel="0" collapsed="false">
      <c r="A3" s="28"/>
      <c r="B3" s="28"/>
      <c r="C3" s="28"/>
      <c r="D3" s="10"/>
      <c r="E3" s="10"/>
      <c r="F3" s="13"/>
      <c r="G3" s="10"/>
      <c r="H3" s="41"/>
      <c r="I3" s="13"/>
      <c r="J3" s="42" t="s">
        <v>8</v>
      </c>
      <c r="K3" s="10"/>
      <c r="L3" s="10"/>
      <c r="M3" s="43"/>
      <c r="N3" s="10"/>
      <c r="O3" s="22"/>
      <c r="P3" s="44" t="s">
        <v>9</v>
      </c>
      <c r="Q3" s="45" t="n">
        <v>0.379285714285714</v>
      </c>
      <c r="S3" s="41" t="s">
        <v>10</v>
      </c>
      <c r="T3" s="46" t="n">
        <v>-0.5275</v>
      </c>
      <c r="U3" s="47" t="n">
        <v>37012</v>
      </c>
      <c r="V3" s="10" t="s">
        <v>11</v>
      </c>
      <c r="W3" s="11"/>
      <c r="X3" s="17"/>
      <c r="Y3" s="48"/>
      <c r="Z3" s="13"/>
      <c r="AA3" s="49"/>
      <c r="AB3" s="12" t="n">
        <v>-0.0235259061285503</v>
      </c>
      <c r="AC3" s="11"/>
      <c r="AD3" s="12"/>
      <c r="AE3" s="13" t="n">
        <v>5.025</v>
      </c>
      <c r="AF3" s="10" t="n">
        <v>5.055</v>
      </c>
      <c r="AG3" s="19"/>
      <c r="AH3" s="50"/>
      <c r="AI3" s="21" t="n">
        <v>0.0122999999999998</v>
      </c>
      <c r="AJ3" s="0"/>
      <c r="AK3" s="0" t="n">
        <v>-13946.3465087916</v>
      </c>
      <c r="AL3" s="0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5"/>
      <c r="BA3" s="51"/>
      <c r="BB3" s="51"/>
      <c r="BC3" s="22"/>
      <c r="BD3" s="22"/>
      <c r="BE3" s="22"/>
      <c r="BF3" s="22"/>
      <c r="BG3" s="22"/>
      <c r="BH3" s="22"/>
      <c r="BI3" s="22"/>
      <c r="BJ3" s="22"/>
      <c r="BK3" s="22"/>
      <c r="BL3" s="27"/>
      <c r="BM3" s="39"/>
      <c r="BN3" s="40"/>
      <c r="BO3" s="40"/>
      <c r="BP3" s="40"/>
      <c r="BQ3" s="40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</row>
    <row r="4" customFormat="false" ht="12.75" hidden="false" customHeight="false" outlineLevel="0" collapsed="false">
      <c r="A4" s="52" t="s">
        <v>12</v>
      </c>
      <c r="B4" s="53"/>
      <c r="C4" s="54" t="s">
        <v>13</v>
      </c>
      <c r="D4" s="55"/>
      <c r="E4" s="55"/>
      <c r="F4" s="53"/>
      <c r="G4" s="55"/>
      <c r="H4" s="55"/>
      <c r="I4" s="53"/>
      <c r="J4" s="55"/>
      <c r="K4" s="55"/>
      <c r="L4" s="55"/>
      <c r="M4" s="53"/>
      <c r="N4" s="55"/>
      <c r="O4" s="22"/>
      <c r="P4" s="0"/>
      <c r="Q4" s="56"/>
      <c r="S4" s="41" t="s">
        <v>14</v>
      </c>
      <c r="T4" s="57" t="n">
        <v>0</v>
      </c>
      <c r="U4" s="53"/>
      <c r="V4" s="55"/>
      <c r="W4" s="55"/>
      <c r="X4" s="17"/>
      <c r="Y4" s="53" t="n">
        <v>150</v>
      </c>
      <c r="Z4" s="53"/>
      <c r="AA4" s="53"/>
      <c r="AB4" s="53"/>
      <c r="AC4" s="53"/>
      <c r="AD4" s="53"/>
      <c r="AE4" s="53" t="n">
        <v>1.305</v>
      </c>
      <c r="AF4" s="55" t="n">
        <v>1.32</v>
      </c>
      <c r="AG4" s="19"/>
      <c r="AH4" s="55"/>
      <c r="AI4" s="53"/>
      <c r="AJ4" s="55"/>
      <c r="AK4" s="55"/>
      <c r="AL4" s="55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 t="n">
        <v>0.25</v>
      </c>
      <c r="AZ4" s="25"/>
      <c r="BA4" s="51"/>
      <c r="BB4" s="51"/>
      <c r="BC4" s="22"/>
      <c r="BD4" s="22"/>
      <c r="BE4" s="22"/>
      <c r="BF4" s="22"/>
      <c r="BG4" s="22"/>
      <c r="BH4" s="22"/>
      <c r="BI4" s="22"/>
      <c r="BJ4" s="22"/>
      <c r="BK4" s="22"/>
      <c r="BL4" s="27"/>
      <c r="BM4" s="39"/>
      <c r="BN4" s="40"/>
      <c r="BO4" s="40"/>
      <c r="BP4" s="40"/>
      <c r="BQ4" s="40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</row>
    <row r="5" customFormat="false" ht="12.75" hidden="false" customHeight="false" outlineLevel="0" collapsed="false">
      <c r="A5" s="52" t="s">
        <v>15</v>
      </c>
      <c r="B5" s="12"/>
      <c r="C5" s="58" t="n">
        <v>0.2098</v>
      </c>
      <c r="D5" s="59"/>
      <c r="E5" s="11"/>
      <c r="F5" s="12"/>
      <c r="G5" s="59"/>
      <c r="H5" s="10"/>
      <c r="I5" s="60" t="s">
        <v>16</v>
      </c>
      <c r="J5" s="11"/>
      <c r="K5" s="59" t="n">
        <v>0.016</v>
      </c>
      <c r="L5" s="61"/>
      <c r="M5" s="62" t="s">
        <v>17</v>
      </c>
      <c r="N5" s="62"/>
      <c r="O5" s="62" t="n">
        <v>0.4345</v>
      </c>
      <c r="P5" s="63" t="s">
        <v>18</v>
      </c>
      <c r="Q5" s="64" t="n">
        <v>-0.015</v>
      </c>
      <c r="S5" s="65" t="s">
        <v>19</v>
      </c>
      <c r="T5" s="66" t="n">
        <v>0.838</v>
      </c>
      <c r="U5" s="12"/>
      <c r="V5" s="61" t="s">
        <v>20</v>
      </c>
      <c r="W5" s="11"/>
      <c r="X5" s="17" t="n">
        <v>38442</v>
      </c>
      <c r="Y5" s="67" t="n">
        <v>38292</v>
      </c>
      <c r="Z5" s="13"/>
      <c r="AA5" s="68" t="n">
        <v>3.27</v>
      </c>
      <c r="AB5" s="69" t="s">
        <v>20</v>
      </c>
      <c r="AC5" s="70" t="s">
        <v>21</v>
      </c>
      <c r="AD5" s="17" t="n">
        <v>2.445</v>
      </c>
      <c r="AE5" s="13" t="n">
        <v>0.2</v>
      </c>
      <c r="AF5" s="10" t="n">
        <v>0.2</v>
      </c>
      <c r="AG5" s="19"/>
      <c r="AH5" s="20"/>
      <c r="AI5" s="13"/>
      <c r="AJ5" s="10"/>
      <c r="AK5" s="10"/>
      <c r="AL5" s="38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5"/>
      <c r="BA5" s="25"/>
      <c r="BB5" s="25"/>
      <c r="BC5" s="22"/>
      <c r="BD5" s="22"/>
      <c r="BE5" s="22"/>
      <c r="BF5" s="22"/>
      <c r="BG5" s="22"/>
      <c r="BH5" s="71"/>
      <c r="BI5" s="22"/>
      <c r="BJ5" s="22"/>
      <c r="BK5" s="22"/>
      <c r="BL5" s="27"/>
      <c r="BM5" s="39"/>
      <c r="BN5" s="40"/>
      <c r="BO5" s="40"/>
      <c r="BP5" s="40"/>
      <c r="BQ5" s="40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</row>
    <row r="6" customFormat="false" ht="12.75" hidden="false" customHeight="false" outlineLevel="0" collapsed="false">
      <c r="A6" s="13"/>
      <c r="B6" s="72"/>
      <c r="C6" s="73" t="n">
        <v>0.01</v>
      </c>
      <c r="D6" s="0"/>
      <c r="E6" s="0"/>
      <c r="F6" s="74"/>
      <c r="G6" s="41"/>
      <c r="H6" s="41"/>
      <c r="I6" s="65"/>
      <c r="J6" s="75"/>
      <c r="K6" s="41"/>
      <c r="L6" s="41"/>
      <c r="M6" s="65"/>
      <c r="N6" s="41"/>
      <c r="O6" s="65" t="n">
        <v>0.278</v>
      </c>
      <c r="P6" s="76" t="s">
        <v>22</v>
      </c>
      <c r="Q6" s="77" t="n">
        <v>-0.0075</v>
      </c>
      <c r="S6" s="41" t="s">
        <v>23</v>
      </c>
      <c r="T6" s="66" t="n">
        <v>0.54</v>
      </c>
      <c r="U6" s="12"/>
      <c r="V6" s="10"/>
      <c r="W6" s="11"/>
      <c r="X6" s="17"/>
      <c r="Y6" s="41"/>
      <c r="Z6" s="65"/>
      <c r="AA6" s="49"/>
      <c r="AB6" s="78" t="n">
        <v>-0.360216692274543</v>
      </c>
      <c r="AC6" s="67"/>
      <c r="AD6" s="17"/>
      <c r="AE6" s="13"/>
      <c r="AF6" s="10"/>
      <c r="AG6" s="19"/>
      <c r="AH6" s="10" t="s">
        <v>24</v>
      </c>
      <c r="AI6" s="13"/>
      <c r="AJ6" s="10"/>
      <c r="AK6" s="10"/>
      <c r="AL6" s="38"/>
      <c r="AM6" s="22"/>
      <c r="AN6" s="22"/>
      <c r="AO6" s="22"/>
      <c r="AP6" s="22"/>
      <c r="AQ6" s="22"/>
      <c r="AR6" s="22"/>
      <c r="AS6" s="22"/>
      <c r="AT6" s="22"/>
      <c r="AU6" s="22"/>
      <c r="AV6" s="79" t="s">
        <v>25</v>
      </c>
      <c r="AW6" s="22"/>
      <c r="AX6" s="22"/>
      <c r="AY6" s="22"/>
      <c r="AZ6" s="25"/>
      <c r="BA6" s="80"/>
      <c r="BB6" s="80"/>
      <c r="BC6" s="22"/>
      <c r="BD6" s="22"/>
      <c r="BE6" s="22"/>
      <c r="BF6" s="22"/>
      <c r="BG6" s="22"/>
      <c r="BH6" s="22"/>
      <c r="BI6" s="22"/>
      <c r="BJ6" s="22"/>
      <c r="BK6" s="22"/>
      <c r="BL6" s="27"/>
      <c r="BM6" s="39"/>
      <c r="BN6" s="40"/>
      <c r="BO6" s="40"/>
      <c r="BP6" s="40"/>
      <c r="BQ6" s="40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</row>
    <row r="7" customFormat="false" ht="12.75" hidden="false" customHeight="false" outlineLevel="0" collapsed="false">
      <c r="A7" s="13" t="s">
        <v>26</v>
      </c>
      <c r="B7" s="69" t="s">
        <v>27</v>
      </c>
      <c r="C7" s="69" t="s">
        <v>28</v>
      </c>
      <c r="D7" s="61" t="s">
        <v>29</v>
      </c>
      <c r="E7" s="61" t="s">
        <v>30</v>
      </c>
      <c r="F7" s="69" t="s">
        <v>31</v>
      </c>
      <c r="G7" s="61" t="s">
        <v>32</v>
      </c>
      <c r="H7" s="61" t="s">
        <v>33</v>
      </c>
      <c r="I7" s="69" t="s">
        <v>34</v>
      </c>
      <c r="J7" s="61" t="s">
        <v>35</v>
      </c>
      <c r="K7" s="61" t="s">
        <v>36</v>
      </c>
      <c r="L7" s="61" t="s">
        <v>37</v>
      </c>
      <c r="M7" s="69" t="s">
        <v>38</v>
      </c>
      <c r="N7" s="61" t="s">
        <v>39</v>
      </c>
      <c r="O7" s="69" t="s">
        <v>40</v>
      </c>
      <c r="P7" s="61" t="s">
        <v>41</v>
      </c>
      <c r="Q7" s="69" t="s">
        <v>42</v>
      </c>
      <c r="R7" s="81" t="s">
        <v>43</v>
      </c>
      <c r="S7" s="82" t="s">
        <v>44</v>
      </c>
      <c r="T7" s="61" t="s">
        <v>45</v>
      </c>
      <c r="U7" s="69" t="s">
        <v>46</v>
      </c>
      <c r="V7" s="61" t="s">
        <v>47</v>
      </c>
      <c r="W7" s="61" t="s">
        <v>48</v>
      </c>
      <c r="X7" s="69" t="s">
        <v>49</v>
      </c>
      <c r="Y7" s="17"/>
      <c r="Z7" s="69" t="s">
        <v>50</v>
      </c>
      <c r="AA7" s="83" t="s">
        <v>51</v>
      </c>
      <c r="AB7" s="69" t="s">
        <v>52</v>
      </c>
      <c r="AC7" s="61" t="s">
        <v>53</v>
      </c>
      <c r="AD7" s="69" t="s">
        <v>54</v>
      </c>
      <c r="AE7" s="69" t="s">
        <v>55</v>
      </c>
      <c r="AF7" s="61" t="s">
        <v>56</v>
      </c>
      <c r="AG7" s="69" t="s">
        <v>57</v>
      </c>
      <c r="AH7" s="84" t="s">
        <v>58</v>
      </c>
      <c r="AI7" s="69" t="s">
        <v>59</v>
      </c>
      <c r="AJ7" s="61" t="s">
        <v>60</v>
      </c>
      <c r="AK7" s="61" t="s">
        <v>61</v>
      </c>
      <c r="AL7" s="61" t="s">
        <v>62</v>
      </c>
      <c r="AM7" s="69" t="s">
        <v>63</v>
      </c>
      <c r="AN7" s="85" t="s">
        <v>64</v>
      </c>
      <c r="AO7" s="22" t="s">
        <v>65</v>
      </c>
      <c r="AP7" s="22"/>
      <c r="AQ7" s="22" t="s">
        <v>66</v>
      </c>
      <c r="AR7" s="22" t="s">
        <v>67</v>
      </c>
      <c r="AS7" s="22"/>
      <c r="AT7" s="22" t="s">
        <v>42</v>
      </c>
      <c r="AU7" s="22"/>
      <c r="AV7" s="79" t="s">
        <v>68</v>
      </c>
      <c r="AW7" s="22"/>
      <c r="AX7" s="86" t="s">
        <v>69</v>
      </c>
      <c r="AY7" s="86"/>
      <c r="AZ7" s="87" t="s">
        <v>70</v>
      </c>
      <c r="BA7" s="87" t="s">
        <v>71</v>
      </c>
      <c r="BB7" s="87" t="s">
        <v>72</v>
      </c>
      <c r="BC7" s="22"/>
      <c r="BD7" s="22"/>
      <c r="BE7" s="22"/>
      <c r="BF7" s="22"/>
      <c r="BG7" s="22"/>
      <c r="BH7" s="71"/>
      <c r="BI7" s="86"/>
      <c r="BJ7" s="22"/>
      <c r="BK7" s="22"/>
      <c r="BL7" s="27"/>
      <c r="BM7" s="39"/>
      <c r="BN7" s="40"/>
      <c r="BO7" s="40"/>
      <c r="BP7" s="40"/>
      <c r="BQ7" s="40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</row>
    <row r="8" customFormat="false" ht="12.75" hidden="false" customHeight="false" outlineLevel="0" collapsed="false">
      <c r="A8" s="13" t="n">
        <v>1</v>
      </c>
      <c r="B8" s="12" t="n">
        <v>2</v>
      </c>
      <c r="C8" s="12" t="n">
        <v>3</v>
      </c>
      <c r="D8" s="11"/>
      <c r="E8" s="10"/>
      <c r="F8" s="13"/>
      <c r="G8" s="11"/>
      <c r="H8" s="11"/>
      <c r="I8" s="12"/>
      <c r="J8" s="11"/>
      <c r="K8" s="11"/>
      <c r="L8" s="10"/>
      <c r="M8" s="12"/>
      <c r="N8" s="11" t="n">
        <v>0.566666666666667</v>
      </c>
      <c r="O8" s="12" t="n">
        <v>0.34</v>
      </c>
      <c r="P8" s="11" t="n">
        <v>-0.0499999999999999</v>
      </c>
      <c r="Q8" s="69"/>
      <c r="R8" s="88" t="s">
        <v>73</v>
      </c>
      <c r="S8" s="89" t="n">
        <v>0.05</v>
      </c>
      <c r="T8" s="10"/>
      <c r="U8" s="43"/>
      <c r="V8" s="11"/>
      <c r="W8" s="11"/>
      <c r="X8" s="12"/>
      <c r="Y8" s="11"/>
      <c r="Z8" s="12" t="n">
        <v>0.115416666666667</v>
      </c>
      <c r="AA8" s="49" t="n">
        <v>0.2</v>
      </c>
      <c r="AB8" s="90"/>
      <c r="AC8" s="10"/>
      <c r="AD8" s="13"/>
      <c r="AE8" s="13"/>
      <c r="AF8" s="10"/>
      <c r="AG8" s="13"/>
      <c r="AH8" s="91"/>
      <c r="AI8" s="12"/>
      <c r="AJ8" s="11"/>
      <c r="AK8" s="10"/>
      <c r="AL8" s="11"/>
      <c r="AM8" s="92"/>
      <c r="AN8" s="86"/>
      <c r="AO8" s="93" t="s">
        <v>74</v>
      </c>
      <c r="AP8" s="86"/>
      <c r="AQ8" s="86" t="s">
        <v>25</v>
      </c>
      <c r="AR8" s="86" t="s">
        <v>75</v>
      </c>
      <c r="AS8" s="86"/>
      <c r="AT8" s="86"/>
      <c r="AU8" s="86"/>
      <c r="AV8" s="86"/>
      <c r="AW8" s="86"/>
      <c r="AX8" s="86"/>
      <c r="AY8" s="86"/>
      <c r="AZ8" s="25"/>
      <c r="BA8" s="25"/>
      <c r="BB8" s="25"/>
      <c r="BC8" s="22"/>
      <c r="BD8" s="22"/>
      <c r="BE8" s="22"/>
      <c r="BF8" s="22"/>
      <c r="BG8" s="22"/>
      <c r="BH8" s="71"/>
      <c r="BI8" s="71"/>
      <c r="BJ8" s="86"/>
      <c r="BK8" s="22"/>
      <c r="BL8" s="71"/>
      <c r="BM8" s="27"/>
      <c r="BN8" s="39"/>
      <c r="BO8" s="40"/>
      <c r="BP8" s="40"/>
      <c r="BQ8" s="40"/>
      <c r="BR8" s="40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</row>
    <row r="9" customFormat="false" ht="12.75" hidden="false" customHeight="false" outlineLevel="0" collapsed="false">
      <c r="A9" s="13"/>
      <c r="B9" s="13" t="n">
        <v>-0.0275</v>
      </c>
      <c r="C9" s="12" t="n">
        <v>0.01</v>
      </c>
      <c r="D9" s="59"/>
      <c r="E9" s="10"/>
      <c r="F9" s="13"/>
      <c r="G9" s="60"/>
      <c r="H9" s="60"/>
      <c r="I9" s="60"/>
      <c r="J9" s="12"/>
      <c r="K9" s="60"/>
      <c r="L9" s="59"/>
      <c r="M9" s="12"/>
      <c r="N9" s="12"/>
      <c r="O9" s="13" t="n">
        <v>0.736</v>
      </c>
      <c r="P9" s="94" t="n">
        <v>0.686</v>
      </c>
      <c r="Q9" s="13"/>
      <c r="R9" s="95" t="s">
        <v>76</v>
      </c>
      <c r="S9" s="89" t="n">
        <v>0</v>
      </c>
      <c r="T9" s="10"/>
      <c r="U9" s="13"/>
      <c r="V9" s="10"/>
      <c r="W9" s="13"/>
      <c r="X9" s="13"/>
      <c r="Y9" s="62"/>
      <c r="Z9" s="12"/>
      <c r="AA9" s="49" t="n">
        <v>-0.005</v>
      </c>
      <c r="AB9" s="90" t="n">
        <v>3.19004</v>
      </c>
      <c r="AC9" s="13"/>
      <c r="AD9" s="13"/>
      <c r="AE9" s="13"/>
      <c r="AF9" s="13"/>
      <c r="AG9" s="13"/>
      <c r="AH9" s="19"/>
      <c r="AI9" s="13"/>
      <c r="AJ9" s="13"/>
      <c r="AK9" s="13"/>
      <c r="AL9" s="13"/>
      <c r="AM9" s="92"/>
      <c r="AN9" s="22"/>
      <c r="AO9" s="74"/>
      <c r="AP9" s="22"/>
      <c r="AQ9" s="86" t="s">
        <v>67</v>
      </c>
      <c r="AR9" s="86" t="s">
        <v>77</v>
      </c>
      <c r="AS9" s="22"/>
      <c r="AT9" s="22"/>
      <c r="AU9" s="22"/>
      <c r="AV9" s="22"/>
      <c r="AW9" s="22"/>
      <c r="AX9" s="22"/>
      <c r="AY9" s="22"/>
      <c r="AZ9" s="25"/>
      <c r="BA9" s="25"/>
      <c r="BB9" s="25"/>
      <c r="BC9" s="22"/>
      <c r="BD9" s="22"/>
      <c r="BE9" s="22"/>
      <c r="BF9" s="86"/>
      <c r="BG9" s="22"/>
      <c r="BH9" s="96"/>
      <c r="BI9" s="97"/>
      <c r="BJ9" s="86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</row>
    <row r="10" customFormat="false" ht="12.75" hidden="true" customHeight="false" outlineLevel="0" collapsed="false">
      <c r="A10" s="98" t="n">
        <v>36220</v>
      </c>
      <c r="B10" s="99" t="n">
        <v>1.666</v>
      </c>
      <c r="C10" s="100" t="n">
        <v>-0.109650454989087</v>
      </c>
      <c r="D10" s="101" t="n">
        <v>-0.0957854256348694</v>
      </c>
      <c r="E10" s="101" t="n">
        <v>-0.0749878816035434</v>
      </c>
      <c r="F10" s="102" t="n">
        <v>0</v>
      </c>
      <c r="G10" s="103" t="n">
        <v>0.109</v>
      </c>
      <c r="H10" s="103" t="n">
        <v>0.109</v>
      </c>
      <c r="I10" s="104" t="n">
        <v>0.119</v>
      </c>
      <c r="J10" s="103" t="n">
        <v>0.044</v>
      </c>
      <c r="K10" s="103" t="n">
        <v>0.064</v>
      </c>
      <c r="L10" s="103" t="n">
        <v>0.294</v>
      </c>
      <c r="M10" s="105" t="n">
        <v>-0.156</v>
      </c>
      <c r="N10" s="103" t="n">
        <v>0</v>
      </c>
      <c r="O10" s="104" t="n">
        <v>-0.046</v>
      </c>
      <c r="P10" s="106" t="n">
        <v>-0.166</v>
      </c>
      <c r="Q10" s="107" t="n">
        <v>0.15</v>
      </c>
      <c r="S10" s="108" t="n">
        <v>0.5</v>
      </c>
      <c r="T10" s="109"/>
      <c r="U10" s="110"/>
      <c r="V10" s="111" t="n">
        <v>1.55634954501091</v>
      </c>
      <c r="W10" s="111" t="n">
        <v>1.57021457436513</v>
      </c>
      <c r="X10" s="112" t="n">
        <v>1.59101211839646</v>
      </c>
      <c r="Y10" s="113" t="n">
        <v>2.81824285714286</v>
      </c>
      <c r="Z10" s="114" t="n">
        <v>0.02</v>
      </c>
      <c r="AA10" s="115" t="n">
        <v>0.05</v>
      </c>
      <c r="AB10" s="98" t="n">
        <v>2.245</v>
      </c>
      <c r="AC10" s="116" t="n">
        <v>2.265</v>
      </c>
      <c r="AD10" s="112" t="n">
        <v>2.295</v>
      </c>
      <c r="AE10" s="117" t="n">
        <v>1.5</v>
      </c>
      <c r="AF10" s="118" t="n">
        <v>1.51</v>
      </c>
      <c r="AG10" s="119" t="n">
        <v>1.62</v>
      </c>
      <c r="AH10" s="120"/>
      <c r="AI10" s="121" t="n">
        <v>1.50825</v>
      </c>
      <c r="AJ10" s="122" t="n">
        <v>0.048211254650187</v>
      </c>
      <c r="AK10" s="122" t="n">
        <v>0.053977282405923</v>
      </c>
      <c r="AL10" s="123" t="n">
        <v>1.11709836535385</v>
      </c>
      <c r="AM10" s="124" t="n">
        <v>1.13179342104291</v>
      </c>
      <c r="AN10" s="125" t="n">
        <v>0</v>
      </c>
      <c r="AO10" s="126" t="n">
        <v>0.12</v>
      </c>
      <c r="AP10" s="127"/>
      <c r="AQ10" s="125" t="n">
        <v>-1.63103845516327</v>
      </c>
      <c r="AR10" s="128" t="n">
        <v>-1.52138800017418</v>
      </c>
      <c r="AS10" s="22"/>
      <c r="AT10" s="22"/>
      <c r="AU10" s="22"/>
      <c r="AV10" s="129" t="n">
        <v>0</v>
      </c>
      <c r="AW10" s="22"/>
      <c r="AX10" s="39"/>
      <c r="AY10" s="39"/>
      <c r="AZ10" s="25"/>
      <c r="BA10" s="25"/>
      <c r="BB10" s="25"/>
      <c r="BC10" s="96"/>
      <c r="BD10" s="39"/>
      <c r="BE10" s="22"/>
      <c r="BF10" s="96"/>
      <c r="BG10" s="22"/>
      <c r="BH10" s="71"/>
      <c r="BI10" s="71"/>
      <c r="BJ10" s="22"/>
      <c r="BK10" s="71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</row>
    <row r="11" customFormat="false" ht="12.75" hidden="true" customHeight="false" outlineLevel="0" collapsed="false">
      <c r="A11" s="130" t="n">
        <v>36251</v>
      </c>
      <c r="B11" s="131" t="n">
        <v>1.852</v>
      </c>
      <c r="C11" s="132" t="n">
        <v>-0.271713847779612</v>
      </c>
      <c r="D11" s="133" t="n">
        <v>-0.131865515724711</v>
      </c>
      <c r="E11" s="133" t="n">
        <v>-0.411562179834514</v>
      </c>
      <c r="F11" s="134" t="n">
        <v>0</v>
      </c>
      <c r="G11" s="135" t="n">
        <v>0.133</v>
      </c>
      <c r="H11" s="135" t="n">
        <v>0.128</v>
      </c>
      <c r="I11" s="136" t="n">
        <v>0.128</v>
      </c>
      <c r="J11" s="135" t="n">
        <v>0.058</v>
      </c>
      <c r="K11" s="135" t="n">
        <v>0.1355</v>
      </c>
      <c r="L11" s="135" t="n">
        <v>0.298</v>
      </c>
      <c r="M11" s="137" t="n">
        <v>-0.312</v>
      </c>
      <c r="N11" s="103" t="n">
        <v>0</v>
      </c>
      <c r="O11" s="136" t="n">
        <v>-0.202</v>
      </c>
      <c r="P11" s="62" t="n">
        <v>-0.332</v>
      </c>
      <c r="Q11" s="138" t="n">
        <v>0.13</v>
      </c>
      <c r="R11" s="2" t="n">
        <v>0</v>
      </c>
      <c r="S11" s="139" t="n">
        <v>0.4575</v>
      </c>
      <c r="T11" s="140"/>
      <c r="U11" s="141"/>
      <c r="V11" s="12" t="n">
        <v>1.58028615222039</v>
      </c>
      <c r="W11" s="12" t="n">
        <v>1.72013448427529</v>
      </c>
      <c r="X11" s="142" t="n">
        <v>1.44043782016549</v>
      </c>
      <c r="Y11" s="69"/>
      <c r="Z11" s="143" t="n">
        <v>0.2</v>
      </c>
      <c r="AA11" s="144" t="n">
        <v>-0.2</v>
      </c>
      <c r="AB11" s="145" t="n">
        <v>2.2577</v>
      </c>
      <c r="AC11" s="90" t="n">
        <v>2.46</v>
      </c>
      <c r="AD11" s="142" t="n">
        <v>2.06</v>
      </c>
      <c r="AE11" s="146" t="n">
        <v>1.51</v>
      </c>
      <c r="AF11" s="78" t="n">
        <v>1.542</v>
      </c>
      <c r="AG11" s="147" t="n">
        <v>1.642</v>
      </c>
      <c r="AH11" s="19"/>
      <c r="AI11" s="145" t="n">
        <v>1.44665</v>
      </c>
      <c r="AJ11" s="148" t="n">
        <v>0.048208085720155</v>
      </c>
      <c r="AK11" s="148" t="n">
        <v>0.0514102557</v>
      </c>
      <c r="AL11" s="39" t="n">
        <v>1</v>
      </c>
      <c r="AM11" s="149" t="n">
        <v>1</v>
      </c>
      <c r="AN11" s="129" t="n">
        <v>0</v>
      </c>
      <c r="AO11" s="150" t="n">
        <v>0.124</v>
      </c>
      <c r="AP11" s="22"/>
      <c r="AQ11" s="129" t="n">
        <v>-1.99780098849065</v>
      </c>
      <c r="AR11" s="151" t="n">
        <v>-1.72608714071104</v>
      </c>
      <c r="AS11" s="22"/>
      <c r="AT11" s="22"/>
      <c r="AU11" s="22"/>
      <c r="AV11" s="129" t="n">
        <v>0.005</v>
      </c>
      <c r="AW11" s="56"/>
      <c r="AX11" s="17"/>
      <c r="AY11" s="39"/>
      <c r="AZ11" s="25"/>
      <c r="BA11" s="25"/>
      <c r="BB11" s="25"/>
      <c r="BC11" s="96"/>
      <c r="BD11" s="39"/>
      <c r="BE11" s="22"/>
      <c r="BF11" s="96"/>
      <c r="BG11" s="22"/>
      <c r="BH11" s="71"/>
      <c r="BI11" s="71"/>
      <c r="BJ11" s="22"/>
      <c r="BK11" s="96"/>
      <c r="BL11" s="22"/>
      <c r="BM11" s="22"/>
      <c r="BN11" s="39"/>
      <c r="BO11" s="39"/>
      <c r="BP11" s="71"/>
      <c r="BQ11" s="22"/>
      <c r="BR11" s="71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</row>
    <row r="12" customFormat="false" ht="12.75" hidden="true" customHeight="false" outlineLevel="0" collapsed="false">
      <c r="A12" s="152" t="n">
        <v>36281</v>
      </c>
      <c r="B12" s="131" t="n">
        <v>2.348</v>
      </c>
      <c r="C12" s="153" t="n">
        <v>-0.455769166085201</v>
      </c>
      <c r="D12" s="154" t="n">
        <v>-0.419309997801679</v>
      </c>
      <c r="E12" s="154" t="n">
        <v>-0.546917086794006</v>
      </c>
      <c r="F12" s="155" t="n">
        <v>0</v>
      </c>
      <c r="G12" s="156" t="n">
        <v>0.09</v>
      </c>
      <c r="H12" s="156" t="n">
        <v>0.115</v>
      </c>
      <c r="I12" s="157" t="n">
        <v>0.1</v>
      </c>
      <c r="J12" s="156" t="n">
        <v>0.032</v>
      </c>
      <c r="K12" s="156" t="n">
        <v>0.072</v>
      </c>
      <c r="L12" s="156" t="n">
        <v>0.212</v>
      </c>
      <c r="M12" s="158" t="n">
        <v>-0.348</v>
      </c>
      <c r="N12" s="103" t="n">
        <v>0</v>
      </c>
      <c r="O12" s="157" t="n">
        <v>-0.258</v>
      </c>
      <c r="P12" s="159" t="n">
        <v>-0.398</v>
      </c>
      <c r="Q12" s="160" t="n">
        <v>0.17</v>
      </c>
      <c r="R12" s="161" t="n">
        <v>0.01</v>
      </c>
      <c r="S12" s="139" t="n">
        <v>0.555675</v>
      </c>
      <c r="T12" s="162"/>
      <c r="U12" s="163" t="n">
        <v>0.5975</v>
      </c>
      <c r="V12" s="164" t="n">
        <v>1.8922308339148</v>
      </c>
      <c r="W12" s="164" t="n">
        <v>1.92869000219832</v>
      </c>
      <c r="X12" s="165" t="n">
        <v>1.80108291320599</v>
      </c>
      <c r="Y12" s="159"/>
      <c r="Z12" s="166" t="n">
        <v>0.05</v>
      </c>
      <c r="AA12" s="144" t="n">
        <v>-0.125</v>
      </c>
      <c r="AB12" s="145" t="n">
        <v>2.595</v>
      </c>
      <c r="AC12" s="167" t="n">
        <v>2.645</v>
      </c>
      <c r="AD12" s="165" t="n">
        <v>2.47</v>
      </c>
      <c r="AE12" s="146" t="n">
        <v>1.95</v>
      </c>
      <c r="AF12" s="168" t="n">
        <v>2</v>
      </c>
      <c r="AG12" s="169" t="n">
        <v>2.09</v>
      </c>
      <c r="AH12" s="19"/>
      <c r="AI12" s="152" t="n">
        <v>1.47425</v>
      </c>
      <c r="AJ12" s="164" t="n">
        <v>0.0469976042016</v>
      </c>
      <c r="AK12" s="164" t="n">
        <v>0.050578951468342</v>
      </c>
      <c r="AL12" s="170" t="n">
        <v>1.00445028509864</v>
      </c>
      <c r="AM12" s="171" t="n">
        <v>1.00445028509864</v>
      </c>
      <c r="AN12" s="172" t="n">
        <v>0</v>
      </c>
      <c r="AO12" s="150" t="n">
        <v>0.12</v>
      </c>
      <c r="AP12" s="173"/>
      <c r="AQ12" s="172" t="n">
        <v>-0.455769166085201</v>
      </c>
      <c r="AR12" s="174" t="n">
        <v>0</v>
      </c>
      <c r="AS12" s="173"/>
      <c r="AT12" s="173"/>
      <c r="AU12" s="173"/>
      <c r="AV12" s="129" t="n">
        <v>0</v>
      </c>
      <c r="AW12" s="56"/>
      <c r="AX12" s="17"/>
      <c r="AY12" s="170"/>
      <c r="AZ12" s="175"/>
      <c r="BA12" s="175"/>
      <c r="BB12" s="175"/>
      <c r="BC12" s="176"/>
      <c r="BD12" s="170"/>
      <c r="BE12" s="173"/>
      <c r="BF12" s="176"/>
      <c r="BG12" s="173"/>
      <c r="BH12" s="177"/>
      <c r="BI12" s="177"/>
      <c r="BJ12" s="177"/>
      <c r="BK12" s="176"/>
      <c r="BL12" s="173"/>
      <c r="BM12" s="173"/>
      <c r="BN12" s="170"/>
      <c r="BO12" s="170"/>
      <c r="BP12" s="177"/>
      <c r="BQ12" s="173"/>
      <c r="BR12" s="177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  <c r="IO12" s="178"/>
      <c r="IP12" s="178"/>
      <c r="IQ12" s="178"/>
      <c r="IR12" s="178"/>
      <c r="IS12" s="178"/>
      <c r="IT12" s="178"/>
      <c r="IU12" s="178"/>
      <c r="IV12" s="178"/>
      <c r="IW12" s="178"/>
    </row>
    <row r="13" customFormat="false" ht="12.75" hidden="true" customHeight="false" outlineLevel="0" collapsed="false">
      <c r="A13" s="130" t="n">
        <v>36312</v>
      </c>
      <c r="B13" s="131" t="n">
        <v>2.226</v>
      </c>
      <c r="C13" s="132" t="n">
        <v>-0.265601708525542</v>
      </c>
      <c r="D13" s="133" t="n">
        <v>-0.247583341875961</v>
      </c>
      <c r="E13" s="179" t="n">
        <v>-0.35569354177345</v>
      </c>
      <c r="F13" s="158" t="n">
        <v>0.099</v>
      </c>
      <c r="G13" s="156" t="n">
        <v>0.082</v>
      </c>
      <c r="H13" s="156" t="n">
        <v>0.107</v>
      </c>
      <c r="I13" s="157" t="n">
        <v>0.084</v>
      </c>
      <c r="J13" s="156" t="n">
        <v>0.05</v>
      </c>
      <c r="K13" s="156" t="n">
        <v>0.084</v>
      </c>
      <c r="L13" s="156" t="n">
        <v>0.194</v>
      </c>
      <c r="M13" s="158" t="n">
        <v>-0.285</v>
      </c>
      <c r="N13" s="103" t="n">
        <v>0</v>
      </c>
      <c r="O13" s="157" t="n">
        <v>-0.15</v>
      </c>
      <c r="P13" s="159" t="n">
        <v>-0.316</v>
      </c>
      <c r="Q13" s="160" t="n">
        <v>0.2</v>
      </c>
      <c r="S13" s="139" t="n">
        <v>0</v>
      </c>
      <c r="T13" s="139"/>
      <c r="U13" s="163" t="n">
        <v>0.38</v>
      </c>
      <c r="V13" s="12" t="n">
        <v>1.96039829147446</v>
      </c>
      <c r="W13" s="12" t="n">
        <v>1.97841665812404</v>
      </c>
      <c r="X13" s="142" t="n">
        <v>1.87030645822655</v>
      </c>
      <c r="Y13" s="62"/>
      <c r="Z13" s="166" t="n">
        <v>0.025</v>
      </c>
      <c r="AA13" s="144" t="n">
        <v>-0.125</v>
      </c>
      <c r="AB13" s="145" t="n">
        <v>2.72</v>
      </c>
      <c r="AC13" s="90" t="n">
        <v>2.745</v>
      </c>
      <c r="AD13" s="142" t="n">
        <v>2.595</v>
      </c>
      <c r="AE13" s="146" t="n">
        <v>1.91</v>
      </c>
      <c r="AF13" s="78" t="n">
        <v>1.941</v>
      </c>
      <c r="AG13" s="147" t="n">
        <v>2.076</v>
      </c>
      <c r="AH13" s="19"/>
      <c r="AI13" s="152" t="n">
        <v>1.46325</v>
      </c>
      <c r="AJ13" s="35" t="n">
        <v>0.046501354316044</v>
      </c>
      <c r="AK13" s="35" t="n">
        <v>0.050221837532552</v>
      </c>
      <c r="AL13" s="39" t="n">
        <v>1.09995930464899</v>
      </c>
      <c r="AM13" s="149" t="n">
        <v>1.10827198358432</v>
      </c>
      <c r="AN13" s="129" t="n">
        <v>0</v>
      </c>
      <c r="AO13" s="150" t="n">
        <v>0.124</v>
      </c>
      <c r="AP13" s="22"/>
      <c r="AQ13" s="129" t="n">
        <v>-2.31609183324791</v>
      </c>
      <c r="AR13" s="151" t="n">
        <v>-2.05049012472237</v>
      </c>
      <c r="AS13" s="22"/>
      <c r="AT13" s="22"/>
      <c r="AU13" s="22"/>
      <c r="AV13" s="129" t="n">
        <v>0</v>
      </c>
      <c r="AW13" s="56"/>
      <c r="AX13" s="17"/>
      <c r="AY13" s="39" t="n">
        <v>1.25</v>
      </c>
      <c r="AZ13" s="25"/>
      <c r="BA13" s="25"/>
      <c r="BB13" s="25"/>
      <c r="BC13" s="96"/>
      <c r="BD13" s="39"/>
      <c r="BE13" s="22"/>
      <c r="BF13" s="96"/>
      <c r="BG13" s="22"/>
      <c r="BH13" s="71"/>
      <c r="BI13" s="71"/>
      <c r="BJ13" s="22"/>
      <c r="BK13" s="96"/>
      <c r="BL13" s="22"/>
      <c r="BM13" s="22"/>
      <c r="BN13" s="39"/>
      <c r="BO13" s="39"/>
      <c r="BP13" s="71"/>
      <c r="BQ13" s="22"/>
      <c r="BR13" s="71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</row>
    <row r="14" customFormat="false" ht="12.75" hidden="true" customHeight="false" outlineLevel="0" collapsed="false">
      <c r="A14" s="130" t="n">
        <v>36342</v>
      </c>
      <c r="B14" s="131" t="n">
        <v>2.262</v>
      </c>
      <c r="C14" s="132" t="n">
        <v>-0.243894002700726</v>
      </c>
      <c r="D14" s="133" t="n">
        <v>-0.225875199153411</v>
      </c>
      <c r="E14" s="179" t="n">
        <v>-0.380836909660319</v>
      </c>
      <c r="F14" s="158" t="n">
        <v>0.088</v>
      </c>
      <c r="G14" s="156" t="n">
        <v>0.058</v>
      </c>
      <c r="H14" s="156" t="n">
        <v>0.108</v>
      </c>
      <c r="I14" s="157" t="n">
        <v>0.103</v>
      </c>
      <c r="J14" s="156" t="n">
        <v>0.063</v>
      </c>
      <c r="K14" s="156" t="n">
        <v>0.083</v>
      </c>
      <c r="L14" s="156" t="n">
        <v>0.258</v>
      </c>
      <c r="M14" s="158" t="n">
        <v>-0.272</v>
      </c>
      <c r="N14" s="103" t="n">
        <v>0</v>
      </c>
      <c r="O14" s="157" t="n">
        <v>-0.087</v>
      </c>
      <c r="P14" s="159" t="n">
        <v>-0.322</v>
      </c>
      <c r="Q14" s="160" t="n">
        <v>0.08</v>
      </c>
      <c r="S14" s="139" t="n">
        <v>0.372</v>
      </c>
      <c r="T14" s="139"/>
      <c r="U14" s="163" t="n">
        <v>0.4</v>
      </c>
      <c r="V14" s="12" t="n">
        <v>2.01810599729927</v>
      </c>
      <c r="W14" s="12" t="n">
        <v>2.03612480084659</v>
      </c>
      <c r="X14" s="142" t="n">
        <v>1.88116309033968</v>
      </c>
      <c r="Y14" s="62" t="s">
        <v>78</v>
      </c>
      <c r="Z14" s="166" t="n">
        <v>0.025</v>
      </c>
      <c r="AA14" s="144" t="n">
        <v>-0.19</v>
      </c>
      <c r="AB14" s="145" t="n">
        <v>2.8</v>
      </c>
      <c r="AC14" s="90" t="n">
        <v>2.825</v>
      </c>
      <c r="AD14" s="142" t="n">
        <v>2.61</v>
      </c>
      <c r="AE14" s="146" t="n">
        <v>1.94</v>
      </c>
      <c r="AF14" s="78" t="n">
        <v>1.99</v>
      </c>
      <c r="AG14" s="147" t="n">
        <v>2.175</v>
      </c>
      <c r="AH14" s="19"/>
      <c r="AI14" s="152" t="n">
        <v>1.50425</v>
      </c>
      <c r="AJ14" s="35" t="n">
        <v>0.047496795</v>
      </c>
      <c r="AK14" s="35" t="n">
        <v>0.056583459</v>
      </c>
      <c r="AL14" s="39" t="n">
        <v>1.09793741983664</v>
      </c>
      <c r="AM14" s="149" t="n">
        <v>1.11746302528181</v>
      </c>
      <c r="AN14" s="129" t="n">
        <v>0</v>
      </c>
      <c r="AO14" s="150" t="n">
        <v>0.12</v>
      </c>
      <c r="AP14" s="22"/>
      <c r="AQ14" s="129" t="n">
        <v>-2.39520714641848</v>
      </c>
      <c r="AR14" s="151" t="n">
        <v>0</v>
      </c>
      <c r="AS14" s="22"/>
      <c r="AT14" s="22"/>
      <c r="AU14" s="22"/>
      <c r="AV14" s="129" t="n">
        <v>0</v>
      </c>
      <c r="AW14" s="56"/>
      <c r="AX14" s="17"/>
      <c r="AY14" s="39" t="n">
        <v>1.25</v>
      </c>
      <c r="AZ14" s="25"/>
      <c r="BA14" s="25"/>
      <c r="BB14" s="25"/>
      <c r="BC14" s="96"/>
      <c r="BD14" s="39"/>
      <c r="BE14" s="22"/>
      <c r="BF14" s="96"/>
      <c r="BG14" s="22"/>
      <c r="BH14" s="71"/>
      <c r="BI14" s="71"/>
      <c r="BJ14" s="22"/>
      <c r="BK14" s="96"/>
      <c r="BL14" s="22"/>
      <c r="BM14" s="22"/>
      <c r="BN14" s="39"/>
      <c r="BO14" s="39"/>
      <c r="BP14" s="71"/>
      <c r="BQ14" s="22"/>
      <c r="BR14" s="71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</row>
    <row r="15" customFormat="false" ht="12.75" hidden="true" customHeight="false" outlineLevel="0" collapsed="false">
      <c r="A15" s="130" t="n">
        <v>36373</v>
      </c>
      <c r="B15" s="131" t="n">
        <v>2.601</v>
      </c>
      <c r="C15" s="132" t="n">
        <v>-0.627386106236763</v>
      </c>
      <c r="D15" s="133" t="n">
        <v>-0.609858451762844</v>
      </c>
      <c r="E15" s="179" t="n">
        <v>-0.452109561497576</v>
      </c>
      <c r="F15" s="158" t="n">
        <v>0.039</v>
      </c>
      <c r="G15" s="156" t="n">
        <v>0.009</v>
      </c>
      <c r="H15" s="156" t="n">
        <v>0.064</v>
      </c>
      <c r="I15" s="157" t="n">
        <v>0.024</v>
      </c>
      <c r="J15" s="156" t="n">
        <v>0.084</v>
      </c>
      <c r="K15" s="156" t="n">
        <v>0.104</v>
      </c>
      <c r="L15" s="156" t="n">
        <v>0.33</v>
      </c>
      <c r="M15" s="158" t="n">
        <v>-0.425</v>
      </c>
      <c r="N15" s="103" t="n">
        <v>0</v>
      </c>
      <c r="O15" s="157" t="n">
        <v>-0.275</v>
      </c>
      <c r="P15" s="62" t="n">
        <v>-0.391</v>
      </c>
      <c r="Q15" s="160" t="n">
        <v>0.18</v>
      </c>
      <c r="S15" s="139" t="n">
        <v>0.6975</v>
      </c>
      <c r="T15" s="139"/>
      <c r="U15" s="163" t="n">
        <v>0.75</v>
      </c>
      <c r="V15" s="12" t="n">
        <v>1.97361389376324</v>
      </c>
      <c r="W15" s="12" t="n">
        <v>1.99114154823716</v>
      </c>
      <c r="X15" s="142" t="n">
        <v>2.14889043850242</v>
      </c>
      <c r="Y15" s="180" t="n">
        <v>4.98025</v>
      </c>
      <c r="Z15" s="166" t="n">
        <v>0.025</v>
      </c>
      <c r="AA15" s="144" t="n">
        <v>0.25</v>
      </c>
      <c r="AB15" s="145" t="n">
        <v>2.815</v>
      </c>
      <c r="AC15" s="90" t="n">
        <v>2.84</v>
      </c>
      <c r="AD15" s="142" t="n">
        <v>3.065</v>
      </c>
      <c r="AE15" s="146" t="n">
        <v>2.21</v>
      </c>
      <c r="AF15" s="78" t="n">
        <v>2.176</v>
      </c>
      <c r="AG15" s="147" t="n">
        <v>2.326</v>
      </c>
      <c r="AH15" s="181" t="n">
        <v>-0.35</v>
      </c>
      <c r="AI15" s="152" t="n">
        <v>1.49325</v>
      </c>
      <c r="AJ15" s="35" t="n">
        <v>0.048412219944185</v>
      </c>
      <c r="AK15" s="35" t="n">
        <v>0.052667831385669</v>
      </c>
      <c r="AL15" s="39" t="n">
        <v>0.999738100988648</v>
      </c>
      <c r="AM15" s="149" t="n">
        <v>0.999715379072754</v>
      </c>
      <c r="AN15" s="129" t="n">
        <v>0.019</v>
      </c>
      <c r="AO15" s="150" t="n">
        <v>0.12</v>
      </c>
      <c r="AP15" s="22"/>
      <c r="AQ15" s="129" t="n">
        <v>-0.630891637131546</v>
      </c>
      <c r="AR15" s="151" t="n">
        <v>-0.00350553089478378</v>
      </c>
      <c r="AS15" s="22"/>
      <c r="AT15" s="22"/>
      <c r="AU15" s="22"/>
      <c r="AV15" s="129" t="n">
        <v>0</v>
      </c>
      <c r="AW15" s="56"/>
      <c r="AX15" s="17"/>
      <c r="AY15" s="39" t="n">
        <v>1.25</v>
      </c>
      <c r="AZ15" s="25"/>
      <c r="BA15" s="25"/>
      <c r="BB15" s="25"/>
      <c r="BC15" s="96"/>
      <c r="BD15" s="39"/>
      <c r="BE15" s="22"/>
      <c r="BF15" s="96"/>
      <c r="BG15" s="22"/>
      <c r="BH15" s="71"/>
      <c r="BI15" s="71"/>
      <c r="BJ15" s="22"/>
      <c r="BK15" s="96"/>
      <c r="BL15" s="22"/>
      <c r="BM15" s="22"/>
      <c r="BN15" s="39"/>
      <c r="BO15" s="39"/>
      <c r="BP15" s="71"/>
      <c r="BQ15" s="22"/>
      <c r="BR15" s="71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</row>
    <row r="16" customFormat="false" ht="12.75" hidden="true" customHeight="false" outlineLevel="0" collapsed="false">
      <c r="A16" s="130" t="n">
        <v>36404</v>
      </c>
      <c r="B16" s="131" t="n">
        <v>2.912</v>
      </c>
      <c r="C16" s="132" t="n">
        <v>-0.560112581038585</v>
      </c>
      <c r="D16" s="133" t="n">
        <v>-0.54245576858392</v>
      </c>
      <c r="E16" s="179" t="n">
        <v>-0.482422606238057</v>
      </c>
      <c r="F16" s="158" t="n">
        <v>0.05</v>
      </c>
      <c r="G16" s="156" t="n">
        <v>0.03</v>
      </c>
      <c r="H16" s="156" t="n">
        <v>0.09</v>
      </c>
      <c r="I16" s="157" t="n">
        <v>0.05</v>
      </c>
      <c r="J16" s="156" t="n">
        <v>0.0225</v>
      </c>
      <c r="K16" s="156" t="n">
        <v>0.0475</v>
      </c>
      <c r="L16" s="156" t="n">
        <v>0.218</v>
      </c>
      <c r="M16" s="158" t="n">
        <v>-0.355</v>
      </c>
      <c r="N16" s="156" t="n">
        <v>0.005</v>
      </c>
      <c r="O16" s="157" t="n">
        <v>-0.255</v>
      </c>
      <c r="P16" s="62" t="n">
        <v>-0.412</v>
      </c>
      <c r="Q16" s="160" t="n">
        <v>0.0825</v>
      </c>
      <c r="R16" s="2" t="n">
        <v>0.37</v>
      </c>
      <c r="S16" s="139" t="n">
        <v>0.5115</v>
      </c>
      <c r="T16" s="139"/>
      <c r="U16" s="163" t="n">
        <v>0.55</v>
      </c>
      <c r="V16" s="12" t="n">
        <v>2.35188741896142</v>
      </c>
      <c r="W16" s="12" t="n">
        <v>2.36954423141608</v>
      </c>
      <c r="X16" s="142" t="n">
        <v>2.42957739376194</v>
      </c>
      <c r="Y16" s="180"/>
      <c r="Z16" s="166" t="n">
        <v>0.025</v>
      </c>
      <c r="AA16" s="144" t="n">
        <v>0.02</v>
      </c>
      <c r="AB16" s="145" t="n">
        <v>3.33</v>
      </c>
      <c r="AC16" s="90" t="n">
        <v>3.355</v>
      </c>
      <c r="AD16" s="142" t="n">
        <v>3.44</v>
      </c>
      <c r="AE16" s="146" t="n">
        <v>2.5</v>
      </c>
      <c r="AF16" s="78" t="n">
        <v>2.557</v>
      </c>
      <c r="AG16" s="147" t="n">
        <v>2.657</v>
      </c>
      <c r="AH16" s="181" t="n">
        <v>-0.285</v>
      </c>
      <c r="AI16" s="130" t="n">
        <v>1.4667</v>
      </c>
      <c r="AJ16" s="35" t="n">
        <v>0.048498679033737</v>
      </c>
      <c r="AK16" s="35" t="n">
        <v>0.057887780980724</v>
      </c>
      <c r="AL16" s="39" t="n">
        <v>1</v>
      </c>
      <c r="AM16" s="149" t="n">
        <v>1</v>
      </c>
      <c r="AN16" s="129" t="n">
        <v>0.03</v>
      </c>
      <c r="AO16" s="150" t="n">
        <v>0.124</v>
      </c>
      <c r="AP16" s="22"/>
      <c r="AQ16" s="129" t="n">
        <v>-2.89787455003627</v>
      </c>
      <c r="AR16" s="151" t="n">
        <v>-2.33776196899768</v>
      </c>
      <c r="AS16" s="22"/>
      <c r="AT16" s="22"/>
      <c r="AU16" s="22"/>
      <c r="AV16" s="129" t="n">
        <v>0</v>
      </c>
      <c r="AW16" s="56"/>
      <c r="AX16" s="17"/>
      <c r="AY16" s="39" t="n">
        <v>0.26</v>
      </c>
      <c r="AZ16" s="25"/>
      <c r="BA16" s="25"/>
      <c r="BB16" s="25"/>
      <c r="BC16" s="96"/>
      <c r="BD16" s="39"/>
      <c r="BE16" s="22"/>
      <c r="BF16" s="96"/>
      <c r="BG16" s="22"/>
      <c r="BH16" s="71"/>
      <c r="BI16" s="71"/>
      <c r="BJ16" s="22"/>
      <c r="BK16" s="96"/>
      <c r="BL16" s="22"/>
      <c r="BM16" s="22"/>
      <c r="BN16" s="39"/>
      <c r="BO16" s="39"/>
      <c r="BP16" s="71"/>
      <c r="BQ16" s="22"/>
      <c r="BR16" s="71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</row>
    <row r="17" customFormat="false" ht="12.75" hidden="true" customHeight="false" outlineLevel="0" collapsed="false">
      <c r="A17" s="130" t="n">
        <v>36434</v>
      </c>
      <c r="B17" s="131" t="n">
        <v>2.56</v>
      </c>
      <c r="C17" s="132" t="n">
        <v>-0.251820703645569</v>
      </c>
      <c r="D17" s="133" t="n">
        <v>-0.233844229374896</v>
      </c>
      <c r="E17" s="179" t="n">
        <v>-0.248225408791434</v>
      </c>
      <c r="F17" s="158" t="n">
        <v>0.06</v>
      </c>
      <c r="G17" s="156" t="n">
        <v>0.04</v>
      </c>
      <c r="H17" s="156" t="n">
        <v>0.075</v>
      </c>
      <c r="I17" s="157" t="n">
        <v>0.05</v>
      </c>
      <c r="J17" s="156" t="n">
        <v>0.05</v>
      </c>
      <c r="K17" s="156" t="n">
        <v>0.07</v>
      </c>
      <c r="L17" s="156" t="n">
        <v>0.25</v>
      </c>
      <c r="M17" s="158" t="n">
        <v>-0.19</v>
      </c>
      <c r="N17" s="156" t="n">
        <v>0.14</v>
      </c>
      <c r="O17" s="157" t="n">
        <v>-0.01</v>
      </c>
      <c r="P17" s="62" t="n">
        <v>-0.17</v>
      </c>
      <c r="Q17" s="160" t="n">
        <v>0.09</v>
      </c>
      <c r="R17" s="2" t="n">
        <v>0.34</v>
      </c>
      <c r="S17" s="139" t="n">
        <v>0.5487</v>
      </c>
      <c r="T17" s="139"/>
      <c r="U17" s="163" t="n">
        <v>0.59</v>
      </c>
      <c r="V17" s="12" t="n">
        <v>2.30817929635443</v>
      </c>
      <c r="W17" s="12" t="n">
        <v>2.3261557706251</v>
      </c>
      <c r="X17" s="142" t="n">
        <v>2.31177459120857</v>
      </c>
      <c r="Y17" s="180" t="n">
        <v>4.78235714285714</v>
      </c>
      <c r="Z17" s="166" t="n">
        <v>0.025</v>
      </c>
      <c r="AA17" s="144" t="n">
        <v>0.005</v>
      </c>
      <c r="AB17" s="145" t="n">
        <v>3.21</v>
      </c>
      <c r="AC17" s="90" t="n">
        <v>3.235</v>
      </c>
      <c r="AD17" s="142" t="n">
        <v>3.215</v>
      </c>
      <c r="AE17" s="146" t="n">
        <v>2.39</v>
      </c>
      <c r="AF17" s="78" t="n">
        <v>2.37</v>
      </c>
      <c r="AG17" s="147" t="n">
        <v>2.55</v>
      </c>
      <c r="AH17" s="181" t="n">
        <v>-0.21</v>
      </c>
      <c r="AI17" s="130" t="n">
        <v>1.4715</v>
      </c>
      <c r="AJ17" s="35" t="n">
        <v>0.047652980511766</v>
      </c>
      <c r="AK17" s="35" t="n">
        <v>0.057887780980724</v>
      </c>
      <c r="AL17" s="39" t="n">
        <v>0.999871071588364</v>
      </c>
      <c r="AM17" s="149" t="n">
        <v>0.999843774410248</v>
      </c>
      <c r="AN17" s="129" t="n">
        <v>0.04</v>
      </c>
      <c r="AO17" s="150" t="n">
        <v>0.12</v>
      </c>
      <c r="AP17" s="22"/>
      <c r="AQ17" s="129" t="n">
        <v>-2.55640470514587</v>
      </c>
      <c r="AR17" s="151" t="n">
        <v>-2.3045840015003</v>
      </c>
      <c r="AS17" s="22"/>
      <c r="AT17" s="22"/>
      <c r="AU17" s="22"/>
      <c r="AV17" s="129" t="n">
        <v>0</v>
      </c>
      <c r="AW17" s="56"/>
      <c r="AX17" s="17"/>
      <c r="AY17" s="39" t="n">
        <v>0.26</v>
      </c>
      <c r="AZ17" s="25"/>
      <c r="BA17" s="25"/>
      <c r="BB17" s="25"/>
      <c r="BC17" s="96"/>
      <c r="BD17" s="39"/>
      <c r="BE17" s="22"/>
      <c r="BF17" s="96"/>
      <c r="BG17" s="22"/>
      <c r="BH17" s="71"/>
      <c r="BI17" s="71"/>
      <c r="BJ17" s="22"/>
      <c r="BK17" s="96"/>
      <c r="BL17" s="22"/>
      <c r="BM17" s="22"/>
      <c r="BN17" s="39"/>
      <c r="BO17" s="39"/>
      <c r="BP17" s="71"/>
      <c r="BQ17" s="22"/>
      <c r="BR17" s="71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</row>
    <row r="18" customFormat="false" ht="12.75" hidden="true" customHeight="false" outlineLevel="0" collapsed="false">
      <c r="A18" s="130" t="n">
        <v>36465</v>
      </c>
      <c r="B18" s="131" t="n">
        <v>3.092</v>
      </c>
      <c r="C18" s="132" t="n">
        <v>-0.397070689696648</v>
      </c>
      <c r="D18" s="133" t="n">
        <v>-0.275225481518039</v>
      </c>
      <c r="E18" s="179" t="n">
        <v>-0.389903324509671</v>
      </c>
      <c r="F18" s="158" t="n">
        <v>0.038</v>
      </c>
      <c r="G18" s="156" t="n">
        <v>0.038</v>
      </c>
      <c r="H18" s="156" t="n">
        <v>0.068</v>
      </c>
      <c r="I18" s="157" t="n">
        <v>0.23</v>
      </c>
      <c r="J18" s="156" t="n">
        <v>0.12</v>
      </c>
      <c r="K18" s="156" t="n">
        <v>0.17</v>
      </c>
      <c r="L18" s="156" t="n">
        <v>0.478</v>
      </c>
      <c r="M18" s="158" t="n">
        <v>-0.22</v>
      </c>
      <c r="N18" s="156" t="n">
        <v>-0.01</v>
      </c>
      <c r="O18" s="157" t="n">
        <v>-0.08</v>
      </c>
      <c r="P18" s="62" t="n">
        <v>-0.172</v>
      </c>
      <c r="Q18" s="160" t="n">
        <v>0.18</v>
      </c>
      <c r="R18" s="2" t="n">
        <v>0.27</v>
      </c>
      <c r="S18" s="139" t="n">
        <v>0.6</v>
      </c>
      <c r="T18" s="139"/>
      <c r="U18" s="163" t="n">
        <v>0.6</v>
      </c>
      <c r="V18" s="12" t="n">
        <v>2.69492931030335</v>
      </c>
      <c r="W18" s="12" t="n">
        <v>2.81677451848196</v>
      </c>
      <c r="X18" s="142" t="n">
        <v>2.70209667549033</v>
      </c>
      <c r="Y18" s="180"/>
      <c r="Z18" s="166" t="n">
        <v>0.17</v>
      </c>
      <c r="AA18" s="144" t="n">
        <v>0.01</v>
      </c>
      <c r="AB18" s="145" t="n">
        <v>3.76</v>
      </c>
      <c r="AC18" s="90" t="n">
        <v>3.93</v>
      </c>
      <c r="AD18" s="142" t="n">
        <v>3.77</v>
      </c>
      <c r="AE18" s="182" t="n">
        <v>2.92</v>
      </c>
      <c r="AF18" s="78" t="n">
        <v>2.872</v>
      </c>
      <c r="AG18" s="147" t="n">
        <v>3.012</v>
      </c>
      <c r="AH18" s="181" t="n">
        <v>-0.23</v>
      </c>
      <c r="AI18" s="152" t="n">
        <v>1.47375</v>
      </c>
      <c r="AJ18" s="35" t="n">
        <v>0.047187618011464</v>
      </c>
      <c r="AK18" s="35" t="n">
        <v>0.054620350596712</v>
      </c>
      <c r="AL18" s="39" t="n">
        <v>0.999616996945023</v>
      </c>
      <c r="AM18" s="149" t="n">
        <v>0.999557487570607</v>
      </c>
      <c r="AN18" s="129" t="n">
        <v>0.038</v>
      </c>
      <c r="AO18" s="150" t="n">
        <v>0.124</v>
      </c>
      <c r="AP18" s="22"/>
      <c r="AQ18" s="129" t="n">
        <v>-3.08483263481302</v>
      </c>
      <c r="AR18" s="151" t="n">
        <v>-2.68776194511638</v>
      </c>
      <c r="AS18" s="22"/>
      <c r="AT18" s="22"/>
      <c r="AU18" s="22"/>
      <c r="AV18" s="129" t="n">
        <v>0.005</v>
      </c>
      <c r="AW18" s="56"/>
      <c r="AX18" s="17"/>
      <c r="AY18" s="39" t="n">
        <v>0.26</v>
      </c>
      <c r="AZ18" s="25"/>
      <c r="BA18" s="25"/>
      <c r="BB18" s="25"/>
      <c r="BC18" s="96"/>
      <c r="BD18" s="39"/>
      <c r="BE18" s="22"/>
      <c r="BF18" s="96"/>
      <c r="BG18" s="22"/>
      <c r="BH18" s="71"/>
      <c r="BI18" s="71"/>
      <c r="BJ18" s="22"/>
      <c r="BK18" s="96"/>
      <c r="BL18" s="22"/>
      <c r="BM18" s="22"/>
      <c r="BN18" s="39"/>
      <c r="BO18" s="39"/>
      <c r="BP18" s="71"/>
      <c r="BQ18" s="22"/>
      <c r="BR18" s="71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</row>
    <row r="19" customFormat="false" ht="12.75" hidden="true" customHeight="false" outlineLevel="0" collapsed="false">
      <c r="A19" s="130" t="n">
        <v>36495</v>
      </c>
      <c r="B19" s="131" t="n">
        <v>2.12</v>
      </c>
      <c r="C19" s="153" t="n">
        <v>0.1345</v>
      </c>
      <c r="D19" s="154" t="n">
        <v>-0.0073</v>
      </c>
      <c r="E19" s="133" t="n">
        <v>-0.1129</v>
      </c>
      <c r="F19" s="158" t="n">
        <v>0.14</v>
      </c>
      <c r="G19" s="156" t="n">
        <v>0.16</v>
      </c>
      <c r="H19" s="156" t="n">
        <v>0.17</v>
      </c>
      <c r="I19" s="157" t="n">
        <v>0.2</v>
      </c>
      <c r="J19" s="156" t="n">
        <v>0.07</v>
      </c>
      <c r="K19" s="156" t="n">
        <v>0.125</v>
      </c>
      <c r="L19" s="156" t="n">
        <v>0.53</v>
      </c>
      <c r="M19" s="158" t="n">
        <v>-0.03</v>
      </c>
      <c r="N19" s="156" t="n">
        <v>0.235</v>
      </c>
      <c r="O19" s="157" t="n">
        <v>0.195</v>
      </c>
      <c r="P19" s="183" t="n">
        <v>0.16</v>
      </c>
      <c r="Q19" s="160" t="n">
        <v>0.15</v>
      </c>
      <c r="R19" s="81" t="n">
        <v>0.3</v>
      </c>
      <c r="S19" s="139" t="n">
        <v>0.8475</v>
      </c>
      <c r="T19" s="139" t="n">
        <v>0.85</v>
      </c>
      <c r="U19" s="184" t="n">
        <v>0.8475</v>
      </c>
      <c r="V19" s="12" t="n">
        <v>2.2545</v>
      </c>
      <c r="W19" s="12" t="n">
        <v>2.1127</v>
      </c>
      <c r="X19" s="142" t="n">
        <v>2.0071</v>
      </c>
      <c r="Y19" s="159"/>
      <c r="Z19" s="166" t="n">
        <v>-0.1982</v>
      </c>
      <c r="AA19" s="144" t="n">
        <v>-0.3457</v>
      </c>
      <c r="AB19" s="152" t="n">
        <v>3.1502</v>
      </c>
      <c r="AC19" s="90" t="n">
        <v>2.952</v>
      </c>
      <c r="AD19" s="142" t="n">
        <v>2.8045</v>
      </c>
      <c r="AE19" s="182" t="n">
        <v>2.28</v>
      </c>
      <c r="AF19" s="168" t="n">
        <v>2.09</v>
      </c>
      <c r="AG19" s="169" t="n">
        <v>2.315</v>
      </c>
      <c r="AH19" s="185" t="n">
        <v>-0.045</v>
      </c>
      <c r="AI19" s="130" t="n">
        <v>1.4539</v>
      </c>
      <c r="AJ19" s="186" t="n">
        <v>0.049413468787229</v>
      </c>
      <c r="AK19" s="186" t="n">
        <v>0.056583459452</v>
      </c>
      <c r="AL19" s="39" t="n">
        <v>0.999866366444527</v>
      </c>
      <c r="AM19" s="149" t="n">
        <v>0.999847245559706</v>
      </c>
      <c r="AN19" s="129" t="n">
        <v>0.16</v>
      </c>
      <c r="AO19" s="150" t="n">
        <v>0.12</v>
      </c>
      <c r="AP19" s="22"/>
      <c r="AQ19" s="129" t="n">
        <v>-2.12</v>
      </c>
      <c r="AR19" s="151" t="n">
        <v>-2.25418203901467</v>
      </c>
      <c r="AS19" s="22"/>
      <c r="AT19" s="22"/>
      <c r="AU19" s="22"/>
      <c r="AV19" s="129" t="n">
        <v>0.005</v>
      </c>
      <c r="AW19" s="187"/>
      <c r="AX19" s="39"/>
      <c r="AY19" s="56" t="n">
        <v>0.26</v>
      </c>
      <c r="AZ19" s="188"/>
      <c r="BA19" s="189"/>
      <c r="BB19" s="189"/>
      <c r="BC19" s="190"/>
      <c r="BD19" s="39"/>
      <c r="BE19" s="22"/>
      <c r="BF19" s="96"/>
      <c r="BG19" s="22"/>
      <c r="BH19" s="71"/>
      <c r="BI19" s="71"/>
      <c r="BJ19" s="22"/>
      <c r="BK19" s="96"/>
      <c r="BL19" s="22"/>
      <c r="BM19" s="22"/>
      <c r="BN19" s="39"/>
      <c r="BO19" s="39"/>
      <c r="BP19" s="71"/>
      <c r="BQ19" s="22"/>
      <c r="BR19" s="71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</row>
    <row r="20" customFormat="false" ht="12.75" hidden="true" customHeight="false" outlineLevel="0" collapsed="false">
      <c r="A20" s="130" t="n">
        <v>36526</v>
      </c>
      <c r="B20" s="131" t="n">
        <v>2.344</v>
      </c>
      <c r="C20" s="153" t="n">
        <v>-0.185960497879161</v>
      </c>
      <c r="D20" s="154" t="n">
        <v>-0.124302226389994</v>
      </c>
      <c r="E20" s="133" t="n">
        <v>-0.185960497879161</v>
      </c>
      <c r="F20" s="158" t="n">
        <v>0.065</v>
      </c>
      <c r="G20" s="156" t="n">
        <v>0.13</v>
      </c>
      <c r="H20" s="156" t="n">
        <v>0.13</v>
      </c>
      <c r="I20" s="157" t="n">
        <v>0.21</v>
      </c>
      <c r="J20" s="156" t="n">
        <v>0.09</v>
      </c>
      <c r="K20" s="156" t="n">
        <v>0.06</v>
      </c>
      <c r="L20" s="156" t="n">
        <v>1.356</v>
      </c>
      <c r="M20" s="158" t="n">
        <v>-0.164</v>
      </c>
      <c r="N20" s="156" t="n">
        <v>0.031</v>
      </c>
      <c r="O20" s="157" t="n">
        <v>-0.024</v>
      </c>
      <c r="P20" s="183" t="n">
        <v>-0.031</v>
      </c>
      <c r="Q20" s="160" t="n">
        <v>0.135</v>
      </c>
      <c r="R20" s="81" t="n">
        <v>0.43</v>
      </c>
      <c r="S20" s="139" t="n">
        <v>0.4</v>
      </c>
      <c r="T20" s="139" t="n">
        <v>0.9</v>
      </c>
      <c r="U20" s="184" t="n">
        <v>0.4</v>
      </c>
      <c r="V20" s="12" t="n">
        <v>2.15803950212084</v>
      </c>
      <c r="W20" s="12" t="n">
        <v>2.21969777361001</v>
      </c>
      <c r="X20" s="142" t="n">
        <v>2.15803950212084</v>
      </c>
      <c r="Y20" s="159"/>
      <c r="Z20" s="166" t="n">
        <v>0.085</v>
      </c>
      <c r="AA20" s="144" t="n">
        <v>0</v>
      </c>
      <c r="AB20" s="152" t="n">
        <v>2.975</v>
      </c>
      <c r="AC20" s="90" t="n">
        <v>3.06</v>
      </c>
      <c r="AD20" s="142" t="n">
        <v>2.975</v>
      </c>
      <c r="AE20" s="182" t="n">
        <v>2.313</v>
      </c>
      <c r="AF20" s="168" t="n">
        <v>2.18</v>
      </c>
      <c r="AG20" s="169" t="n">
        <v>2.32</v>
      </c>
      <c r="AH20" s="185" t="n">
        <v>-0.164</v>
      </c>
      <c r="AI20" s="130" t="n">
        <v>1.4465</v>
      </c>
      <c r="AJ20" s="186" t="n">
        <v>0.050961877278977</v>
      </c>
      <c r="AK20" s="186" t="n">
        <v>0.056580830843126</v>
      </c>
      <c r="AL20" s="39" t="n">
        <v>0.999724481921282</v>
      </c>
      <c r="AM20" s="149" t="n">
        <v>0.99969452844653</v>
      </c>
      <c r="AN20" s="129" t="n">
        <v>0.13</v>
      </c>
      <c r="AO20" s="150" t="n">
        <v>0.12</v>
      </c>
      <c r="AP20" s="22"/>
      <c r="AQ20" s="129" t="n">
        <v>-2.344</v>
      </c>
      <c r="AR20" s="151" t="n">
        <v>-2.15803950212084</v>
      </c>
      <c r="AS20" s="22"/>
      <c r="AT20" s="22"/>
      <c r="AU20" s="22"/>
      <c r="AV20" s="129" t="n">
        <v>0.005</v>
      </c>
      <c r="AW20" s="187"/>
      <c r="AX20" s="39"/>
      <c r="AY20" s="56"/>
      <c r="AZ20" s="188"/>
      <c r="BA20" s="189"/>
      <c r="BB20" s="189"/>
      <c r="BC20" s="190"/>
      <c r="BD20" s="39"/>
      <c r="BE20" s="22"/>
      <c r="BF20" s="96"/>
      <c r="BG20" s="22"/>
      <c r="BH20" s="71"/>
      <c r="BI20" s="71"/>
      <c r="BJ20" s="22"/>
      <c r="BK20" s="96"/>
      <c r="BL20" s="22"/>
      <c r="BM20" s="22"/>
      <c r="BN20" s="39"/>
      <c r="BO20" s="39"/>
      <c r="BP20" s="71"/>
      <c r="BQ20" s="22"/>
      <c r="BR20" s="71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</row>
    <row r="21" customFormat="false" ht="12.75" hidden="true" customHeight="false" outlineLevel="0" collapsed="false">
      <c r="A21" s="130" t="n">
        <v>36557</v>
      </c>
      <c r="B21" s="131" t="n">
        <v>2.61</v>
      </c>
      <c r="C21" s="153" t="n">
        <v>-0.473747019582304</v>
      </c>
      <c r="D21" s="154" t="n">
        <v>-0.41177381025278</v>
      </c>
      <c r="E21" s="133" t="n">
        <v>-0.473747019582304</v>
      </c>
      <c r="F21" s="158" t="n">
        <v>0.02</v>
      </c>
      <c r="G21" s="156" t="n">
        <v>0.13</v>
      </c>
      <c r="H21" s="156" t="n">
        <v>0.13</v>
      </c>
      <c r="I21" s="157" t="n">
        <v>0.28</v>
      </c>
      <c r="J21" s="156" t="n">
        <v>0.08</v>
      </c>
      <c r="K21" s="156" t="n">
        <v>0.06</v>
      </c>
      <c r="L21" s="156" t="n">
        <v>2.8</v>
      </c>
      <c r="M21" s="158" t="n">
        <v>-0.26</v>
      </c>
      <c r="N21" s="156" t="n">
        <v>-0.07</v>
      </c>
      <c r="O21" s="157" t="n">
        <v>-0.12</v>
      </c>
      <c r="P21" s="183" t="n">
        <v>-0.25</v>
      </c>
      <c r="Q21" s="160" t="n">
        <v>0.1</v>
      </c>
      <c r="R21" s="81" t="n">
        <v>0.5</v>
      </c>
      <c r="S21" s="139" t="n">
        <v>0.6</v>
      </c>
      <c r="T21" s="139" t="n">
        <v>0.785</v>
      </c>
      <c r="U21" s="184" t="n">
        <v>0.6</v>
      </c>
      <c r="V21" s="12" t="n">
        <v>2.1362529804177</v>
      </c>
      <c r="W21" s="12" t="n">
        <v>2.19822618974722</v>
      </c>
      <c r="X21" s="142" t="n">
        <v>2.1362529804177</v>
      </c>
      <c r="Y21" s="159" t="s">
        <v>79</v>
      </c>
      <c r="Z21" s="166" t="n">
        <v>0.085</v>
      </c>
      <c r="AA21" s="144" t="n">
        <v>0</v>
      </c>
      <c r="AB21" s="152" t="n">
        <v>2.93</v>
      </c>
      <c r="AC21" s="90" t="n">
        <v>3.015</v>
      </c>
      <c r="AD21" s="142" t="n">
        <v>2.93</v>
      </c>
      <c r="AE21" s="182" t="n">
        <v>2.35</v>
      </c>
      <c r="AF21" s="168" t="n">
        <v>2.35</v>
      </c>
      <c r="AG21" s="169" t="n">
        <v>2.49</v>
      </c>
      <c r="AH21" s="185" t="n">
        <v>-0.26</v>
      </c>
      <c r="AI21" s="130" t="n">
        <v>1.4515</v>
      </c>
      <c r="AJ21" s="186" t="n">
        <v>0.051585864383055</v>
      </c>
      <c r="AK21" s="186" t="n">
        <v>0.059845805981008</v>
      </c>
      <c r="AL21" s="39" t="n">
        <v>0.999860566020772</v>
      </c>
      <c r="AM21" s="149" t="n">
        <v>0.999838567731252</v>
      </c>
      <c r="AN21" s="129" t="n">
        <v>0.13</v>
      </c>
      <c r="AO21" s="150" t="n">
        <v>0.133</v>
      </c>
      <c r="AP21" s="22"/>
      <c r="AQ21" s="129" t="n">
        <v>-2.61</v>
      </c>
      <c r="AR21" s="151" t="n">
        <v>-2.1362529804177</v>
      </c>
      <c r="AS21" s="22"/>
      <c r="AT21" s="22"/>
      <c r="AU21" s="22"/>
      <c r="AV21" s="129" t="n">
        <v>0.005</v>
      </c>
      <c r="AW21" s="187"/>
      <c r="AX21" s="39"/>
      <c r="AY21" s="56"/>
      <c r="AZ21" s="188"/>
      <c r="BA21" s="189"/>
      <c r="BB21" s="189"/>
      <c r="BC21" s="190"/>
      <c r="BD21" s="39"/>
      <c r="BE21" s="22"/>
      <c r="BF21" s="96"/>
      <c r="BG21" s="22"/>
      <c r="BH21" s="71"/>
      <c r="BI21" s="71"/>
      <c r="BJ21" s="22"/>
      <c r="BK21" s="96"/>
      <c r="BL21" s="22"/>
      <c r="BM21" s="22"/>
      <c r="BN21" s="39"/>
      <c r="BO21" s="39"/>
      <c r="BP21" s="71"/>
      <c r="BQ21" s="22"/>
      <c r="BR21" s="71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</row>
    <row r="22" customFormat="false" ht="12.75" hidden="true" customHeight="false" outlineLevel="0" collapsed="false">
      <c r="A22" s="130" t="n">
        <v>36586</v>
      </c>
      <c r="B22" s="131" t="n">
        <v>2.603</v>
      </c>
      <c r="C22" s="153" t="n">
        <v>-0.325157226018561</v>
      </c>
      <c r="D22" s="154" t="n">
        <v>-0.263397533582063</v>
      </c>
      <c r="E22" s="133" t="n">
        <v>-0.38328399537056</v>
      </c>
      <c r="F22" s="158" t="n">
        <v>0.177</v>
      </c>
      <c r="G22" s="156" t="n">
        <v>0.197</v>
      </c>
      <c r="H22" s="156" t="n">
        <v>0.197</v>
      </c>
      <c r="I22" s="157" t="n">
        <v>0.217</v>
      </c>
      <c r="J22" s="156" t="n">
        <v>0.057</v>
      </c>
      <c r="K22" s="156" t="n">
        <v>0.087</v>
      </c>
      <c r="L22" s="156" t="n">
        <v>0.48</v>
      </c>
      <c r="M22" s="158" t="n">
        <v>-0.235</v>
      </c>
      <c r="N22" s="156" t="n">
        <v>-0.018</v>
      </c>
      <c r="O22" s="157" t="n">
        <v>-0.14</v>
      </c>
      <c r="P22" s="183" t="n">
        <v>-0.293</v>
      </c>
      <c r="Q22" s="160" t="n">
        <v>0.13</v>
      </c>
      <c r="R22" s="81" t="n">
        <v>0.4</v>
      </c>
      <c r="S22" s="139" t="n">
        <v>0.4</v>
      </c>
      <c r="T22" s="139" t="n">
        <v>0.52</v>
      </c>
      <c r="U22" s="184" t="n">
        <v>0.4</v>
      </c>
      <c r="V22" s="12" t="n">
        <v>2.27784277398144</v>
      </c>
      <c r="W22" s="12" t="n">
        <v>2.33960246641794</v>
      </c>
      <c r="X22" s="142" t="n">
        <v>2.21971600462944</v>
      </c>
      <c r="Y22" s="159" t="n">
        <v>0.065</v>
      </c>
      <c r="Z22" s="166" t="n">
        <v>0.085</v>
      </c>
      <c r="AA22" s="144" t="n">
        <v>-0.08</v>
      </c>
      <c r="AB22" s="152" t="n">
        <v>3.135</v>
      </c>
      <c r="AC22" s="90" t="n">
        <v>3.22</v>
      </c>
      <c r="AD22" s="142" t="n">
        <v>3.055</v>
      </c>
      <c r="AE22" s="182" t="n">
        <v>2.31</v>
      </c>
      <c r="AF22" s="168" t="n">
        <v>2.368</v>
      </c>
      <c r="AG22" s="169" t="n">
        <v>2.463</v>
      </c>
      <c r="AH22" s="185" t="n">
        <v>-0.215</v>
      </c>
      <c r="AI22" s="130" t="n">
        <v>1.4488</v>
      </c>
      <c r="AJ22" s="186" t="n">
        <v>0.051160082072492</v>
      </c>
      <c r="AK22" s="186" t="n">
        <v>0.059192925200601</v>
      </c>
      <c r="AL22" s="39" t="n">
        <v>0.999861702397798</v>
      </c>
      <c r="AM22" s="149" t="n">
        <v>0.999840303284892</v>
      </c>
      <c r="AN22" s="129" t="n">
        <v>0.197</v>
      </c>
      <c r="AO22" s="150" t="n">
        <v>0.12</v>
      </c>
      <c r="AP22" s="22"/>
      <c r="AQ22" s="129" t="n">
        <v>-2.661126769352</v>
      </c>
      <c r="AR22" s="151" t="n">
        <v>-2.33596954333344</v>
      </c>
      <c r="AS22" s="22"/>
      <c r="AT22" s="22"/>
      <c r="AU22" s="22"/>
      <c r="AV22" s="129" t="n">
        <v>0.005</v>
      </c>
      <c r="AW22" s="187"/>
      <c r="AX22" s="39"/>
      <c r="AY22" s="56"/>
      <c r="AZ22" s="188"/>
      <c r="BA22" s="189"/>
      <c r="BB22" s="189"/>
      <c r="BC22" s="190"/>
      <c r="BD22" s="39"/>
      <c r="BE22" s="22"/>
      <c r="BF22" s="96"/>
      <c r="BG22" s="22"/>
      <c r="BH22" s="71"/>
      <c r="BI22" s="71"/>
      <c r="BJ22" s="22"/>
      <c r="BK22" s="96"/>
      <c r="BL22" s="22"/>
      <c r="BM22" s="22"/>
      <c r="BN22" s="39"/>
      <c r="BO22" s="39"/>
      <c r="BP22" s="71"/>
      <c r="BQ22" s="22"/>
      <c r="BR22" s="71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</row>
    <row r="23" customFormat="false" ht="12.75" hidden="true" customHeight="false" outlineLevel="0" collapsed="false">
      <c r="A23" s="130" t="n">
        <v>36617</v>
      </c>
      <c r="B23" s="131" t="n">
        <v>2.9</v>
      </c>
      <c r="C23" s="153" t="n">
        <v>-0.283054088764111</v>
      </c>
      <c r="D23" s="154" t="n">
        <v>-0.19570123498155</v>
      </c>
      <c r="E23" s="133" t="n">
        <v>-0.3383775628264</v>
      </c>
      <c r="F23" s="158" t="n">
        <v>0.16</v>
      </c>
      <c r="G23" s="156" t="n">
        <v>0.17</v>
      </c>
      <c r="H23" s="156" t="n">
        <v>0.17</v>
      </c>
      <c r="I23" s="157" t="n">
        <v>0.18</v>
      </c>
      <c r="J23" s="156" t="n">
        <v>0.04</v>
      </c>
      <c r="K23" s="156" t="n">
        <v>0.1</v>
      </c>
      <c r="L23" s="156" t="n">
        <v>0.22</v>
      </c>
      <c r="M23" s="158" t="n">
        <v>-0.19</v>
      </c>
      <c r="N23" s="156" t="n">
        <v>0.12</v>
      </c>
      <c r="O23" s="157" t="n">
        <v>0.005</v>
      </c>
      <c r="P23" s="183" t="n">
        <v>-0.17</v>
      </c>
      <c r="Q23" s="160" t="n">
        <v>0.11</v>
      </c>
      <c r="R23" s="81" t="n">
        <v>0.4464</v>
      </c>
      <c r="S23" s="139" t="n">
        <v>0.45</v>
      </c>
      <c r="T23" s="139" t="n">
        <v>0.4</v>
      </c>
      <c r="U23" s="184" t="n">
        <v>0.45</v>
      </c>
      <c r="V23" s="12" t="n">
        <v>2.61694591123589</v>
      </c>
      <c r="W23" s="12" t="n">
        <v>2.70429876501845</v>
      </c>
      <c r="X23" s="142" t="n">
        <v>2.5616224371736</v>
      </c>
      <c r="Y23" s="159"/>
      <c r="Z23" s="166" t="n">
        <v>0.12</v>
      </c>
      <c r="AA23" s="144" t="n">
        <v>-0.076</v>
      </c>
      <c r="AB23" s="152" t="n">
        <v>3.595</v>
      </c>
      <c r="AC23" s="90" t="n">
        <v>3.715</v>
      </c>
      <c r="AD23" s="142" t="n">
        <v>3.519</v>
      </c>
      <c r="AE23" s="182" t="n">
        <v>2.71</v>
      </c>
      <c r="AF23" s="168" t="n">
        <v>2.71</v>
      </c>
      <c r="AG23" s="169" t="n">
        <v>2.905</v>
      </c>
      <c r="AH23" s="185" t="n">
        <v>-0.14</v>
      </c>
      <c r="AI23" s="152" t="n">
        <v>1.4795</v>
      </c>
      <c r="AJ23" s="186" t="n">
        <v>0.054147093725843</v>
      </c>
      <c r="AK23" s="186" t="n">
        <v>0.063102397517172</v>
      </c>
      <c r="AL23" s="39" t="n">
        <v>1</v>
      </c>
      <c r="AM23" s="149" t="n">
        <v>1</v>
      </c>
      <c r="AN23" s="129" t="n">
        <v>0.17</v>
      </c>
      <c r="AO23" s="150" t="n">
        <v>0.124</v>
      </c>
      <c r="AP23" s="22"/>
      <c r="AQ23" s="129" t="n">
        <v>-2.95532347406229</v>
      </c>
      <c r="AR23" s="151" t="n">
        <v>-2.67226938529818</v>
      </c>
      <c r="AS23" s="22"/>
      <c r="AT23" s="22" t="n">
        <v>0.3364</v>
      </c>
      <c r="AU23" s="22"/>
      <c r="AV23" s="129" t="n">
        <v>0</v>
      </c>
      <c r="AW23" s="187"/>
      <c r="AX23" s="39"/>
      <c r="AY23" s="56"/>
      <c r="AZ23" s="188"/>
      <c r="BA23" s="189"/>
      <c r="BB23" s="189"/>
      <c r="BC23" s="190"/>
      <c r="BD23" s="39"/>
      <c r="BE23" s="22"/>
      <c r="BF23" s="96"/>
      <c r="BG23" s="22"/>
      <c r="BH23" s="71"/>
      <c r="BI23" s="71"/>
      <c r="BJ23" s="22"/>
      <c r="BK23" s="96"/>
      <c r="BL23" s="22"/>
      <c r="BM23" s="22"/>
      <c r="BN23" s="39"/>
      <c r="BO23" s="39"/>
      <c r="BP23" s="71"/>
      <c r="BQ23" s="22"/>
      <c r="BR23" s="71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</row>
    <row r="24" customFormat="false" ht="12.75" hidden="true" customHeight="false" outlineLevel="0" collapsed="false">
      <c r="A24" s="152" t="n">
        <v>36647</v>
      </c>
      <c r="B24" s="131" t="n">
        <v>3.089</v>
      </c>
      <c r="C24" s="153" t="n">
        <v>-0.363749932705249</v>
      </c>
      <c r="D24" s="154" t="n">
        <v>-0.349555921938089</v>
      </c>
      <c r="E24" s="154" t="n">
        <v>-0.484399024226111</v>
      </c>
      <c r="F24" s="158" t="n">
        <v>0.16</v>
      </c>
      <c r="G24" s="156" t="n">
        <v>0.17</v>
      </c>
      <c r="H24" s="156" t="n">
        <v>0.17</v>
      </c>
      <c r="I24" s="157" t="n">
        <v>0.181</v>
      </c>
      <c r="J24" s="156" t="n">
        <v>0.031</v>
      </c>
      <c r="K24" s="156" t="n">
        <v>0.141</v>
      </c>
      <c r="L24" s="156" t="n">
        <v>0.321</v>
      </c>
      <c r="M24" s="158" t="n">
        <v>-0.369</v>
      </c>
      <c r="N24" s="156" t="n">
        <v>-0.059</v>
      </c>
      <c r="O24" s="157" t="n">
        <v>-0.149</v>
      </c>
      <c r="P24" s="183" t="n">
        <v>-0.349</v>
      </c>
      <c r="Q24" s="160" t="n">
        <v>0.18</v>
      </c>
      <c r="R24" s="191" t="n">
        <v>0.23</v>
      </c>
      <c r="S24" s="139" t="n">
        <v>0.2</v>
      </c>
      <c r="T24" s="139" t="n">
        <v>0.335</v>
      </c>
      <c r="U24" s="184" t="n">
        <v>0.2</v>
      </c>
      <c r="V24" s="164" t="n">
        <v>2.72525006729475</v>
      </c>
      <c r="W24" s="164" t="n">
        <v>2.73944407806191</v>
      </c>
      <c r="X24" s="165" t="n">
        <v>2.60460097577389</v>
      </c>
      <c r="Y24" s="183"/>
      <c r="Z24" s="166" t="n">
        <v>0.02</v>
      </c>
      <c r="AA24" s="144" t="n">
        <v>-0.17</v>
      </c>
      <c r="AB24" s="152" t="n">
        <v>3.84</v>
      </c>
      <c r="AC24" s="167" t="n">
        <v>3.86</v>
      </c>
      <c r="AD24" s="165" t="n">
        <v>3.67</v>
      </c>
      <c r="AE24" s="192" t="n">
        <v>2.74</v>
      </c>
      <c r="AF24" s="168" t="n">
        <v>2.72</v>
      </c>
      <c r="AG24" s="169" t="n">
        <v>2.94</v>
      </c>
      <c r="AH24" s="181" t="n">
        <v>-0.309</v>
      </c>
      <c r="AI24" s="152" t="n">
        <v>1.4965</v>
      </c>
      <c r="AJ24" s="186" t="n">
        <v>0.054646687663194</v>
      </c>
      <c r="AK24" s="186" t="n">
        <v>0.061795229083421</v>
      </c>
      <c r="AL24" s="170" t="n">
        <v>1</v>
      </c>
      <c r="AM24" s="171" t="n">
        <v>1</v>
      </c>
      <c r="AN24" s="172" t="e">
        <f aca="false">NA()</f>
        <v>#N/A</v>
      </c>
      <c r="AO24" s="150" t="n">
        <v>0.12</v>
      </c>
      <c r="AP24" s="173"/>
      <c r="AQ24" s="172" t="n">
        <v>-3.20880257266956</v>
      </c>
      <c r="AR24" s="174" t="n">
        <v>-2.84505263996431</v>
      </c>
      <c r="AS24" s="173"/>
      <c r="AT24" s="81" t="n">
        <v>0.05</v>
      </c>
      <c r="AU24" s="173"/>
      <c r="AV24" s="172" t="n">
        <v>0</v>
      </c>
      <c r="AW24" s="193"/>
      <c r="AX24" s="170"/>
      <c r="AY24" s="170"/>
      <c r="AZ24" s="175"/>
      <c r="BA24" s="194"/>
      <c r="BB24" s="194"/>
      <c r="BC24" s="195"/>
      <c r="BD24" s="170"/>
      <c r="BE24" s="173"/>
      <c r="BF24" s="176"/>
      <c r="BG24" s="173"/>
      <c r="BH24" s="177"/>
      <c r="BI24" s="177"/>
      <c r="BJ24" s="173"/>
      <c r="BK24" s="176"/>
      <c r="BL24" s="173"/>
      <c r="BM24" s="173"/>
      <c r="BN24" s="170"/>
      <c r="BO24" s="170"/>
      <c r="BP24" s="177"/>
      <c r="BQ24" s="173"/>
      <c r="BR24" s="177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  <c r="IW24" s="178"/>
    </row>
    <row r="25" customFormat="false" ht="12.75" hidden="true" customHeight="false" outlineLevel="0" collapsed="false">
      <c r="A25" s="152" t="n">
        <v>36678</v>
      </c>
      <c r="B25" s="131" t="n">
        <v>4.406</v>
      </c>
      <c r="C25" s="196" t="n">
        <v>-1.19810700386545</v>
      </c>
      <c r="D25" s="154" t="n">
        <v>-0.9160944327767</v>
      </c>
      <c r="E25" s="154" t="n">
        <v>-1.2545095180832</v>
      </c>
      <c r="F25" s="158" t="n">
        <v>0.095</v>
      </c>
      <c r="G25" s="156" t="n">
        <v>0.095</v>
      </c>
      <c r="H25" s="156" t="n">
        <v>0.11</v>
      </c>
      <c r="I25" s="157" t="n">
        <v>0.095</v>
      </c>
      <c r="J25" s="156" t="n">
        <v>0.06</v>
      </c>
      <c r="K25" s="156" t="n">
        <v>0.135</v>
      </c>
      <c r="L25" s="156" t="n">
        <v>0.35</v>
      </c>
      <c r="M25" s="158" t="n">
        <v>-0.756</v>
      </c>
      <c r="N25" s="156" t="n">
        <v>-0.066</v>
      </c>
      <c r="O25" s="157" t="n">
        <v>-0.466</v>
      </c>
      <c r="P25" s="183" t="n">
        <v>-0.766</v>
      </c>
      <c r="Q25" s="160" t="n">
        <v>0.15</v>
      </c>
      <c r="R25" s="191" t="n">
        <v>0.525</v>
      </c>
      <c r="S25" s="139" t="n">
        <v>0.45</v>
      </c>
      <c r="T25" s="139" t="n">
        <v>0.515</v>
      </c>
      <c r="U25" s="184" t="n">
        <v>0.45</v>
      </c>
      <c r="V25" s="164" t="n">
        <v>3.20789299613455</v>
      </c>
      <c r="W25" s="164" t="n">
        <v>3.4899055672233</v>
      </c>
      <c r="X25" s="165" t="n">
        <v>3.1514904819168</v>
      </c>
      <c r="Y25" s="159"/>
      <c r="Z25" s="166" t="n">
        <v>0.4</v>
      </c>
      <c r="AA25" s="144" t="n">
        <v>-0.08</v>
      </c>
      <c r="AB25" s="152" t="n">
        <v>4.55</v>
      </c>
      <c r="AC25" s="167" t="n">
        <v>4.95</v>
      </c>
      <c r="AD25" s="165" t="n">
        <v>4.47</v>
      </c>
      <c r="AE25" s="192" t="n">
        <v>3.64</v>
      </c>
      <c r="AF25" s="168" t="n">
        <v>3.65</v>
      </c>
      <c r="AG25" s="169" t="n">
        <v>3.94</v>
      </c>
      <c r="AH25" s="181" t="n">
        <v>-0.516</v>
      </c>
      <c r="AI25" s="152" t="n">
        <v>1.4795</v>
      </c>
      <c r="AJ25" s="164" t="n">
        <v>0.058638838318261</v>
      </c>
      <c r="AK25" s="164" t="n">
        <v>0.067041095957372</v>
      </c>
      <c r="AL25" s="170" t="n">
        <v>1</v>
      </c>
      <c r="AM25" s="171" t="n">
        <v>1</v>
      </c>
      <c r="AN25" s="172" t="n">
        <v>0.095</v>
      </c>
      <c r="AO25" s="150" t="n">
        <v>0.124</v>
      </c>
      <c r="AP25" s="173"/>
      <c r="AQ25" s="172" t="n">
        <v>-4.46237893868359</v>
      </c>
      <c r="AR25" s="174" t="n">
        <v>-3.26427193481814</v>
      </c>
      <c r="AS25" s="173"/>
      <c r="AT25" s="81" t="n">
        <v>0.375</v>
      </c>
      <c r="AU25" s="173"/>
      <c r="AV25" s="172" t="n">
        <v>0</v>
      </c>
      <c r="AW25" s="193"/>
      <c r="AX25" s="170"/>
      <c r="AY25" s="170"/>
      <c r="AZ25" s="175"/>
      <c r="BA25" s="194"/>
      <c r="BB25" s="194"/>
      <c r="BC25" s="195"/>
      <c r="BD25" s="170"/>
      <c r="BE25" s="173"/>
      <c r="BF25" s="176"/>
      <c r="BG25" s="173"/>
      <c r="BH25" s="177"/>
      <c r="BI25" s="177"/>
      <c r="BJ25" s="173"/>
      <c r="BK25" s="176"/>
      <c r="BL25" s="173"/>
      <c r="BM25" s="173"/>
      <c r="BN25" s="170"/>
      <c r="BO25" s="170"/>
      <c r="BP25" s="177"/>
      <c r="BQ25" s="173"/>
      <c r="BR25" s="177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  <c r="IW25" s="178"/>
    </row>
    <row r="26" customFormat="false" ht="12.75" hidden="true" customHeight="false" outlineLevel="0" collapsed="false">
      <c r="A26" s="152" t="n">
        <v>36708</v>
      </c>
      <c r="B26" s="131" t="n">
        <v>4.369</v>
      </c>
      <c r="C26" s="153" t="n">
        <v>-0.6421</v>
      </c>
      <c r="D26" s="133" t="n">
        <v>-0.591896680392948</v>
      </c>
      <c r="E26" s="154" t="n">
        <v>-0.4585</v>
      </c>
      <c r="F26" s="158" t="n">
        <v>0.06</v>
      </c>
      <c r="G26" s="156" t="n">
        <v>0.05</v>
      </c>
      <c r="H26" s="156" t="n">
        <v>0.095</v>
      </c>
      <c r="I26" s="157" t="n">
        <v>0.081</v>
      </c>
      <c r="J26" s="156" t="n">
        <v>0.0609999999999999</v>
      </c>
      <c r="K26" s="156" t="n">
        <v>0.0809999999999999</v>
      </c>
      <c r="L26" s="156" t="n">
        <v>0.561</v>
      </c>
      <c r="M26" s="158" t="n">
        <v>-0.449</v>
      </c>
      <c r="N26" s="156" t="n">
        <v>0.541</v>
      </c>
      <c r="O26" s="157" t="n">
        <v>0.101</v>
      </c>
      <c r="P26" s="183" t="n">
        <v>-0.299</v>
      </c>
      <c r="Q26" s="160" t="n">
        <v>0.2</v>
      </c>
      <c r="R26" s="197" t="n">
        <v>0.6</v>
      </c>
      <c r="S26" s="139" t="n">
        <v>0.6</v>
      </c>
      <c r="T26" s="139" t="n">
        <v>0.545</v>
      </c>
      <c r="U26" s="184" t="n">
        <v>0.6</v>
      </c>
      <c r="V26" s="164" t="n">
        <v>3.7269</v>
      </c>
      <c r="W26" s="164" t="n">
        <v>3.7220011424733</v>
      </c>
      <c r="X26" s="165" t="n">
        <v>3.9105</v>
      </c>
      <c r="Y26" s="183"/>
      <c r="Z26" s="166" t="n">
        <v>0.0788000000000002</v>
      </c>
      <c r="AA26" s="144" t="n">
        <v>0.2582</v>
      </c>
      <c r="AB26" s="198" t="n">
        <v>5.2418</v>
      </c>
      <c r="AC26" s="90" t="n">
        <v>5.3206</v>
      </c>
      <c r="AD26" s="165" t="n">
        <v>5.5</v>
      </c>
      <c r="AE26" s="192" t="n">
        <v>4.07</v>
      </c>
      <c r="AF26" s="168" t="n">
        <v>3.92</v>
      </c>
      <c r="AG26" s="169" t="n">
        <v>4.47</v>
      </c>
      <c r="AH26" s="181" t="n">
        <v>-0.249</v>
      </c>
      <c r="AI26" s="152" t="n">
        <v>1.4862</v>
      </c>
      <c r="AJ26" s="164" t="n">
        <v>0.059132950169177</v>
      </c>
      <c r="AK26" s="164" t="n">
        <v>0.067028795515919</v>
      </c>
      <c r="AL26" s="170" t="n">
        <v>1</v>
      </c>
      <c r="AM26" s="171" t="n">
        <v>1</v>
      </c>
      <c r="AN26" s="172" t="n">
        <v>0.05</v>
      </c>
      <c r="AO26" s="150" t="n">
        <v>0.12</v>
      </c>
      <c r="AP26" s="173"/>
      <c r="AQ26" s="172" t="n">
        <v>-4.18608766507691</v>
      </c>
      <c r="AR26" s="174" t="n">
        <v>-3.54398766507691</v>
      </c>
      <c r="AS26" s="173"/>
      <c r="AT26" s="81" t="n">
        <v>0.1335</v>
      </c>
      <c r="AU26" s="173"/>
      <c r="AV26" s="172" t="n">
        <v>0.015</v>
      </c>
      <c r="AW26" s="193"/>
      <c r="AX26" s="170"/>
      <c r="AY26" s="170"/>
      <c r="AZ26" s="175"/>
      <c r="BA26" s="194"/>
      <c r="BB26" s="194"/>
      <c r="BC26" s="195"/>
      <c r="BD26" s="170"/>
      <c r="BE26" s="173"/>
      <c r="BF26" s="176"/>
      <c r="BG26" s="173"/>
      <c r="BH26" s="177"/>
      <c r="BI26" s="177"/>
      <c r="BJ26" s="173"/>
      <c r="BK26" s="176"/>
      <c r="BL26" s="173"/>
      <c r="BM26" s="173"/>
      <c r="BN26" s="170"/>
      <c r="BO26" s="170"/>
      <c r="BP26" s="177"/>
      <c r="BQ26" s="173"/>
      <c r="BR26" s="177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8"/>
      <c r="CI26" s="178"/>
      <c r="CJ26" s="178"/>
      <c r="CK26" s="178"/>
      <c r="CL26" s="178"/>
      <c r="CM26" s="178"/>
      <c r="CN26" s="178"/>
      <c r="CO26" s="178"/>
      <c r="CP26" s="178"/>
      <c r="CQ26" s="178"/>
      <c r="CR26" s="178"/>
      <c r="CS26" s="178"/>
      <c r="CT26" s="178"/>
      <c r="CU26" s="178"/>
      <c r="CV26" s="178"/>
      <c r="CW26" s="178"/>
      <c r="CX26" s="178"/>
      <c r="CY26" s="178"/>
      <c r="CZ26" s="178"/>
      <c r="DA26" s="178"/>
      <c r="DB26" s="178"/>
      <c r="DC26" s="178"/>
      <c r="DD26" s="178"/>
      <c r="DE26" s="178"/>
      <c r="DF26" s="178"/>
      <c r="DG26" s="178"/>
      <c r="DH26" s="178"/>
      <c r="DI26" s="178"/>
      <c r="DJ26" s="178"/>
      <c r="DK26" s="178"/>
      <c r="DL26" s="178"/>
      <c r="DM26" s="178"/>
      <c r="DN26" s="178"/>
      <c r="DO26" s="178"/>
      <c r="DP26" s="178"/>
      <c r="DQ26" s="178"/>
      <c r="DR26" s="178"/>
      <c r="DS26" s="178"/>
      <c r="DT26" s="178"/>
      <c r="DU26" s="178"/>
      <c r="DV26" s="178"/>
      <c r="DW26" s="178"/>
      <c r="DX26" s="178"/>
      <c r="DY26" s="178"/>
      <c r="DZ26" s="178"/>
      <c r="EA26" s="178"/>
      <c r="EB26" s="178"/>
      <c r="EC26" s="178"/>
      <c r="ED26" s="178"/>
      <c r="EE26" s="178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8"/>
      <c r="EQ26" s="178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8"/>
      <c r="FC26" s="178"/>
      <c r="FD26" s="178"/>
      <c r="FE26" s="178"/>
      <c r="FF26" s="178"/>
      <c r="FG26" s="178"/>
      <c r="FH26" s="178"/>
      <c r="FI26" s="178"/>
      <c r="FJ26" s="178"/>
      <c r="FK26" s="178"/>
      <c r="FL26" s="178"/>
      <c r="FM26" s="178"/>
      <c r="FN26" s="178"/>
      <c r="FO26" s="178"/>
      <c r="FP26" s="178"/>
      <c r="FQ26" s="178"/>
      <c r="FR26" s="178"/>
      <c r="FS26" s="178"/>
      <c r="FT26" s="178"/>
      <c r="FU26" s="178"/>
      <c r="FV26" s="178"/>
      <c r="FW26" s="178"/>
      <c r="FX26" s="178"/>
      <c r="FY26" s="178"/>
      <c r="FZ26" s="178"/>
      <c r="GA26" s="178"/>
      <c r="GB26" s="178"/>
      <c r="GC26" s="178"/>
      <c r="GD26" s="178"/>
      <c r="GE26" s="178"/>
      <c r="GF26" s="178"/>
      <c r="GG26" s="178"/>
      <c r="GH26" s="178"/>
      <c r="GI26" s="178"/>
      <c r="GJ26" s="178"/>
      <c r="GK26" s="178"/>
      <c r="GL26" s="178"/>
      <c r="GM26" s="178"/>
      <c r="GN26" s="178"/>
      <c r="GO26" s="178"/>
      <c r="GP26" s="178"/>
      <c r="GQ26" s="178"/>
      <c r="GR26" s="178"/>
      <c r="GS26" s="178"/>
      <c r="GT26" s="178"/>
      <c r="GU26" s="178"/>
      <c r="GV26" s="178"/>
      <c r="GW26" s="178"/>
      <c r="GX26" s="178"/>
      <c r="GY26" s="178"/>
      <c r="GZ26" s="178"/>
      <c r="HA26" s="178"/>
      <c r="HB26" s="178"/>
      <c r="HC26" s="178"/>
      <c r="HD26" s="178"/>
      <c r="HE26" s="178"/>
      <c r="HF26" s="178"/>
      <c r="HG26" s="178"/>
      <c r="HH26" s="178"/>
      <c r="HI26" s="178"/>
      <c r="HJ26" s="178"/>
      <c r="HK26" s="178"/>
      <c r="HL26" s="178"/>
      <c r="HM26" s="178"/>
      <c r="HN26" s="178"/>
      <c r="HO26" s="178"/>
      <c r="HP26" s="178"/>
      <c r="HQ26" s="178"/>
      <c r="HR26" s="178"/>
      <c r="HS26" s="178"/>
      <c r="HT26" s="178"/>
      <c r="HU26" s="178"/>
      <c r="HV26" s="178"/>
      <c r="HW26" s="178"/>
      <c r="HX26" s="178"/>
      <c r="HY26" s="178"/>
      <c r="HZ26" s="178"/>
      <c r="IA26" s="178"/>
      <c r="IB26" s="178"/>
      <c r="IC26" s="178"/>
      <c r="ID26" s="178"/>
      <c r="IE26" s="178"/>
      <c r="IF26" s="178"/>
      <c r="IG26" s="178"/>
      <c r="IH26" s="178"/>
      <c r="II26" s="178"/>
      <c r="IJ26" s="178"/>
      <c r="IK26" s="178"/>
      <c r="IL26" s="178"/>
      <c r="IM26" s="178"/>
      <c r="IN26" s="178"/>
      <c r="IO26" s="178"/>
      <c r="IP26" s="178"/>
      <c r="IQ26" s="178"/>
      <c r="IR26" s="178"/>
      <c r="IS26" s="178"/>
      <c r="IT26" s="178"/>
      <c r="IU26" s="178"/>
      <c r="IV26" s="178"/>
      <c r="IW26" s="178"/>
    </row>
    <row r="27" customFormat="false" ht="12.75" hidden="true" customHeight="false" outlineLevel="0" collapsed="false">
      <c r="A27" s="145" t="n">
        <v>36739</v>
      </c>
      <c r="B27" s="199" t="n">
        <v>3.82</v>
      </c>
      <c r="C27" s="153" t="n">
        <v>-0.547283200453201</v>
      </c>
      <c r="D27" s="154" t="n">
        <v>-0.533084862928053</v>
      </c>
      <c r="E27" s="154" t="n">
        <v>-0.604076550553796</v>
      </c>
      <c r="F27" s="137" t="n">
        <v>0.095</v>
      </c>
      <c r="G27" s="135" t="n">
        <v>0.09</v>
      </c>
      <c r="H27" s="135" t="n">
        <v>0</v>
      </c>
      <c r="I27" s="136" t="n">
        <v>0.1</v>
      </c>
      <c r="J27" s="135" t="n">
        <v>0.075</v>
      </c>
      <c r="K27" s="135" t="n">
        <v>0.115</v>
      </c>
      <c r="L27" s="135" t="n">
        <v>0.4</v>
      </c>
      <c r="M27" s="137" t="n">
        <v>-0.73</v>
      </c>
      <c r="N27" s="135" t="n">
        <v>0.72</v>
      </c>
      <c r="O27" s="136" t="n">
        <v>0.14</v>
      </c>
      <c r="P27" s="200" t="n">
        <v>-0.78</v>
      </c>
      <c r="Q27" s="138" t="n">
        <v>0.17</v>
      </c>
      <c r="R27" s="201" t="n">
        <v>0.65</v>
      </c>
      <c r="S27" s="202" t="n">
        <v>0.65</v>
      </c>
      <c r="T27" s="202" t="n">
        <v>0.525</v>
      </c>
      <c r="U27" s="203" t="n">
        <v>0.65</v>
      </c>
      <c r="V27" s="148" t="n">
        <v>3.2727167995468</v>
      </c>
      <c r="W27" s="148" t="n">
        <v>3.28691513707195</v>
      </c>
      <c r="X27" s="204" t="n">
        <v>3.2159234494462</v>
      </c>
      <c r="Y27" s="205" t="s">
        <v>80</v>
      </c>
      <c r="Z27" s="143" t="n">
        <v>0.02</v>
      </c>
      <c r="AA27" s="206" t="n">
        <v>-0.08</v>
      </c>
      <c r="AB27" s="207" t="n">
        <v>4.61</v>
      </c>
      <c r="AC27" s="208" t="n">
        <v>4.63</v>
      </c>
      <c r="AD27" s="204" t="n">
        <v>4.53</v>
      </c>
      <c r="AE27" s="209" t="n">
        <v>3.04</v>
      </c>
      <c r="AF27" s="210" t="n">
        <v>3.09</v>
      </c>
      <c r="AG27" s="211" t="n">
        <v>3.96</v>
      </c>
      <c r="AH27" s="212" t="n">
        <v>-0.32</v>
      </c>
      <c r="AI27" s="152" t="n">
        <v>1.4712</v>
      </c>
      <c r="AJ27" s="164" t="n">
        <v>0.059020182001896</v>
      </c>
      <c r="AK27" s="164" t="n">
        <v>0.067041095957372</v>
      </c>
      <c r="AL27" s="39" t="n">
        <v>1.00494895890411</v>
      </c>
      <c r="AM27" s="149" t="n">
        <v>1.00561240785754</v>
      </c>
      <c r="AN27" s="129" t="n">
        <v>0.09</v>
      </c>
      <c r="AO27" s="150" t="n">
        <v>0.12</v>
      </c>
      <c r="AP27" s="22"/>
      <c r="AQ27" s="129" t="n">
        <v>-3.87734719956498</v>
      </c>
      <c r="AR27" s="151" t="n">
        <v>-3.33006399911178</v>
      </c>
      <c r="AS27" s="22"/>
      <c r="AT27" s="5" t="n">
        <v>0.0721</v>
      </c>
      <c r="AU27" s="22"/>
      <c r="AV27" s="129" t="n">
        <v>0.01</v>
      </c>
      <c r="AW27" s="187"/>
      <c r="AX27" s="39"/>
      <c r="AY27" s="39"/>
      <c r="AZ27" s="25"/>
      <c r="BA27" s="189"/>
      <c r="BB27" s="189"/>
      <c r="BC27" s="190"/>
      <c r="BD27" s="39"/>
      <c r="BE27" s="22"/>
      <c r="BF27" s="96"/>
      <c r="BG27" s="22"/>
      <c r="BH27" s="71"/>
      <c r="BI27" s="71"/>
      <c r="BJ27" s="22"/>
      <c r="BK27" s="96"/>
      <c r="BL27" s="22"/>
      <c r="BM27" s="22"/>
      <c r="BN27" s="39"/>
      <c r="BO27" s="39"/>
      <c r="BP27" s="71"/>
      <c r="BQ27" s="22"/>
      <c r="BR27" s="71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</row>
    <row r="28" customFormat="false" ht="12.75" hidden="true" customHeight="false" outlineLevel="0" collapsed="false">
      <c r="A28" s="145" t="n">
        <v>36770</v>
      </c>
      <c r="B28" s="199" t="n">
        <v>4.618</v>
      </c>
      <c r="C28" s="153" t="n">
        <v>-0.9846</v>
      </c>
      <c r="D28" s="154" t="n">
        <v>-0.974852496609977</v>
      </c>
      <c r="E28" s="154" t="n">
        <v>-1.04656799864521</v>
      </c>
      <c r="F28" s="137" t="n">
        <v>0.212</v>
      </c>
      <c r="G28" s="135" t="n">
        <v>0.207</v>
      </c>
      <c r="H28" s="135" t="n">
        <v>0.2395</v>
      </c>
      <c r="I28" s="136" t="n">
        <v>0.17</v>
      </c>
      <c r="J28" s="135" t="n">
        <v>0.05199999</v>
      </c>
      <c r="K28" s="135" t="n">
        <v>0.112</v>
      </c>
      <c r="L28" s="135" t="n">
        <v>0.32</v>
      </c>
      <c r="M28" s="213" t="n">
        <v>-1.208</v>
      </c>
      <c r="N28" s="135" t="n">
        <v>2.605</v>
      </c>
      <c r="O28" s="136" t="n">
        <v>1.335</v>
      </c>
      <c r="P28" s="200" t="n">
        <v>-1.168</v>
      </c>
      <c r="Q28" s="138" t="n">
        <v>0.085</v>
      </c>
      <c r="R28" s="81" t="n">
        <v>0.4</v>
      </c>
      <c r="S28" s="202" t="n">
        <v>0.4</v>
      </c>
      <c r="T28" s="202" t="n">
        <v>0.54</v>
      </c>
      <c r="U28" s="203" t="n">
        <v>0.4</v>
      </c>
      <c r="V28" s="148" t="n">
        <v>3.6334</v>
      </c>
      <c r="W28" s="148" t="n">
        <v>3.6757</v>
      </c>
      <c r="X28" s="204" t="n">
        <v>3.3581</v>
      </c>
      <c r="Y28" s="214" t="n">
        <v>5.41349478129941</v>
      </c>
      <c r="Z28" s="143" t="n">
        <v>0.02</v>
      </c>
      <c r="AA28" s="206" t="n">
        <v>-0.08</v>
      </c>
      <c r="AB28" s="207" t="n">
        <v>5.0744</v>
      </c>
      <c r="AC28" s="208" t="n">
        <v>5.1335</v>
      </c>
      <c r="AD28" s="204" t="n">
        <v>4.69</v>
      </c>
      <c r="AE28" s="209" t="n">
        <v>3.45</v>
      </c>
      <c r="AF28" s="210" t="n">
        <v>3.41</v>
      </c>
      <c r="AG28" s="211" t="n">
        <v>5.953</v>
      </c>
      <c r="AH28" s="212" t="n">
        <v>-1.205</v>
      </c>
      <c r="AI28" s="152" t="n">
        <v>1.503</v>
      </c>
      <c r="AJ28" s="164" t="n">
        <v>1</v>
      </c>
      <c r="AK28" s="164" t="n">
        <v>1</v>
      </c>
      <c r="AL28" s="39" t="n">
        <v>1</v>
      </c>
      <c r="AM28" s="149" t="n">
        <v>1</v>
      </c>
      <c r="AN28" s="129" t="n">
        <v>0.207</v>
      </c>
      <c r="AO28" s="150" t="n">
        <v>0.124</v>
      </c>
      <c r="AP28" s="22"/>
      <c r="AQ28" s="129" t="n">
        <v>-4.67534842069342</v>
      </c>
      <c r="AR28" s="151" t="n">
        <v>-3.68615282367639</v>
      </c>
      <c r="AS28" s="22"/>
      <c r="AT28" s="5" t="n">
        <v>0.0503</v>
      </c>
      <c r="AU28" s="22"/>
      <c r="AV28" s="129" t="n">
        <v>0.01</v>
      </c>
      <c r="AW28" s="187"/>
      <c r="AX28" s="39"/>
      <c r="AY28" s="39"/>
      <c r="AZ28" s="175" t="n">
        <v>0</v>
      </c>
      <c r="BA28" s="189" t="n">
        <v>0.3</v>
      </c>
      <c r="BB28" s="189"/>
      <c r="BC28" s="190"/>
      <c r="BD28" s="39"/>
      <c r="BE28" s="22"/>
      <c r="BF28" s="96"/>
      <c r="BG28" s="22"/>
      <c r="BH28" s="71"/>
      <c r="BI28" s="71"/>
      <c r="BJ28" s="22"/>
      <c r="BK28" s="96"/>
      <c r="BL28" s="22"/>
      <c r="BM28" s="22"/>
      <c r="BN28" s="39"/>
      <c r="BO28" s="39"/>
      <c r="BP28" s="71"/>
      <c r="BQ28" s="22"/>
      <c r="BR28" s="71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</row>
    <row r="29" customFormat="false" ht="12.75" hidden="true" customHeight="false" outlineLevel="0" collapsed="false">
      <c r="A29" s="145" t="n">
        <v>36800</v>
      </c>
      <c r="B29" s="199" t="n">
        <v>5.312</v>
      </c>
      <c r="C29" s="153" t="n">
        <v>-0.725</v>
      </c>
      <c r="D29" s="154" t="n">
        <v>-0.6914</v>
      </c>
      <c r="E29" s="154" t="n">
        <v>-0.6593</v>
      </c>
      <c r="F29" s="137" t="n">
        <v>0.075</v>
      </c>
      <c r="G29" s="135" t="n">
        <v>0.07</v>
      </c>
      <c r="H29" s="135" t="n">
        <v>0.095</v>
      </c>
      <c r="I29" s="136" t="n">
        <v>0.21</v>
      </c>
      <c r="J29" s="135" t="n">
        <v>0.11</v>
      </c>
      <c r="K29" s="135" t="n">
        <v>0.22</v>
      </c>
      <c r="L29" s="135" t="n">
        <v>0.448</v>
      </c>
      <c r="M29" s="213" t="n">
        <v>-1.022</v>
      </c>
      <c r="N29" s="135" t="n">
        <v>0.258</v>
      </c>
      <c r="O29" s="136" t="n">
        <v>-0.012</v>
      </c>
      <c r="P29" s="200" t="n">
        <v>-0.432</v>
      </c>
      <c r="Q29" s="138" t="n">
        <v>0.19</v>
      </c>
      <c r="R29" s="81" t="n">
        <v>0.45</v>
      </c>
      <c r="S29" s="202" t="n">
        <v>0.45</v>
      </c>
      <c r="T29" s="202" t="n">
        <v>0.505</v>
      </c>
      <c r="U29" s="203" t="n">
        <v>0.45</v>
      </c>
      <c r="V29" s="148" t="n">
        <v>4.587</v>
      </c>
      <c r="W29" s="148" t="n">
        <v>4.6206</v>
      </c>
      <c r="X29" s="204" t="n">
        <v>4.6527</v>
      </c>
      <c r="Y29" s="214" t="n">
        <v>7.0115</v>
      </c>
      <c r="Z29" s="143" t="n">
        <v>0.02</v>
      </c>
      <c r="AA29" s="206" t="n">
        <v>-0.07</v>
      </c>
      <c r="AB29" s="207" t="n">
        <v>6.5653</v>
      </c>
      <c r="AC29" s="208" t="n">
        <v>6.6135</v>
      </c>
      <c r="AD29" s="204" t="n">
        <v>6.6594</v>
      </c>
      <c r="AE29" s="209" t="n">
        <v>4.88</v>
      </c>
      <c r="AF29" s="210" t="n">
        <v>4.29</v>
      </c>
      <c r="AG29" s="211" t="n">
        <v>5.3</v>
      </c>
      <c r="AH29" s="212" t="n">
        <v>-0.782</v>
      </c>
      <c r="AI29" s="152" t="n">
        <v>1.522</v>
      </c>
      <c r="AJ29" s="164" t="n">
        <v>1</v>
      </c>
      <c r="AK29" s="164" t="n">
        <v>1</v>
      </c>
      <c r="AL29" s="39" t="n">
        <v>1</v>
      </c>
      <c r="AM29" s="149" t="n">
        <v>1</v>
      </c>
      <c r="AN29" s="129" t="n">
        <v>0.07</v>
      </c>
      <c r="AO29" s="150" t="n">
        <v>0.12</v>
      </c>
      <c r="AP29" s="22"/>
      <c r="AQ29" s="129" t="n">
        <v>-5.36088296252152</v>
      </c>
      <c r="AR29" s="151" t="n">
        <v>-4.64696404952738</v>
      </c>
      <c r="AS29" s="22"/>
      <c r="AT29" s="5" t="n">
        <v>0.0384</v>
      </c>
      <c r="AU29" s="22"/>
      <c r="AV29" s="129" t="n">
        <v>0.01</v>
      </c>
      <c r="AW29" s="187"/>
      <c r="AX29" s="39"/>
      <c r="AY29" s="39"/>
      <c r="AZ29" s="215" t="n">
        <v>0.505</v>
      </c>
      <c r="BA29" s="215" t="n">
        <v>0.505</v>
      </c>
      <c r="BB29" s="194" t="n">
        <v>-0.725</v>
      </c>
      <c r="BC29" s="190"/>
      <c r="BD29" s="39"/>
      <c r="BE29" s="22"/>
      <c r="BF29" s="96"/>
      <c r="BG29" s="22"/>
      <c r="BH29" s="71"/>
      <c r="BI29" s="71"/>
      <c r="BJ29" s="22"/>
      <c r="BK29" s="96"/>
      <c r="BL29" s="22"/>
      <c r="BM29" s="22"/>
      <c r="BN29" s="39"/>
      <c r="BO29" s="39"/>
      <c r="BP29" s="71"/>
      <c r="BQ29" s="22"/>
      <c r="BR29" s="71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</row>
    <row r="30" customFormat="false" ht="12.75" hidden="false" customHeight="false" outlineLevel="0" collapsed="false">
      <c r="A30" s="216" t="n">
        <v>36831</v>
      </c>
      <c r="B30" s="217" t="n">
        <v>4.541</v>
      </c>
      <c r="C30" s="218" t="n">
        <v>0.1229</v>
      </c>
      <c r="D30" s="133" t="n">
        <v>-0.176</v>
      </c>
      <c r="E30" s="133" t="n">
        <v>-0.159000000000001</v>
      </c>
      <c r="F30" s="158" t="n">
        <v>0.069</v>
      </c>
      <c r="G30" s="156" t="n">
        <v>0.069</v>
      </c>
      <c r="H30" s="156" t="n">
        <v>0.119</v>
      </c>
      <c r="I30" s="157" t="n">
        <v>0.2989999</v>
      </c>
      <c r="J30" s="156" t="n">
        <v>0.069</v>
      </c>
      <c r="K30" s="156" t="n">
        <v>0.189</v>
      </c>
      <c r="L30" s="156" t="n">
        <v>0.559</v>
      </c>
      <c r="M30" s="219" t="n">
        <v>-0.191000000000001</v>
      </c>
      <c r="N30" s="156" t="n">
        <v>0.639</v>
      </c>
      <c r="O30" s="157" t="n">
        <v>0.529</v>
      </c>
      <c r="P30" s="200" t="n">
        <v>0.289</v>
      </c>
      <c r="Q30" s="160" t="n">
        <v>0.2575</v>
      </c>
      <c r="R30" s="81" t="n">
        <v>0.6</v>
      </c>
      <c r="S30" s="139" t="n">
        <v>0.62</v>
      </c>
      <c r="T30" s="56" t="n">
        <v>0.53</v>
      </c>
      <c r="U30" s="220" t="n">
        <v>0.6</v>
      </c>
      <c r="V30" s="148" t="n">
        <v>4.6639</v>
      </c>
      <c r="W30" s="12" t="n">
        <v>4.365</v>
      </c>
      <c r="X30" s="142" t="n">
        <v>4.382</v>
      </c>
      <c r="Y30" s="180" t="n">
        <v>5.18353240151339</v>
      </c>
      <c r="Z30" s="221" t="n">
        <v>0.04</v>
      </c>
      <c r="AA30" s="222" t="n">
        <v>-0.8</v>
      </c>
      <c r="AB30" s="207" t="n">
        <v>6.748</v>
      </c>
      <c r="AC30" s="90" t="n">
        <v>6.3155</v>
      </c>
      <c r="AD30" s="142" t="n">
        <v>6.34</v>
      </c>
      <c r="AE30" s="182" t="n">
        <v>4.83</v>
      </c>
      <c r="AF30" s="78" t="n">
        <v>4.35</v>
      </c>
      <c r="AG30" s="147" t="n">
        <v>5.07</v>
      </c>
      <c r="AH30" s="212" t="n">
        <v>-0.131</v>
      </c>
      <c r="AI30" s="223" t="n">
        <v>1.5343</v>
      </c>
      <c r="AJ30" s="164" t="n">
        <v>1</v>
      </c>
      <c r="AK30" s="164" t="n">
        <v>1</v>
      </c>
      <c r="AL30" s="39" t="n">
        <v>1</v>
      </c>
      <c r="AM30" s="149" t="n">
        <v>1</v>
      </c>
      <c r="AN30" s="129" t="n">
        <v>0.089</v>
      </c>
      <c r="AO30" s="150" t="n">
        <v>0.124</v>
      </c>
      <c r="AP30" s="22"/>
      <c r="AQ30" s="129" t="n">
        <v>-5.09207250163292</v>
      </c>
      <c r="AR30" s="151" t="n">
        <v>-5.20269105160026</v>
      </c>
      <c r="AS30" s="22"/>
      <c r="AT30" s="5" t="n">
        <v>0.0308</v>
      </c>
      <c r="AU30" s="22"/>
      <c r="AV30" s="129" t="n">
        <v>0.0075</v>
      </c>
      <c r="AW30" s="187"/>
      <c r="AX30" s="39"/>
      <c r="AY30" s="39"/>
      <c r="AZ30" s="215" t="n">
        <v>0.73</v>
      </c>
      <c r="BA30" s="215" t="n">
        <v>0.725</v>
      </c>
      <c r="BB30" s="194" t="n">
        <v>0.1229</v>
      </c>
      <c r="BC30" s="190"/>
      <c r="BD30" s="39"/>
      <c r="BE30" s="22"/>
      <c r="BF30" s="96"/>
      <c r="BG30" s="22"/>
      <c r="BH30" s="71"/>
      <c r="BI30" s="71"/>
      <c r="BJ30" s="22"/>
      <c r="BK30" s="96"/>
      <c r="BL30" s="22"/>
      <c r="BM30" s="22"/>
      <c r="BN30" s="39"/>
      <c r="BO30" s="39"/>
      <c r="BP30" s="71"/>
      <c r="BQ30" s="22"/>
      <c r="BR30" s="71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</row>
    <row r="31" customFormat="false" ht="12.75" hidden="false" customHeight="false" outlineLevel="0" collapsed="false">
      <c r="A31" s="224" t="n">
        <v>36861</v>
      </c>
      <c r="B31" s="217" t="n">
        <v>6.016</v>
      </c>
      <c r="C31" s="225" t="n">
        <v>-0.66412953064275</v>
      </c>
      <c r="D31" s="133" t="n">
        <v>-0.663718122571002</v>
      </c>
      <c r="E31" s="133" t="n">
        <v>-0.00587661584454402</v>
      </c>
      <c r="F31" s="226" t="n">
        <v>0.234</v>
      </c>
      <c r="G31" s="227" t="n">
        <v>0.324</v>
      </c>
      <c r="H31" s="227" t="n">
        <v>0.354</v>
      </c>
      <c r="I31" s="228" t="n">
        <v>0.324</v>
      </c>
      <c r="J31" s="227" t="n">
        <v>0.134</v>
      </c>
      <c r="K31" s="227" t="n">
        <v>0.07399999</v>
      </c>
      <c r="L31" s="227" t="n">
        <v>1.124</v>
      </c>
      <c r="M31" s="229" t="n">
        <v>-0.00600000000000023</v>
      </c>
      <c r="N31" s="227" t="n">
        <v>8.064</v>
      </c>
      <c r="O31" s="228" t="n">
        <v>8.024</v>
      </c>
      <c r="P31" s="230" t="n">
        <v>7.674</v>
      </c>
      <c r="Q31" s="231" t="n">
        <v>0.305</v>
      </c>
      <c r="R31" s="232" t="n">
        <v>0.83</v>
      </c>
      <c r="S31" s="139" t="n">
        <v>0.88</v>
      </c>
      <c r="T31" s="56" t="n">
        <v>0.95</v>
      </c>
      <c r="U31" s="220" t="n">
        <v>0.83</v>
      </c>
      <c r="V31" s="12" t="n">
        <v>5.3519</v>
      </c>
      <c r="W31" s="12" t="n">
        <v>5.3523</v>
      </c>
      <c r="X31" s="142" t="n">
        <v>6.0101</v>
      </c>
      <c r="Y31" s="62" t="s">
        <v>81</v>
      </c>
      <c r="Z31" s="221" t="n">
        <v>0.025</v>
      </c>
      <c r="AA31" s="233" t="n">
        <v>1.15</v>
      </c>
      <c r="AB31" s="234" t="n">
        <v>7.8052</v>
      </c>
      <c r="AC31" s="90" t="n">
        <v>7.8058</v>
      </c>
      <c r="AD31" s="142" t="n">
        <v>8.7652</v>
      </c>
      <c r="AE31" s="182" t="n">
        <v>13.69</v>
      </c>
      <c r="AF31" s="78" t="n">
        <v>6.01</v>
      </c>
      <c r="AG31" s="147" t="n">
        <v>14.04</v>
      </c>
      <c r="AH31" s="185" t="n">
        <v>-0.016</v>
      </c>
      <c r="AI31" s="223" t="n">
        <v>1.5009</v>
      </c>
      <c r="AJ31" s="37" t="n">
        <v>1</v>
      </c>
      <c r="AK31" s="37" t="n">
        <v>1</v>
      </c>
      <c r="AL31" s="39" t="n">
        <v>1</v>
      </c>
      <c r="AM31" s="235" t="n">
        <v>1</v>
      </c>
      <c r="AN31" s="129" t="n">
        <v>0.344</v>
      </c>
      <c r="AO31" s="150" t="n">
        <v>0.12</v>
      </c>
      <c r="AP31" s="22"/>
      <c r="AQ31" s="129" t="n">
        <v>-5.22999400518471</v>
      </c>
      <c r="AR31" s="151" t="n">
        <v>-4.56586447454196</v>
      </c>
      <c r="AS31" s="22"/>
      <c r="AT31" s="5" t="n">
        <v>0.0261</v>
      </c>
      <c r="AU31" s="22"/>
      <c r="AV31" s="129" t="n">
        <v>0.0025</v>
      </c>
      <c r="AW31" s="187"/>
      <c r="AX31" s="39" t="n">
        <v>0</v>
      </c>
      <c r="AY31" s="39"/>
      <c r="AZ31" s="236" t="n">
        <v>1.045</v>
      </c>
      <c r="BA31" s="236" t="n">
        <v>3.355</v>
      </c>
      <c r="BB31" s="194" t="n">
        <v>-0.66412953064275</v>
      </c>
      <c r="BC31" s="236"/>
      <c r="BD31" s="39"/>
      <c r="BE31" s="22"/>
      <c r="BF31" s="96"/>
      <c r="BG31" s="22"/>
      <c r="BH31" s="71"/>
      <c r="BI31" s="71"/>
      <c r="BJ31" s="22"/>
      <c r="BK31" s="96"/>
      <c r="BL31" s="22"/>
      <c r="BM31" s="22"/>
      <c r="BN31" s="39"/>
      <c r="BO31" s="39"/>
      <c r="BP31" s="71"/>
      <c r="BQ31" s="22"/>
      <c r="BR31" s="71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</row>
    <row r="32" customFormat="false" ht="12.75" hidden="false" customHeight="false" outlineLevel="0" collapsed="false">
      <c r="A32" s="224" t="n">
        <v>36892</v>
      </c>
      <c r="B32" s="217" t="n">
        <v>9.98</v>
      </c>
      <c r="C32" s="225" t="n">
        <v>-0.876200000000001</v>
      </c>
      <c r="D32" s="133" t="n">
        <v>-0.8832</v>
      </c>
      <c r="E32" s="133" t="n">
        <v>0.0759299999999996</v>
      </c>
      <c r="F32" s="226" t="n">
        <v>0.42</v>
      </c>
      <c r="G32" s="227" t="n">
        <v>0.82</v>
      </c>
      <c r="H32" s="227" t="n">
        <v>0.82</v>
      </c>
      <c r="I32" s="228" t="n">
        <v>1.11</v>
      </c>
      <c r="J32" s="227" t="n">
        <v>0.9499999</v>
      </c>
      <c r="K32" s="227" t="n">
        <v>-0.06</v>
      </c>
      <c r="L32" s="227" t="n">
        <v>9.35</v>
      </c>
      <c r="M32" s="226" t="n">
        <v>-1.22</v>
      </c>
      <c r="N32" s="227" t="n">
        <v>6.41</v>
      </c>
      <c r="O32" s="228" t="n">
        <v>4.11</v>
      </c>
      <c r="P32" s="230" t="n">
        <v>4.22</v>
      </c>
      <c r="Q32" s="231" t="n">
        <v>0.6</v>
      </c>
      <c r="R32" s="232" t="n">
        <v>0.9</v>
      </c>
      <c r="S32" s="139" t="n">
        <v>0.95</v>
      </c>
      <c r="T32" s="56" t="n">
        <v>1.43</v>
      </c>
      <c r="U32" s="220" t="n">
        <v>0.9</v>
      </c>
      <c r="V32" s="12" t="n">
        <v>9.1038</v>
      </c>
      <c r="W32" s="12" t="n">
        <v>9.0968</v>
      </c>
      <c r="X32" s="142" t="n">
        <v>10.05593</v>
      </c>
      <c r="Y32" s="180"/>
      <c r="Z32" s="221" t="n">
        <v>0.025</v>
      </c>
      <c r="AA32" s="237" t="n">
        <v>2.005</v>
      </c>
      <c r="AB32" s="238" t="n">
        <v>12.9112</v>
      </c>
      <c r="AC32" s="90" t="n">
        <v>12.9012</v>
      </c>
      <c r="AD32" s="142" t="n">
        <v>14.2663</v>
      </c>
      <c r="AE32" s="182" t="n">
        <v>14.2</v>
      </c>
      <c r="AF32" s="78" t="n">
        <v>8.76</v>
      </c>
      <c r="AG32" s="147" t="n">
        <v>14.09</v>
      </c>
      <c r="AH32" s="185" t="n">
        <v>-1.178</v>
      </c>
      <c r="AI32" s="223" t="n">
        <v>1.4975</v>
      </c>
      <c r="AJ32" s="37" t="n">
        <v>1</v>
      </c>
      <c r="AK32" s="37" t="n">
        <v>1</v>
      </c>
      <c r="AL32" s="39" t="n">
        <v>1</v>
      </c>
      <c r="AM32" s="149" t="n">
        <v>1</v>
      </c>
      <c r="AN32" s="129" t="n">
        <v>0.84</v>
      </c>
      <c r="AO32" s="150" t="n">
        <v>0.12</v>
      </c>
      <c r="AP32" s="22"/>
      <c r="AQ32" s="129" t="n">
        <v>-8.56684550223886</v>
      </c>
      <c r="AR32" s="151" t="n">
        <v>-7.69064550223886</v>
      </c>
      <c r="AS32" s="22"/>
      <c r="AT32" s="5" t="n">
        <v>0.0227</v>
      </c>
      <c r="AU32" s="22"/>
      <c r="AV32" s="129" t="n">
        <v>0.0075</v>
      </c>
      <c r="AW32" s="187"/>
      <c r="AX32" s="39" t="n">
        <v>0.622</v>
      </c>
      <c r="AY32" s="39"/>
      <c r="AZ32" s="236" t="n">
        <v>1.045</v>
      </c>
      <c r="BA32" s="236" t="n">
        <v>3.385</v>
      </c>
      <c r="BB32" s="194" t="n">
        <v>-0.876200000000001</v>
      </c>
      <c r="BC32" s="190"/>
      <c r="BD32" s="39"/>
      <c r="BE32" s="22"/>
      <c r="BF32" s="96"/>
      <c r="BG32" s="22"/>
      <c r="BH32" s="71"/>
      <c r="BI32" s="71"/>
      <c r="BJ32" s="22"/>
      <c r="BK32" s="96"/>
      <c r="BL32" s="22"/>
      <c r="BM32" s="22"/>
      <c r="BN32" s="39"/>
      <c r="BO32" s="39"/>
      <c r="BP32" s="71"/>
      <c r="BQ32" s="22"/>
      <c r="BR32" s="71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</row>
    <row r="33" customFormat="false" ht="12.75" hidden="false" customHeight="false" outlineLevel="0" collapsed="false">
      <c r="A33" s="224" t="n">
        <v>36923</v>
      </c>
      <c r="B33" s="217" t="n">
        <v>6.293</v>
      </c>
      <c r="C33" s="225" t="n">
        <v>1.09</v>
      </c>
      <c r="D33" s="133" t="n">
        <v>1.0884</v>
      </c>
      <c r="E33" s="133" t="n">
        <v>0.4965</v>
      </c>
      <c r="F33" s="226" t="n">
        <v>0.25</v>
      </c>
      <c r="G33" s="227" t="n">
        <v>0.29</v>
      </c>
      <c r="H33" s="227" t="n">
        <v>0.39</v>
      </c>
      <c r="I33" s="228" t="n">
        <v>0.41</v>
      </c>
      <c r="J33" s="227" t="n">
        <v>0.2269999</v>
      </c>
      <c r="K33" s="227" t="n">
        <v>0.2</v>
      </c>
      <c r="L33" s="227" t="n">
        <v>1.727</v>
      </c>
      <c r="M33" s="226" t="n">
        <v>0.297</v>
      </c>
      <c r="N33" s="227" t="n">
        <v>6.217</v>
      </c>
      <c r="O33" s="228" t="n">
        <v>3.717</v>
      </c>
      <c r="P33" s="230" t="n">
        <v>0.657</v>
      </c>
      <c r="Q33" s="231" t="n">
        <v>0.63</v>
      </c>
      <c r="R33" s="232" t="n">
        <v>0.98</v>
      </c>
      <c r="S33" s="139" t="n">
        <v>1.03</v>
      </c>
      <c r="T33" s="56" t="n">
        <v>1.1</v>
      </c>
      <c r="U33" s="220" t="n">
        <v>0.98</v>
      </c>
      <c r="V33" s="12" t="n">
        <v>7.383</v>
      </c>
      <c r="W33" s="12" t="n">
        <v>7.3814</v>
      </c>
      <c r="X33" s="142" t="n">
        <v>6.7895</v>
      </c>
      <c r="Y33" s="62" t="s">
        <v>79</v>
      </c>
      <c r="Z33" s="221" t="n">
        <v>0</v>
      </c>
      <c r="AA33" s="237" t="n">
        <v>-2.43</v>
      </c>
      <c r="AB33" s="238" t="n">
        <v>10.467</v>
      </c>
      <c r="AC33" s="90" t="n">
        <v>10.4586</v>
      </c>
      <c r="AD33" s="142" t="n">
        <v>9.62</v>
      </c>
      <c r="AE33" s="182" t="n">
        <v>6.95</v>
      </c>
      <c r="AF33" s="78" t="n">
        <v>6.59</v>
      </c>
      <c r="AG33" s="147" t="n">
        <v>10.01</v>
      </c>
      <c r="AH33" s="185" t="n">
        <v>-0.053</v>
      </c>
      <c r="AI33" s="223" t="n">
        <v>1.5352</v>
      </c>
      <c r="AJ33" s="37" t="n">
        <v>1</v>
      </c>
      <c r="AK33" s="37" t="n">
        <v>1</v>
      </c>
      <c r="AL33" s="39" t="n">
        <v>1</v>
      </c>
      <c r="AM33" s="149" t="n">
        <v>1</v>
      </c>
      <c r="AN33" s="129" t="n">
        <v>0.31</v>
      </c>
      <c r="AO33" s="150" t="n">
        <v>0.133</v>
      </c>
      <c r="AP33" s="22"/>
      <c r="AQ33" s="129" t="n">
        <v>-8.00730493678507</v>
      </c>
      <c r="AR33" s="151" t="n">
        <v>-9.10724867884139</v>
      </c>
      <c r="AS33" s="22"/>
      <c r="AT33" s="5" t="n">
        <v>0.0198</v>
      </c>
      <c r="AU33" s="22"/>
      <c r="AV33" s="129" t="n">
        <v>0.0125</v>
      </c>
      <c r="AW33" s="187"/>
      <c r="AX33" s="39" t="n">
        <v>0.017</v>
      </c>
      <c r="AY33" s="39"/>
      <c r="AZ33" s="236" t="n">
        <v>1.015</v>
      </c>
      <c r="BA33" s="236" t="n">
        <v>3.385</v>
      </c>
      <c r="BB33" s="194" t="n">
        <v>1.09994374205632</v>
      </c>
      <c r="BC33" s="190"/>
      <c r="BD33" s="39"/>
      <c r="BE33" s="22"/>
      <c r="BF33" s="96"/>
      <c r="BG33" s="22"/>
      <c r="BH33" s="71"/>
      <c r="BI33" s="71"/>
      <c r="BJ33" s="22"/>
      <c r="BK33" s="96"/>
      <c r="BL33" s="22"/>
      <c r="BM33" s="22"/>
      <c r="BN33" s="39"/>
      <c r="BO33" s="39"/>
      <c r="BP33" s="71"/>
      <c r="BQ33" s="22"/>
      <c r="BR33" s="71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</row>
    <row r="34" customFormat="false" ht="12.75" hidden="false" customHeight="false" outlineLevel="0" collapsed="false">
      <c r="A34" s="224" t="n">
        <v>36951</v>
      </c>
      <c r="B34" s="217" t="n">
        <v>4.998</v>
      </c>
      <c r="C34" s="225" t="n">
        <v>0.2098</v>
      </c>
      <c r="D34" s="133" t="n">
        <v>0.1949</v>
      </c>
      <c r="E34" s="133" t="n">
        <v>-0.0137</v>
      </c>
      <c r="F34" s="226" t="n">
        <v>0.33</v>
      </c>
      <c r="G34" s="227" t="n">
        <v>0.34</v>
      </c>
      <c r="H34" s="227" t="n">
        <v>0.39</v>
      </c>
      <c r="I34" s="228" t="n">
        <v>0.39</v>
      </c>
      <c r="J34" s="227" t="n">
        <v>0.24</v>
      </c>
      <c r="K34" s="227" t="n">
        <v>0.27</v>
      </c>
      <c r="L34" s="227" t="n">
        <v>0.632</v>
      </c>
      <c r="M34" s="226" t="n">
        <v>-0.118</v>
      </c>
      <c r="N34" s="227" t="n">
        <v>7.532</v>
      </c>
      <c r="O34" s="228" t="n">
        <v>3.362</v>
      </c>
      <c r="P34" s="230" t="n">
        <v>0.212</v>
      </c>
      <c r="Q34" s="231" t="n">
        <v>0.53</v>
      </c>
      <c r="R34" s="232" t="n">
        <v>0.88</v>
      </c>
      <c r="S34" s="139" t="n">
        <v>0.93</v>
      </c>
      <c r="T34" s="56" t="n">
        <v>0.985</v>
      </c>
      <c r="U34" s="220" t="n">
        <v>0.88</v>
      </c>
      <c r="V34" s="12" t="n">
        <v>5.2078</v>
      </c>
      <c r="W34" s="12" t="n">
        <v>5.1929</v>
      </c>
      <c r="X34" s="142" t="n">
        <v>4.9843</v>
      </c>
      <c r="Y34" s="180"/>
      <c r="Z34" s="221" t="n">
        <v>0</v>
      </c>
      <c r="AA34" s="237" t="n">
        <v>-0.3275</v>
      </c>
      <c r="AB34" s="238" t="n">
        <v>7.6301</v>
      </c>
      <c r="AC34" s="90" t="n">
        <v>7.6083</v>
      </c>
      <c r="AD34" s="142" t="n">
        <v>7.3027</v>
      </c>
      <c r="AE34" s="182" t="n">
        <v>5.21</v>
      </c>
      <c r="AF34" s="78" t="n">
        <v>4.88</v>
      </c>
      <c r="AG34" s="147" t="n">
        <v>8.36</v>
      </c>
      <c r="AH34" s="185" t="n">
        <v>-0.168</v>
      </c>
      <c r="AI34" s="223" t="n">
        <v>1.5756</v>
      </c>
      <c r="AJ34" s="37" t="n">
        <v>1</v>
      </c>
      <c r="AK34" s="37" t="n">
        <v>1</v>
      </c>
      <c r="AL34" s="39" t="n">
        <v>1</v>
      </c>
      <c r="AM34" s="149" t="n">
        <v>1</v>
      </c>
      <c r="AN34" s="129" t="n">
        <v>0.36</v>
      </c>
      <c r="AO34" s="150" t="n">
        <v>0.12</v>
      </c>
      <c r="AP34" s="22"/>
      <c r="AQ34" s="129" t="n">
        <v>-4.79332636822357</v>
      </c>
      <c r="AR34" s="151" t="n">
        <v>-5.00312636822357</v>
      </c>
      <c r="AS34" s="22"/>
      <c r="AT34" s="5" t="n">
        <v>0.0178</v>
      </c>
      <c r="AU34" s="22"/>
      <c r="AV34" s="129" t="n">
        <v>0</v>
      </c>
      <c r="AW34" s="187"/>
      <c r="AX34" s="39" t="n">
        <v>0.172</v>
      </c>
      <c r="AY34" s="39"/>
      <c r="AZ34" s="236" t="n">
        <v>0.8</v>
      </c>
      <c r="BA34" s="236" t="n">
        <v>1</v>
      </c>
      <c r="BB34" s="194" t="n">
        <v>0.2098</v>
      </c>
      <c r="BC34" s="190"/>
      <c r="BD34" s="39"/>
      <c r="BE34" s="22"/>
      <c r="BF34" s="96"/>
      <c r="BG34" s="22"/>
      <c r="BH34" s="71"/>
      <c r="BI34" s="71"/>
      <c r="BJ34" s="22"/>
      <c r="BK34" s="96"/>
      <c r="BL34" s="22"/>
      <c r="BM34" s="22"/>
      <c r="BN34" s="39"/>
      <c r="BO34" s="39"/>
      <c r="BP34" s="71"/>
      <c r="BQ34" s="22"/>
      <c r="BR34" s="71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</row>
    <row r="35" customFormat="false" ht="12.75" hidden="false" customHeight="false" outlineLevel="0" collapsed="false">
      <c r="A35" s="224" t="n">
        <v>36982</v>
      </c>
      <c r="B35" s="217" t="n">
        <v>5.384</v>
      </c>
      <c r="C35" s="239" t="n">
        <v>-0.2914</v>
      </c>
      <c r="D35" s="133" t="n">
        <v>-0.3086</v>
      </c>
      <c r="E35" s="133" t="n">
        <v>-0.221100000000001</v>
      </c>
      <c r="F35" s="226" t="n">
        <v>0.3759999</v>
      </c>
      <c r="G35" s="227" t="n">
        <v>0.3759999</v>
      </c>
      <c r="H35" s="227" t="n">
        <v>0.3959999</v>
      </c>
      <c r="I35" s="228" t="n">
        <v>0.3859999</v>
      </c>
      <c r="J35" s="227" t="n">
        <v>0.2159999</v>
      </c>
      <c r="K35" s="227" t="n">
        <v>0.276</v>
      </c>
      <c r="L35" s="227" t="n">
        <v>0.476</v>
      </c>
      <c r="M35" s="226" t="n">
        <v>-0.814</v>
      </c>
      <c r="N35" s="227" t="n">
        <v>7.126</v>
      </c>
      <c r="O35" s="228" t="n">
        <v>2.016</v>
      </c>
      <c r="P35" s="240" t="n">
        <v>-0.0140000000000002</v>
      </c>
      <c r="Q35" s="231" t="n">
        <v>0.4025</v>
      </c>
      <c r="R35" s="232" t="n">
        <v>0.595</v>
      </c>
      <c r="S35" s="139" t="n">
        <v>0.595</v>
      </c>
      <c r="T35" s="56" t="n">
        <v>0.5</v>
      </c>
      <c r="U35" s="220" t="n">
        <v>0.595</v>
      </c>
      <c r="V35" s="12" t="n">
        <v>5.0926</v>
      </c>
      <c r="W35" s="12" t="n">
        <v>5.0754</v>
      </c>
      <c r="X35" s="142" t="n">
        <v>5.1629</v>
      </c>
      <c r="Y35" s="13"/>
      <c r="Z35" s="221" t="n">
        <v>0</v>
      </c>
      <c r="AA35" s="241" t="n">
        <v>0.1049</v>
      </c>
      <c r="AB35" s="242" t="n">
        <v>7.6013</v>
      </c>
      <c r="AC35" s="90" t="n">
        <v>7.5757</v>
      </c>
      <c r="AD35" s="142" t="n">
        <v>7.7062</v>
      </c>
      <c r="AE35" s="182" t="n">
        <v>5.37</v>
      </c>
      <c r="AF35" s="78" t="n">
        <v>4.57</v>
      </c>
      <c r="AG35" s="147" t="n">
        <v>7.4</v>
      </c>
      <c r="AH35" s="185" t="n">
        <v>-0.704</v>
      </c>
      <c r="AI35" s="223" t="n">
        <v>1.5368</v>
      </c>
      <c r="AJ35" s="37" t="n">
        <v>1</v>
      </c>
      <c r="AK35" s="37" t="n">
        <v>1</v>
      </c>
      <c r="AL35" s="39" t="n">
        <v>1</v>
      </c>
      <c r="AM35" s="149" t="n">
        <v>1</v>
      </c>
      <c r="AN35" s="129" t="n">
        <v>0.3759999</v>
      </c>
      <c r="AO35" s="150" t="n">
        <v>0.124</v>
      </c>
      <c r="AP35" s="22"/>
      <c r="AQ35" s="129" t="n">
        <v>-5.31201333062207</v>
      </c>
      <c r="AR35" s="151" t="n">
        <v>-5.02061333062207</v>
      </c>
      <c r="AS35" s="22"/>
      <c r="AT35" s="5" t="n">
        <v>0.01</v>
      </c>
      <c r="AU35" s="22"/>
      <c r="AV35" s="129" t="n">
        <v>0.0025</v>
      </c>
      <c r="AW35" s="187"/>
      <c r="AX35" s="39" t="n">
        <v>0.036</v>
      </c>
      <c r="AY35" s="39"/>
      <c r="AZ35" s="243" t="n">
        <v>0.55</v>
      </c>
      <c r="BA35" s="243" t="n">
        <v>0.55</v>
      </c>
      <c r="BB35" s="194" t="n">
        <v>-0.2914</v>
      </c>
      <c r="BC35" s="190"/>
      <c r="BD35" s="39"/>
      <c r="BE35" s="22"/>
      <c r="BF35" s="96"/>
      <c r="BG35" s="22"/>
      <c r="BH35" s="71"/>
      <c r="BI35" s="71"/>
      <c r="BJ35" s="22"/>
      <c r="BK35" s="96"/>
      <c r="BL35" s="22"/>
      <c r="BM35" s="22"/>
      <c r="BN35" s="39"/>
      <c r="BO35" s="39"/>
      <c r="BP35" s="71"/>
      <c r="BQ35" s="22"/>
      <c r="BR35" s="71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</row>
    <row r="36" customFormat="false" ht="12.75" hidden="false" customHeight="false" outlineLevel="0" collapsed="false">
      <c r="A36" s="224" t="n">
        <v>37012</v>
      </c>
      <c r="B36" s="217" t="n">
        <v>4.891</v>
      </c>
      <c r="C36" s="244" t="n">
        <v>-0.0442</v>
      </c>
      <c r="D36" s="133" t="n">
        <v>-0.061</v>
      </c>
      <c r="E36" s="133" t="n">
        <v>0.1205</v>
      </c>
      <c r="F36" s="226" t="n">
        <v>0.179</v>
      </c>
      <c r="G36" s="227" t="n">
        <v>0.189</v>
      </c>
      <c r="H36" s="227" t="n">
        <v>0.179</v>
      </c>
      <c r="I36" s="228" t="n">
        <v>0.179</v>
      </c>
      <c r="J36" s="227" t="n">
        <v>0.13</v>
      </c>
      <c r="K36" s="227" t="n">
        <v>0.255</v>
      </c>
      <c r="L36" s="227" t="n">
        <v>0.439</v>
      </c>
      <c r="M36" s="226" t="n">
        <v>-0.791</v>
      </c>
      <c r="N36" s="227" t="n">
        <v>10.079</v>
      </c>
      <c r="O36" s="228" t="n">
        <v>5.089</v>
      </c>
      <c r="P36" s="183" t="n">
        <v>0.279</v>
      </c>
      <c r="Q36" s="231" t="n">
        <v>0.2575</v>
      </c>
      <c r="R36" s="232" t="n">
        <v>0.45</v>
      </c>
      <c r="S36" s="139" t="n">
        <v>0.45</v>
      </c>
      <c r="T36" s="56" t="n">
        <v>0.45</v>
      </c>
      <c r="U36" s="220" t="n">
        <v>0.45</v>
      </c>
      <c r="V36" s="12" t="n">
        <v>4.8468</v>
      </c>
      <c r="W36" s="12" t="n">
        <v>4.83</v>
      </c>
      <c r="X36" s="142" t="n">
        <v>5.0115</v>
      </c>
      <c r="Y36" s="13"/>
      <c r="Z36" s="221" t="n">
        <v>0</v>
      </c>
      <c r="AA36" s="237" t="n">
        <v>-0.495</v>
      </c>
      <c r="AB36" s="242" t="n">
        <v>7.0458</v>
      </c>
      <c r="AC36" s="90" t="n">
        <v>7.0214</v>
      </c>
      <c r="AD36" s="142" t="n">
        <v>7.2852</v>
      </c>
      <c r="AE36" s="182" t="n">
        <v>5.17</v>
      </c>
      <c r="AF36" s="78" t="n">
        <v>4.1</v>
      </c>
      <c r="AG36" s="147" t="n">
        <v>9.98</v>
      </c>
      <c r="AH36" s="185" t="n">
        <v>-0.661</v>
      </c>
      <c r="AI36" s="223" t="n">
        <v>1.5372</v>
      </c>
      <c r="AJ36" s="37" t="n">
        <v>1</v>
      </c>
      <c r="AK36" s="37" t="n">
        <v>1</v>
      </c>
      <c r="AL36" s="39" t="n">
        <v>1</v>
      </c>
      <c r="AM36" s="149" t="n">
        <v>1</v>
      </c>
      <c r="AN36" s="129" t="n">
        <v>0.189</v>
      </c>
      <c r="AO36" s="150" t="n">
        <v>0.12</v>
      </c>
      <c r="AP36" s="22"/>
      <c r="AQ36" s="129" t="n">
        <v>-5.23060084894614</v>
      </c>
      <c r="AR36" s="151" t="n">
        <v>-5.18640084894614</v>
      </c>
      <c r="AS36" s="22"/>
      <c r="AT36" s="5" t="n">
        <v>0.01</v>
      </c>
      <c r="AU36" s="22"/>
      <c r="AV36" s="129" t="n">
        <v>0.0025</v>
      </c>
      <c r="AW36" s="187"/>
      <c r="AX36" s="39" t="n">
        <v>-0.081</v>
      </c>
      <c r="AY36" s="39"/>
      <c r="AZ36" s="243" t="n">
        <v>0.63</v>
      </c>
      <c r="BA36" s="243" t="n">
        <v>0.5</v>
      </c>
      <c r="BB36" s="194" t="n">
        <v>-0.0442</v>
      </c>
      <c r="BC36" s="190"/>
      <c r="BD36" s="39"/>
      <c r="BE36" s="22"/>
      <c r="BF36" s="96"/>
      <c r="BG36" s="22"/>
      <c r="BH36" s="71"/>
      <c r="BI36" s="71"/>
      <c r="BJ36" s="22"/>
      <c r="BK36" s="96"/>
      <c r="BL36" s="22"/>
      <c r="BM36" s="22"/>
      <c r="BN36" s="39"/>
      <c r="BO36" s="39"/>
      <c r="BP36" s="71"/>
      <c r="BQ36" s="22"/>
      <c r="BR36" s="71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</row>
    <row r="37" customFormat="false" ht="12.75" hidden="false" customHeight="false" outlineLevel="0" collapsed="false">
      <c r="A37" s="224" t="n">
        <v>37043</v>
      </c>
      <c r="B37" s="217" t="n">
        <v>3.738</v>
      </c>
      <c r="C37" s="244" t="n">
        <v>0.0323</v>
      </c>
      <c r="D37" s="133" t="n">
        <v>0.0126</v>
      </c>
      <c r="E37" s="133" t="n">
        <v>0.177529617771969</v>
      </c>
      <c r="F37" s="226" t="n">
        <v>0.2</v>
      </c>
      <c r="G37" s="227" t="n">
        <v>0.2075</v>
      </c>
      <c r="H37" s="227" t="n">
        <v>0.2075</v>
      </c>
      <c r="I37" s="228" t="n">
        <v>0.2075</v>
      </c>
      <c r="J37" s="227" t="n">
        <v>0.085</v>
      </c>
      <c r="K37" s="227" t="n">
        <v>0.185</v>
      </c>
      <c r="L37" s="227" t="n">
        <v>0.392</v>
      </c>
      <c r="M37" s="226" t="n">
        <v>-1.128</v>
      </c>
      <c r="N37" s="227" t="n">
        <v>7.962</v>
      </c>
      <c r="O37" s="228" t="n">
        <v>2.122</v>
      </c>
      <c r="P37" s="183" t="n">
        <v>0.222</v>
      </c>
      <c r="Q37" s="231" t="n">
        <v>0.2</v>
      </c>
      <c r="R37" s="232" t="n">
        <v>0.53</v>
      </c>
      <c r="S37" s="139" t="n">
        <v>0.53</v>
      </c>
      <c r="T37" s="56" t="n">
        <v>0.43</v>
      </c>
      <c r="U37" s="220" t="n">
        <v>0.53</v>
      </c>
      <c r="V37" s="12" t="n">
        <v>3.7703</v>
      </c>
      <c r="W37" s="12" t="n">
        <v>3.7506</v>
      </c>
      <c r="X37" s="142" t="n">
        <v>3.91552961777197</v>
      </c>
      <c r="Y37" s="62" t="s">
        <v>82</v>
      </c>
      <c r="Z37" s="221" t="n">
        <v>0</v>
      </c>
      <c r="AA37" s="237" t="n">
        <v>0.195</v>
      </c>
      <c r="AB37" s="242" t="n">
        <v>5.475</v>
      </c>
      <c r="AC37" s="90" t="n">
        <v>5.4464</v>
      </c>
      <c r="AD37" s="142" t="n">
        <v>5.68</v>
      </c>
      <c r="AE37" s="182" t="n">
        <v>3.96</v>
      </c>
      <c r="AF37" s="78" t="n">
        <v>2.61</v>
      </c>
      <c r="AG37" s="147" t="n">
        <v>5.86</v>
      </c>
      <c r="AH37" s="185" t="n">
        <v>-0.598</v>
      </c>
      <c r="AI37" s="223" t="n">
        <v>1.517</v>
      </c>
      <c r="AJ37" s="37" t="n">
        <v>1</v>
      </c>
      <c r="AK37" s="37" t="n">
        <v>1</v>
      </c>
      <c r="AL37" s="39" t="n">
        <v>1</v>
      </c>
      <c r="AM37" s="149" t="n">
        <v>1</v>
      </c>
      <c r="AN37" s="129" t="n">
        <v>0.2075</v>
      </c>
      <c r="AO37" s="150" t="n">
        <v>0.124</v>
      </c>
      <c r="AP37" s="22"/>
      <c r="AQ37" s="129" t="n">
        <v>-3.6024364370468</v>
      </c>
      <c r="AR37" s="151" t="n">
        <v>-3.6347364370468</v>
      </c>
      <c r="AS37" s="22"/>
      <c r="AT37" s="5" t="n">
        <v>0.01</v>
      </c>
      <c r="AU37" s="22"/>
      <c r="AV37" s="129" t="n">
        <v>0.005</v>
      </c>
      <c r="AW37" s="187"/>
      <c r="AX37" s="39" t="n">
        <v>-0.098</v>
      </c>
      <c r="AY37" s="39"/>
      <c r="AZ37" s="243" t="n">
        <v>0.635</v>
      </c>
      <c r="BA37" s="243" t="n">
        <v>0.5</v>
      </c>
      <c r="BB37" s="194" t="n">
        <v>0.0323</v>
      </c>
      <c r="BC37" s="190"/>
      <c r="BD37" s="39"/>
      <c r="BE37" s="22"/>
      <c r="BF37" s="96"/>
      <c r="BG37" s="22"/>
      <c r="BH37" s="71"/>
      <c r="BI37" s="71"/>
      <c r="BJ37" s="22"/>
      <c r="BK37" s="96"/>
      <c r="BL37" s="22"/>
      <c r="BM37" s="22"/>
      <c r="BN37" s="39"/>
      <c r="BO37" s="39"/>
      <c r="BP37" s="71"/>
      <c r="BQ37" s="22"/>
      <c r="BR37" s="71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</row>
    <row r="38" customFormat="false" ht="12.75" hidden="false" customHeight="false" outlineLevel="0" collapsed="false">
      <c r="A38" s="224" t="n">
        <v>37073</v>
      </c>
      <c r="B38" s="217" t="n">
        <v>3.182</v>
      </c>
      <c r="C38" s="244" t="n">
        <v>-0.217635752719256</v>
      </c>
      <c r="D38" s="133" t="n">
        <v>-0.217635752719256</v>
      </c>
      <c r="E38" s="133" t="n">
        <v>-0.217635752719256</v>
      </c>
      <c r="F38" s="226" t="n">
        <v>0.09</v>
      </c>
      <c r="G38" s="227" t="n">
        <v>0.08</v>
      </c>
      <c r="H38" s="227" t="n">
        <v>0.1</v>
      </c>
      <c r="I38" s="228" t="n">
        <v>0.07</v>
      </c>
      <c r="J38" s="227" t="n">
        <v>0.015</v>
      </c>
      <c r="K38" s="227" t="n">
        <v>0.105</v>
      </c>
      <c r="L38" s="227" t="n">
        <v>0.45</v>
      </c>
      <c r="M38" s="226" t="n">
        <v>-1.18</v>
      </c>
      <c r="N38" s="227" t="n">
        <v>1.63</v>
      </c>
      <c r="O38" s="228" t="n">
        <v>0.06</v>
      </c>
      <c r="P38" s="183" t="n">
        <v>-0.485</v>
      </c>
      <c r="Q38" s="231" t="n">
        <v>0.15</v>
      </c>
      <c r="R38" s="232" t="n">
        <v>0.4</v>
      </c>
      <c r="S38" s="139" t="n">
        <v>0.4</v>
      </c>
      <c r="T38" s="56" t="n">
        <v>0.48</v>
      </c>
      <c r="U38" s="220" t="n">
        <v>0.4</v>
      </c>
      <c r="V38" s="12" t="n">
        <v>2.96436424728074</v>
      </c>
      <c r="W38" s="12" t="n">
        <v>2.96436424728074</v>
      </c>
      <c r="X38" s="142" t="n">
        <v>2.96436424728074</v>
      </c>
      <c r="Y38" s="180" t="n">
        <v>4.57226765095091</v>
      </c>
      <c r="Z38" s="221" t="n">
        <v>0</v>
      </c>
      <c r="AA38" s="237" t="n">
        <v>0</v>
      </c>
      <c r="AB38" s="242" t="n">
        <v>4.2625</v>
      </c>
      <c r="AC38" s="90" t="n">
        <v>4.2625</v>
      </c>
      <c r="AD38" s="142" t="n">
        <v>4.2625</v>
      </c>
      <c r="AE38" s="182" t="n">
        <v>2.697</v>
      </c>
      <c r="AF38" s="78" t="n">
        <v>2.002</v>
      </c>
      <c r="AG38" s="147" t="n">
        <v>3.242</v>
      </c>
      <c r="AH38" s="185" t="n">
        <v>-0.82</v>
      </c>
      <c r="AI38" s="223" t="n">
        <v>1.51707948985194</v>
      </c>
      <c r="AJ38" s="37" t="n">
        <v>0.0454260410657068</v>
      </c>
      <c r="AK38" s="37" t="n">
        <v>0.0405386243415196</v>
      </c>
      <c r="AL38" s="39" t="n">
        <v>0.999508207589105</v>
      </c>
      <c r="AM38" s="149" t="n">
        <v>0.999560581194535</v>
      </c>
      <c r="AN38" s="129" t="n">
        <v>0.1</v>
      </c>
      <c r="AO38" s="150" t="n">
        <v>0.12</v>
      </c>
      <c r="AP38" s="22"/>
      <c r="AQ38" s="129" t="n">
        <v>-3.397</v>
      </c>
      <c r="AR38" s="151" t="n">
        <v>-3.17936424728074</v>
      </c>
      <c r="AS38" s="22"/>
      <c r="AT38" s="5" t="n">
        <v>0.01</v>
      </c>
      <c r="AU38" s="22"/>
      <c r="AV38" s="129" t="n">
        <v>0.005</v>
      </c>
      <c r="AW38" s="187"/>
      <c r="AX38" s="39" t="n">
        <v>-0.16</v>
      </c>
      <c r="AY38" s="39"/>
      <c r="AZ38" s="243" t="n">
        <v>0.675</v>
      </c>
      <c r="BA38" s="243" t="n">
        <v>0.55</v>
      </c>
      <c r="BB38" s="194" t="n">
        <v>-0.217635752719256</v>
      </c>
      <c r="BC38" s="190"/>
      <c r="BD38" s="39"/>
      <c r="BE38" s="22"/>
      <c r="BF38" s="96"/>
      <c r="BG38" s="22"/>
      <c r="BH38" s="71"/>
      <c r="BI38" s="71"/>
      <c r="BJ38" s="22"/>
      <c r="BK38" s="96"/>
      <c r="BL38" s="22"/>
      <c r="BM38" s="22"/>
      <c r="BN38" s="39"/>
      <c r="BO38" s="39"/>
      <c r="BP38" s="71"/>
      <c r="BQ38" s="22"/>
      <c r="BR38" s="71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</row>
    <row r="39" customFormat="false" ht="12.75" hidden="false" customHeight="false" outlineLevel="0" collapsed="false">
      <c r="A39" s="224" t="n">
        <v>37104</v>
      </c>
      <c r="B39" s="217" t="n">
        <v>3.286</v>
      </c>
      <c r="C39" s="244" t="n">
        <v>-0.615</v>
      </c>
      <c r="D39" s="133" t="n">
        <v>-0.615</v>
      </c>
      <c r="E39" s="133" t="n">
        <v>-0.616737614305249</v>
      </c>
      <c r="F39" s="226" t="n">
        <v>0.02</v>
      </c>
      <c r="G39" s="227" t="n">
        <v>0.025</v>
      </c>
      <c r="H39" s="227" t="n">
        <v>0.045</v>
      </c>
      <c r="I39" s="228" t="n">
        <v>0.015</v>
      </c>
      <c r="J39" s="227" t="n">
        <v>0.015</v>
      </c>
      <c r="K39" s="227" t="n">
        <v>0.06</v>
      </c>
      <c r="L39" s="227" t="n">
        <v>0.42</v>
      </c>
      <c r="M39" s="226" t="n">
        <v>-1.21</v>
      </c>
      <c r="N39" s="227" t="n">
        <v>1.78</v>
      </c>
      <c r="O39" s="228" t="n">
        <v>0.4</v>
      </c>
      <c r="P39" s="183" t="n">
        <v>-0.62</v>
      </c>
      <c r="Q39" s="231" t="n">
        <v>0.5175</v>
      </c>
      <c r="R39" s="232" t="n">
        <v>0.6075</v>
      </c>
      <c r="S39" s="139" t="n">
        <v>0.6075</v>
      </c>
      <c r="T39" s="56" t="n">
        <v>0.53</v>
      </c>
      <c r="U39" s="220" t="n">
        <v>0.6075</v>
      </c>
      <c r="V39" s="12" t="n">
        <v>2.671</v>
      </c>
      <c r="W39" s="12" t="n">
        <v>2.671</v>
      </c>
      <c r="X39" s="142" t="n">
        <v>2.66926238569475</v>
      </c>
      <c r="Y39" s="180" t="n">
        <v>4.89678870611291</v>
      </c>
      <c r="Z39" s="221" t="n">
        <v>0</v>
      </c>
      <c r="AA39" s="237" t="n">
        <v>-0.0025</v>
      </c>
      <c r="AB39" s="242" t="n">
        <v>3.84291265318812</v>
      </c>
      <c r="AC39" s="90" t="n">
        <v>3.84291265318812</v>
      </c>
      <c r="AD39" s="142" t="n">
        <v>3.84041265318812</v>
      </c>
      <c r="AE39" s="182" t="n">
        <v>2.666</v>
      </c>
      <c r="AF39" s="78" t="n">
        <v>2.076</v>
      </c>
      <c r="AG39" s="147" t="n">
        <v>3.686</v>
      </c>
      <c r="AH39" s="185" t="n">
        <v>-0.685</v>
      </c>
      <c r="AI39" s="223" t="n">
        <v>1.51796632430627</v>
      </c>
      <c r="AJ39" s="37" t="n">
        <v>0.0452825634020031</v>
      </c>
      <c r="AK39" s="37" t="n">
        <v>0.038497979424625</v>
      </c>
      <c r="AL39" s="39" t="n">
        <v>0.995718394090729</v>
      </c>
      <c r="AM39" s="149" t="n">
        <v>0.996352663626923</v>
      </c>
      <c r="AN39" s="129" t="n">
        <v>0.03</v>
      </c>
      <c r="AO39" s="150" t="n">
        <v>0.12</v>
      </c>
      <c r="AP39" s="22"/>
      <c r="AQ39" s="129" t="n">
        <v>-3.48073688800455</v>
      </c>
      <c r="AR39" s="151" t="n">
        <v>-2.86573688800455</v>
      </c>
      <c r="AS39" s="22"/>
      <c r="AT39" s="5" t="n">
        <v>0.01</v>
      </c>
      <c r="AU39" s="22"/>
      <c r="AV39" s="129" t="n">
        <v>0.0025</v>
      </c>
      <c r="AW39" s="187"/>
      <c r="AX39" s="39" t="n">
        <v>-0.16</v>
      </c>
      <c r="AY39" s="39"/>
      <c r="AZ39" s="243" t="n">
        <v>0.725</v>
      </c>
      <c r="BA39" s="243" t="n">
        <v>0.6</v>
      </c>
      <c r="BB39" s="194" t="n">
        <v>-0.615</v>
      </c>
      <c r="BC39" s="190"/>
      <c r="BD39" s="39"/>
      <c r="BE39" s="22"/>
      <c r="BF39" s="96"/>
      <c r="BG39" s="22"/>
      <c r="BH39" s="71"/>
      <c r="BI39" s="71"/>
      <c r="BJ39" s="22"/>
      <c r="BK39" s="96"/>
      <c r="BL39" s="22"/>
      <c r="BM39" s="22"/>
      <c r="BN39" s="39"/>
      <c r="BO39" s="39"/>
      <c r="BP39" s="71"/>
      <c r="BQ39" s="22"/>
      <c r="BR39" s="71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</row>
    <row r="40" customFormat="false" ht="12.75" hidden="false" customHeight="false" outlineLevel="0" collapsed="false">
      <c r="A40" s="224" t="n">
        <v>37135</v>
      </c>
      <c r="B40" s="217" t="n">
        <v>3.353</v>
      </c>
      <c r="C40" s="244" t="n">
        <v>-0.605</v>
      </c>
      <c r="D40" s="133" t="n">
        <v>-0.605</v>
      </c>
      <c r="E40" s="133" t="n">
        <v>-0.603263227056948</v>
      </c>
      <c r="F40" s="226" t="n">
        <v>0.0325</v>
      </c>
      <c r="G40" s="227" t="n">
        <v>0.0375</v>
      </c>
      <c r="H40" s="227" t="n">
        <v>0.0575</v>
      </c>
      <c r="I40" s="228" t="n">
        <v>0.0275</v>
      </c>
      <c r="J40" s="227" t="n">
        <v>0.015</v>
      </c>
      <c r="K40" s="227" t="n">
        <v>0.06</v>
      </c>
      <c r="L40" s="227" t="n">
        <v>0.35</v>
      </c>
      <c r="M40" s="226" t="n">
        <v>-1.21</v>
      </c>
      <c r="N40" s="227" t="n">
        <v>1.38</v>
      </c>
      <c r="O40" s="228" t="n">
        <v>0.2</v>
      </c>
      <c r="P40" s="183" t="n">
        <v>-0.57</v>
      </c>
      <c r="Q40" s="231" t="n">
        <v>0.5575</v>
      </c>
      <c r="R40" s="232" t="n">
        <v>0.6</v>
      </c>
      <c r="S40" s="139" t="n">
        <v>0.6</v>
      </c>
      <c r="T40" s="56" t="n">
        <v>0.53</v>
      </c>
      <c r="U40" s="220" t="n">
        <v>0.6</v>
      </c>
      <c r="V40" s="12" t="n">
        <v>2.748</v>
      </c>
      <c r="W40" s="12" t="n">
        <v>2.748</v>
      </c>
      <c r="X40" s="142" t="n">
        <v>2.74973677294305</v>
      </c>
      <c r="Y40" s="180" t="n">
        <v>4.34046689726377</v>
      </c>
      <c r="Z40" s="221" t="n">
        <v>0</v>
      </c>
      <c r="AA40" s="237" t="n">
        <v>0.0025</v>
      </c>
      <c r="AB40" s="242" t="n">
        <v>3.9556120605657</v>
      </c>
      <c r="AC40" s="90" t="n">
        <v>3.9556120605657</v>
      </c>
      <c r="AD40" s="142" t="n">
        <v>3.9581120605657</v>
      </c>
      <c r="AE40" s="182" t="n">
        <v>2.783</v>
      </c>
      <c r="AF40" s="78" t="n">
        <v>2.143</v>
      </c>
      <c r="AG40" s="147" t="n">
        <v>3.553</v>
      </c>
      <c r="AH40" s="185" t="n">
        <v>-0.67</v>
      </c>
      <c r="AI40" s="223" t="n">
        <v>1.51870168783559</v>
      </c>
      <c r="AJ40" s="37" t="n">
        <v>0.0444702975873832</v>
      </c>
      <c r="AK40" s="37" t="n">
        <v>0.0381378079711188</v>
      </c>
      <c r="AL40" s="39" t="n">
        <v>0.99208383350994</v>
      </c>
      <c r="AM40" s="149" t="n">
        <v>0.993196699028313</v>
      </c>
      <c r="AN40" s="129" t="n">
        <v>0.0425</v>
      </c>
      <c r="AO40" s="150" t="n">
        <v>0.124</v>
      </c>
      <c r="AP40" s="22"/>
      <c r="AQ40" s="129" t="n">
        <v>-3.53326395300597</v>
      </c>
      <c r="AR40" s="151" t="n">
        <v>-2.92826395300597</v>
      </c>
      <c r="AS40" s="22"/>
      <c r="AT40" s="5" t="n">
        <v>0.01</v>
      </c>
      <c r="AU40" s="22"/>
      <c r="AV40" s="129" t="n">
        <v>0.0075</v>
      </c>
      <c r="AW40" s="187"/>
      <c r="AX40" s="39" t="n">
        <v>-0.16</v>
      </c>
      <c r="AY40" s="39"/>
      <c r="AZ40" s="243" t="n">
        <v>0.725</v>
      </c>
      <c r="BA40" s="243" t="n">
        <v>0.6</v>
      </c>
      <c r="BB40" s="194" t="n">
        <v>-0.605</v>
      </c>
      <c r="BC40" s="190"/>
      <c r="BD40" s="39"/>
      <c r="BE40" s="22"/>
      <c r="BF40" s="96"/>
      <c r="BG40" s="22"/>
      <c r="BH40" s="71"/>
      <c r="BI40" s="71"/>
      <c r="BJ40" s="22"/>
      <c r="BK40" s="96"/>
      <c r="BL40" s="22"/>
      <c r="BM40" s="22"/>
      <c r="BN40" s="39"/>
      <c r="BO40" s="39"/>
      <c r="BP40" s="71"/>
      <c r="BQ40" s="22"/>
      <c r="BR40" s="71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</row>
    <row r="41" customFormat="false" ht="12.75" hidden="false" customHeight="false" outlineLevel="0" collapsed="false">
      <c r="A41" s="224" t="n">
        <v>37165</v>
      </c>
      <c r="B41" s="217" t="n">
        <v>3.428</v>
      </c>
      <c r="C41" s="244" t="n">
        <v>-0.58</v>
      </c>
      <c r="D41" s="133" t="n">
        <v>-0.58</v>
      </c>
      <c r="E41" s="133" t="n">
        <v>-0.378634782092508</v>
      </c>
      <c r="F41" s="226" t="n">
        <v>0.035</v>
      </c>
      <c r="G41" s="227" t="n">
        <v>0.04</v>
      </c>
      <c r="H41" s="227" t="n">
        <v>0.06</v>
      </c>
      <c r="I41" s="228" t="n">
        <v>0.03</v>
      </c>
      <c r="J41" s="227" t="n">
        <v>0.015</v>
      </c>
      <c r="K41" s="227" t="n">
        <v>0.06</v>
      </c>
      <c r="L41" s="227" t="n">
        <v>0.4</v>
      </c>
      <c r="M41" s="226" t="n">
        <v>-0.85</v>
      </c>
      <c r="N41" s="227" t="n">
        <v>0.93</v>
      </c>
      <c r="O41" s="228" t="n">
        <v>0.2</v>
      </c>
      <c r="P41" s="183" t="n">
        <v>-0.36</v>
      </c>
      <c r="Q41" s="231" t="n">
        <v>0.57</v>
      </c>
      <c r="R41" s="232" t="n">
        <v>0.5975</v>
      </c>
      <c r="S41" s="139" t="n">
        <v>0.5975</v>
      </c>
      <c r="T41" s="56" t="n">
        <v>0.58</v>
      </c>
      <c r="U41" s="220" t="n">
        <v>0.5975</v>
      </c>
      <c r="V41" s="12" t="n">
        <v>2.848</v>
      </c>
      <c r="W41" s="12" t="n">
        <v>2.848</v>
      </c>
      <c r="X41" s="142" t="n">
        <v>3.04936521790749</v>
      </c>
      <c r="Y41" s="62" t="s">
        <v>81</v>
      </c>
      <c r="Z41" s="221" t="n">
        <v>0</v>
      </c>
      <c r="AA41" s="237" t="n">
        <v>0.29</v>
      </c>
      <c r="AB41" s="242" t="n">
        <v>4.10160209683993</v>
      </c>
      <c r="AC41" s="90" t="n">
        <v>4.10160209683993</v>
      </c>
      <c r="AD41" s="142" t="n">
        <v>4.39160209683993</v>
      </c>
      <c r="AE41" s="182" t="n">
        <v>3.068</v>
      </c>
      <c r="AF41" s="78" t="n">
        <v>2.578</v>
      </c>
      <c r="AG41" s="147" t="n">
        <v>3.628</v>
      </c>
      <c r="AH41" s="185" t="n">
        <v>-0.4</v>
      </c>
      <c r="AI41" s="223" t="n">
        <v>1.51945923521192</v>
      </c>
      <c r="AJ41" s="37" t="n">
        <v>0.0441803443301509</v>
      </c>
      <c r="AK41" s="37" t="n">
        <v>0.0378910494611557</v>
      </c>
      <c r="AL41" s="39" t="n">
        <v>0.988580024762804</v>
      </c>
      <c r="AM41" s="149" t="n">
        <v>0.99018262911791</v>
      </c>
      <c r="AN41" s="129" t="n">
        <v>0.045</v>
      </c>
      <c r="AO41" s="150" t="n">
        <v>0.12</v>
      </c>
      <c r="AP41" s="22"/>
      <c r="AQ41" s="129" t="n">
        <v>-3.39871895019458</v>
      </c>
      <c r="AR41" s="151" t="n">
        <v>-2.81871895019458</v>
      </c>
      <c r="AS41" s="22"/>
      <c r="AT41" s="5" t="n">
        <v>0.01</v>
      </c>
      <c r="AU41" s="22"/>
      <c r="AV41" s="129" t="n">
        <v>0.0075</v>
      </c>
      <c r="AW41" s="187"/>
      <c r="AX41" s="39" t="n">
        <v>-0.16</v>
      </c>
      <c r="AY41" s="39"/>
      <c r="AZ41" s="243" t="n">
        <v>0.775</v>
      </c>
      <c r="BA41" s="243" t="n">
        <v>0.65</v>
      </c>
      <c r="BB41" s="194" t="n">
        <v>-0.58</v>
      </c>
      <c r="BC41" s="190"/>
      <c r="BD41" s="39"/>
      <c r="BE41" s="22"/>
      <c r="BF41" s="96"/>
      <c r="BG41" s="22"/>
      <c r="BH41" s="71"/>
      <c r="BI41" s="71"/>
      <c r="BJ41" s="22"/>
      <c r="BK41" s="96"/>
      <c r="BL41" s="22"/>
      <c r="BM41" s="22"/>
      <c r="BN41" s="39"/>
      <c r="BO41" s="39"/>
      <c r="BP41" s="71"/>
      <c r="BQ41" s="22"/>
      <c r="BR41" s="71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</row>
    <row r="42" customFormat="false" ht="12.75" hidden="false" customHeight="false" outlineLevel="0" collapsed="false">
      <c r="A42" s="216" t="n">
        <v>37196</v>
      </c>
      <c r="B42" s="217" t="n">
        <v>3.7</v>
      </c>
      <c r="C42" s="225" t="n">
        <v>-0.485</v>
      </c>
      <c r="D42" s="133" t="n">
        <v>-0.382631062660763</v>
      </c>
      <c r="E42" s="133" t="n">
        <v>-0.276791991852399</v>
      </c>
      <c r="F42" s="226" t="n">
        <v>0.155</v>
      </c>
      <c r="G42" s="227" t="n">
        <v>0.285</v>
      </c>
      <c r="H42" s="227" t="n">
        <v>0.3</v>
      </c>
      <c r="I42" s="228" t="n">
        <v>0.43</v>
      </c>
      <c r="J42" s="227" t="n">
        <v>0.07</v>
      </c>
      <c r="K42" s="227" t="n">
        <v>0.1</v>
      </c>
      <c r="L42" s="227" t="n">
        <v>0.55</v>
      </c>
      <c r="M42" s="226" t="n">
        <v>-0.375</v>
      </c>
      <c r="N42" s="227" t="n">
        <v>0.91</v>
      </c>
      <c r="O42" s="228" t="n">
        <v>0.63</v>
      </c>
      <c r="P42" s="245" t="n">
        <v>0.397</v>
      </c>
      <c r="Q42" s="160" t="n">
        <v>0.585</v>
      </c>
      <c r="R42" s="232" t="n">
        <v>0.5975</v>
      </c>
      <c r="S42" s="139" t="n">
        <v>0.7475</v>
      </c>
      <c r="T42" s="56" t="n">
        <v>0.8</v>
      </c>
      <c r="U42" s="220" t="n">
        <v>0.5975</v>
      </c>
      <c r="V42" s="12" t="n">
        <v>3.215</v>
      </c>
      <c r="W42" s="12" t="n">
        <v>3.31736893733924</v>
      </c>
      <c r="X42" s="142" t="n">
        <v>3.4232080081476</v>
      </c>
      <c r="Y42" s="180"/>
      <c r="Z42" s="221" t="n">
        <v>0.1475</v>
      </c>
      <c r="AA42" s="237" t="n">
        <v>0.3</v>
      </c>
      <c r="AB42" s="242" t="n">
        <v>4.63238666265062</v>
      </c>
      <c r="AC42" s="90" t="n">
        <v>4.77988666265062</v>
      </c>
      <c r="AD42" s="142" t="n">
        <v>4.93238666265062</v>
      </c>
      <c r="AE42" s="182" t="n">
        <v>4.097</v>
      </c>
      <c r="AF42" s="78" t="n">
        <v>3.325</v>
      </c>
      <c r="AG42" s="147" t="n">
        <v>4.33</v>
      </c>
      <c r="AH42" s="185" t="n">
        <v>-0.27</v>
      </c>
      <c r="AI42" s="223" t="n">
        <v>1.52019512993764</v>
      </c>
      <c r="AJ42" s="37" t="n">
        <v>0.0441078199057161</v>
      </c>
      <c r="AK42" s="37" t="n">
        <v>0.0379326420324388</v>
      </c>
      <c r="AL42" s="39" t="n">
        <v>0.984944553778705</v>
      </c>
      <c r="AM42" s="149" t="n">
        <v>0.987019059929458</v>
      </c>
      <c r="AN42" s="129" t="n">
        <v>0.295</v>
      </c>
      <c r="AO42" s="150" t="n">
        <v>0.124</v>
      </c>
      <c r="AP42" s="22"/>
      <c r="AQ42" s="129" t="n">
        <v>-3.65187902015383</v>
      </c>
      <c r="AR42" s="151" t="n">
        <v>-3.16687902015383</v>
      </c>
      <c r="AS42" s="22"/>
      <c r="AT42" s="246" t="n">
        <v>0.0075</v>
      </c>
      <c r="AU42" s="22"/>
      <c r="AV42" s="129" t="n">
        <v>0.005</v>
      </c>
      <c r="AW42" s="187"/>
      <c r="AX42" s="39" t="n">
        <v>0.01</v>
      </c>
      <c r="AY42" s="39"/>
      <c r="AZ42" s="243" t="n">
        <v>0.9</v>
      </c>
      <c r="BA42" s="243" t="n">
        <v>1</v>
      </c>
      <c r="BB42" s="194" t="n">
        <v>-0.485</v>
      </c>
      <c r="BC42" s="190"/>
      <c r="BD42" s="39"/>
      <c r="BE42" s="22"/>
      <c r="BF42" s="96"/>
      <c r="BG42" s="22"/>
      <c r="BH42" s="71"/>
      <c r="BI42" s="71"/>
      <c r="BJ42" s="22"/>
      <c r="BK42" s="96"/>
      <c r="BL42" s="22"/>
      <c r="BM42" s="22"/>
      <c r="BN42" s="39"/>
      <c r="BO42" s="39"/>
      <c r="BP42" s="71"/>
      <c r="BQ42" s="22"/>
      <c r="BR42" s="71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</row>
    <row r="43" customFormat="false" ht="12.75" hidden="false" customHeight="false" outlineLevel="0" collapsed="false">
      <c r="A43" s="224" t="n">
        <v>37226</v>
      </c>
      <c r="B43" s="217" t="n">
        <v>3.965</v>
      </c>
      <c r="C43" s="247" t="n">
        <v>-0.485</v>
      </c>
      <c r="D43" s="133" t="n">
        <v>-0.382677170588532</v>
      </c>
      <c r="E43" s="133" t="n">
        <v>-0.27688577068854</v>
      </c>
      <c r="F43" s="226" t="n">
        <v>0.16</v>
      </c>
      <c r="G43" s="227" t="n">
        <v>0.29</v>
      </c>
      <c r="H43" s="227" t="n">
        <v>0.305</v>
      </c>
      <c r="I43" s="228" t="n">
        <v>0.435</v>
      </c>
      <c r="J43" s="227" t="n">
        <v>0.105</v>
      </c>
      <c r="K43" s="227" t="n">
        <v>0.11</v>
      </c>
      <c r="L43" s="227" t="n">
        <v>0.87</v>
      </c>
      <c r="M43" s="226" t="n">
        <v>-0.375</v>
      </c>
      <c r="N43" s="227" t="n">
        <v>0.91</v>
      </c>
      <c r="O43" s="228" t="n">
        <v>0.88</v>
      </c>
      <c r="P43" s="245" t="n">
        <v>0.922</v>
      </c>
      <c r="Q43" s="160" t="n">
        <v>0.6</v>
      </c>
      <c r="R43" s="232" t="n">
        <v>0.6</v>
      </c>
      <c r="S43" s="139" t="n">
        <v>0.85</v>
      </c>
      <c r="T43" s="56" t="n">
        <v>1</v>
      </c>
      <c r="U43" s="220" t="n">
        <v>0.6</v>
      </c>
      <c r="V43" s="12" t="n">
        <v>3.48</v>
      </c>
      <c r="W43" s="12" t="n">
        <v>3.58232282941147</v>
      </c>
      <c r="X43" s="142" t="n">
        <v>3.68811422931146</v>
      </c>
      <c r="Y43" s="62" t="s">
        <v>79</v>
      </c>
      <c r="Z43" s="221" t="n">
        <v>0.1475</v>
      </c>
      <c r="AA43" s="237" t="n">
        <v>0.3</v>
      </c>
      <c r="AB43" s="242" t="n">
        <v>5.01647582413774</v>
      </c>
      <c r="AC43" s="90" t="n">
        <v>5.16397582413774</v>
      </c>
      <c r="AD43" s="142" t="n">
        <v>5.31647582413774</v>
      </c>
      <c r="AE43" s="182" t="n">
        <v>4.887</v>
      </c>
      <c r="AF43" s="78" t="n">
        <v>3.59</v>
      </c>
      <c r="AG43" s="147" t="n">
        <v>4.845</v>
      </c>
      <c r="AH43" s="185" t="n">
        <v>-0.27</v>
      </c>
      <c r="AI43" s="223" t="n">
        <v>1.52088014859525</v>
      </c>
      <c r="AJ43" s="37" t="n">
        <v>0.0440376349805205</v>
      </c>
      <c r="AK43" s="37" t="n">
        <v>0.0379728929084271</v>
      </c>
      <c r="AL43" s="39" t="n">
        <v>0.98145034252406</v>
      </c>
      <c r="AM43" s="149" t="n">
        <v>0.983960674210187</v>
      </c>
      <c r="AN43" s="129" t="n">
        <v>0.3</v>
      </c>
      <c r="AO43" s="150" t="n">
        <v>0.12</v>
      </c>
      <c r="AP43" s="22"/>
      <c r="AQ43" s="129" t="n">
        <v>-3.90197275979161</v>
      </c>
      <c r="AR43" s="151" t="n">
        <v>-3.41697275979161</v>
      </c>
      <c r="AS43" s="22"/>
      <c r="AT43" s="5" t="n">
        <v>0.0075</v>
      </c>
      <c r="AU43" s="22"/>
      <c r="AV43" s="129" t="n">
        <v>0.005</v>
      </c>
      <c r="AW43" s="187"/>
      <c r="AX43" s="39" t="n">
        <v>0.025</v>
      </c>
      <c r="AY43" s="39"/>
      <c r="AZ43" s="243" t="n">
        <v>1.1</v>
      </c>
      <c r="BA43" s="243" t="n">
        <v>1.2</v>
      </c>
      <c r="BB43" s="194" t="n">
        <v>-0.485</v>
      </c>
      <c r="BC43" s="190"/>
      <c r="BD43" s="39"/>
      <c r="BE43" s="22"/>
      <c r="BF43" s="96"/>
      <c r="BG43" s="22"/>
      <c r="BH43" s="71"/>
      <c r="BI43" s="71"/>
      <c r="BJ43" s="22"/>
      <c r="BK43" s="96"/>
      <c r="BL43" s="22"/>
      <c r="BM43" s="22"/>
      <c r="BN43" s="39"/>
      <c r="BO43" s="39"/>
      <c r="BP43" s="71"/>
      <c r="BQ43" s="22"/>
      <c r="BR43" s="71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</row>
    <row r="44" customFormat="false" ht="12.75" hidden="false" customHeight="false" outlineLevel="0" collapsed="false">
      <c r="A44" s="224" t="n">
        <v>37257</v>
      </c>
      <c r="B44" s="217" t="n">
        <v>4.048</v>
      </c>
      <c r="C44" s="247" t="n">
        <v>-0.485</v>
      </c>
      <c r="D44" s="133" t="n">
        <v>-0.382719795283272</v>
      </c>
      <c r="E44" s="133" t="n">
        <v>-0.276972464982925</v>
      </c>
      <c r="F44" s="226" t="n">
        <v>0.165</v>
      </c>
      <c r="G44" s="227" t="n">
        <v>0.295</v>
      </c>
      <c r="H44" s="227" t="n">
        <v>0.31</v>
      </c>
      <c r="I44" s="228" t="n">
        <v>0.44</v>
      </c>
      <c r="J44" s="227" t="n">
        <v>0.14</v>
      </c>
      <c r="K44" s="227" t="n">
        <v>0.11</v>
      </c>
      <c r="L44" s="227" t="n">
        <v>1.98</v>
      </c>
      <c r="M44" s="226" t="n">
        <v>-0.375</v>
      </c>
      <c r="N44" s="227" t="n">
        <v>0.93</v>
      </c>
      <c r="O44" s="228" t="n">
        <v>0.93</v>
      </c>
      <c r="P44" s="245" t="n">
        <v>0.972</v>
      </c>
      <c r="Q44" s="160" t="n">
        <v>0.6075</v>
      </c>
      <c r="R44" s="232" t="n">
        <v>0.605</v>
      </c>
      <c r="S44" s="139" t="n">
        <v>0.855</v>
      </c>
      <c r="T44" s="56" t="n">
        <v>1</v>
      </c>
      <c r="U44" s="220" t="n">
        <v>0.605</v>
      </c>
      <c r="V44" s="12" t="n">
        <v>3.563</v>
      </c>
      <c r="W44" s="12" t="n">
        <v>3.66528020471673</v>
      </c>
      <c r="X44" s="142" t="n">
        <v>3.77102753501707</v>
      </c>
      <c r="Y44" s="180"/>
      <c r="Z44" s="221" t="n">
        <v>0.1475</v>
      </c>
      <c r="AA44" s="237" t="n">
        <v>0.3</v>
      </c>
      <c r="AB44" s="242" t="n">
        <v>5.13826210512115</v>
      </c>
      <c r="AC44" s="90" t="n">
        <v>5.28576210512115</v>
      </c>
      <c r="AD44" s="142" t="n">
        <v>5.43826210512115</v>
      </c>
      <c r="AE44" s="182" t="n">
        <v>5.02</v>
      </c>
      <c r="AF44" s="78" t="n">
        <v>3.673</v>
      </c>
      <c r="AG44" s="147" t="n">
        <v>4.978</v>
      </c>
      <c r="AH44" s="185" t="n">
        <v>-0.27</v>
      </c>
      <c r="AI44" s="223" t="n">
        <v>1.52151396676416</v>
      </c>
      <c r="AJ44" s="37" t="n">
        <v>0.044038711128997</v>
      </c>
      <c r="AK44" s="37" t="n">
        <v>0.0381476660381703</v>
      </c>
      <c r="AL44" s="39" t="n">
        <v>0.977828023134712</v>
      </c>
      <c r="AM44" s="149" t="n">
        <v>0.980737636316978</v>
      </c>
      <c r="AN44" s="129" t="n">
        <v>0.305</v>
      </c>
      <c r="AO44" s="150" t="n">
        <v>0.12</v>
      </c>
      <c r="AP44" s="22"/>
      <c r="AQ44" s="129" t="n">
        <v>-3.98005941784888</v>
      </c>
      <c r="AR44" s="151" t="n">
        <v>-3.49505941784888</v>
      </c>
      <c r="AS44" s="22"/>
      <c r="AT44" s="5" t="n">
        <v>0.0075</v>
      </c>
      <c r="AU44" s="22"/>
      <c r="AV44" s="129" t="n">
        <v>0.005</v>
      </c>
      <c r="AW44" s="187"/>
      <c r="AX44" s="39" t="n">
        <v>0.03</v>
      </c>
      <c r="AY44" s="39"/>
      <c r="AZ44" s="243" t="n">
        <v>1.1</v>
      </c>
      <c r="BA44" s="243" t="n">
        <v>1.2</v>
      </c>
      <c r="BB44" s="194" t="n">
        <v>-0.485</v>
      </c>
      <c r="BC44" s="190"/>
      <c r="BD44" s="39"/>
      <c r="BE44" s="22"/>
      <c r="BF44" s="96"/>
      <c r="BG44" s="22"/>
      <c r="BH44" s="71"/>
      <c r="BI44" s="71"/>
      <c r="BJ44" s="22"/>
      <c r="BK44" s="96"/>
      <c r="BL44" s="22"/>
      <c r="BM44" s="22"/>
      <c r="BN44" s="39"/>
      <c r="BO44" s="39"/>
      <c r="BP44" s="71"/>
      <c r="BQ44" s="22"/>
      <c r="BR44" s="71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</row>
    <row r="45" customFormat="false" ht="12.75" hidden="false" customHeight="false" outlineLevel="0" collapsed="false">
      <c r="A45" s="224" t="n">
        <v>37288</v>
      </c>
      <c r="B45" s="217" t="n">
        <v>3.933</v>
      </c>
      <c r="C45" s="247" t="n">
        <v>-0.485</v>
      </c>
      <c r="D45" s="133" t="n">
        <v>-0.38275306224032</v>
      </c>
      <c r="E45" s="133" t="n">
        <v>-0.277040126590482</v>
      </c>
      <c r="F45" s="226" t="n">
        <v>0.255</v>
      </c>
      <c r="G45" s="227" t="n">
        <v>0.385</v>
      </c>
      <c r="H45" s="227" t="n">
        <v>0.4</v>
      </c>
      <c r="I45" s="228" t="n">
        <v>0.53</v>
      </c>
      <c r="J45" s="227" t="n">
        <v>0.145</v>
      </c>
      <c r="K45" s="227" t="n">
        <v>0.19</v>
      </c>
      <c r="L45" s="227" t="n">
        <v>1.98</v>
      </c>
      <c r="M45" s="226" t="n">
        <v>-0.375</v>
      </c>
      <c r="N45" s="227" t="n">
        <v>0.68</v>
      </c>
      <c r="O45" s="228" t="n">
        <v>0.69</v>
      </c>
      <c r="P45" s="245" t="n">
        <v>0.792</v>
      </c>
      <c r="Q45" s="160" t="n">
        <v>0.605</v>
      </c>
      <c r="R45" s="232" t="n">
        <v>0.6025</v>
      </c>
      <c r="S45" s="139" t="n">
        <v>0.7525</v>
      </c>
      <c r="T45" s="56" t="n">
        <v>1</v>
      </c>
      <c r="U45" s="220" t="n">
        <v>0.6025</v>
      </c>
      <c r="V45" s="12" t="n">
        <v>3.448</v>
      </c>
      <c r="W45" s="12" t="n">
        <v>3.55024693775968</v>
      </c>
      <c r="X45" s="142" t="n">
        <v>3.65595987340952</v>
      </c>
      <c r="Y45" s="13"/>
      <c r="Z45" s="221" t="n">
        <v>0.1475</v>
      </c>
      <c r="AA45" s="237" t="n">
        <v>0.3</v>
      </c>
      <c r="AB45" s="242" t="n">
        <v>4.97403649579572</v>
      </c>
      <c r="AC45" s="90" t="n">
        <v>5.12153649579572</v>
      </c>
      <c r="AD45" s="142" t="n">
        <v>5.27403649579572</v>
      </c>
      <c r="AE45" s="182" t="n">
        <v>4.725</v>
      </c>
      <c r="AF45" s="78" t="n">
        <v>3.558</v>
      </c>
      <c r="AG45" s="147" t="n">
        <v>4.623</v>
      </c>
      <c r="AH45" s="185" t="n">
        <v>-0.27</v>
      </c>
      <c r="AI45" s="223" t="n">
        <v>1.52200900496179</v>
      </c>
      <c r="AJ45" s="37" t="n">
        <v>0.0441182945535772</v>
      </c>
      <c r="AK45" s="37" t="n">
        <v>0.0385068430474189</v>
      </c>
      <c r="AL45" s="39" t="n">
        <v>0.974174030193822</v>
      </c>
      <c r="AM45" s="149" t="n">
        <v>0.977390669976869</v>
      </c>
      <c r="AN45" s="129" t="n">
        <v>0.395</v>
      </c>
      <c r="AO45" s="150" t="n">
        <v>0.133</v>
      </c>
      <c r="AP45" s="22"/>
      <c r="AQ45" s="129" t="n">
        <v>-3.85512705117475</v>
      </c>
      <c r="AR45" s="151" t="n">
        <v>-3.37012705117475</v>
      </c>
      <c r="AS45" s="22"/>
      <c r="AT45" s="5" t="n">
        <v>0.0075</v>
      </c>
      <c r="AU45" s="22"/>
      <c r="AV45" s="129" t="n">
        <v>0.005</v>
      </c>
      <c r="AW45" s="187"/>
      <c r="AX45" s="39" t="n">
        <v>0.025</v>
      </c>
      <c r="AY45" s="39"/>
      <c r="AZ45" s="243" t="n">
        <v>1.1</v>
      </c>
      <c r="BA45" s="243" t="n">
        <v>1.2</v>
      </c>
      <c r="BB45" s="194" t="n">
        <v>-0.485</v>
      </c>
      <c r="BC45" s="190"/>
      <c r="BD45" s="39"/>
      <c r="BE45" s="22"/>
      <c r="BF45" s="96"/>
      <c r="BG45" s="22"/>
      <c r="BH45" s="71"/>
      <c r="BI45" s="71"/>
      <c r="BJ45" s="22"/>
      <c r="BK45" s="96"/>
      <c r="BL45" s="22"/>
      <c r="BM45" s="22"/>
      <c r="BN45" s="39"/>
      <c r="BO45" s="39"/>
      <c r="BP45" s="71"/>
      <c r="BQ45" s="22"/>
      <c r="BR45" s="71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</row>
    <row r="46" customFormat="false" ht="12.75" hidden="false" customHeight="false" outlineLevel="0" collapsed="false">
      <c r="A46" s="224" t="n">
        <v>37316</v>
      </c>
      <c r="B46" s="217" t="n">
        <v>3.758</v>
      </c>
      <c r="C46" s="247" t="n">
        <v>-0.485</v>
      </c>
      <c r="D46" s="133" t="n">
        <v>-0.382779009335921</v>
      </c>
      <c r="E46" s="133" t="n">
        <v>-0.277092900344245</v>
      </c>
      <c r="F46" s="226" t="n">
        <v>0.265</v>
      </c>
      <c r="G46" s="227" t="n">
        <v>0.395</v>
      </c>
      <c r="H46" s="227" t="n">
        <v>0.41</v>
      </c>
      <c r="I46" s="228" t="n">
        <v>0.54</v>
      </c>
      <c r="J46" s="227" t="n">
        <v>0.14</v>
      </c>
      <c r="K46" s="227" t="n">
        <v>0.19</v>
      </c>
      <c r="L46" s="227" t="n">
        <v>0.55</v>
      </c>
      <c r="M46" s="226" t="n">
        <v>-0.375</v>
      </c>
      <c r="N46" s="227" t="n">
        <v>0.53</v>
      </c>
      <c r="O46" s="228" t="n">
        <v>0.55</v>
      </c>
      <c r="P46" s="245" t="n">
        <v>0.347</v>
      </c>
      <c r="Q46" s="160" t="n">
        <v>0.5575</v>
      </c>
      <c r="R46" s="232" t="n">
        <v>0.555</v>
      </c>
      <c r="S46" s="139" t="n">
        <v>0.655</v>
      </c>
      <c r="T46" s="56" t="n">
        <v>0.75</v>
      </c>
      <c r="U46" s="220" t="n">
        <v>0.555</v>
      </c>
      <c r="V46" s="12" t="n">
        <v>3.273</v>
      </c>
      <c r="W46" s="12" t="n">
        <v>3.37522099066408</v>
      </c>
      <c r="X46" s="142" t="n">
        <v>3.48090709965576</v>
      </c>
      <c r="Y46" s="13"/>
      <c r="Z46" s="221" t="n">
        <v>0.1475</v>
      </c>
      <c r="AA46" s="237" t="n">
        <v>0.3</v>
      </c>
      <c r="AB46" s="242" t="n">
        <v>4.7227824428593</v>
      </c>
      <c r="AC46" s="90" t="n">
        <v>4.8702824428593</v>
      </c>
      <c r="AD46" s="142" t="n">
        <v>5.0227824428593</v>
      </c>
      <c r="AE46" s="182" t="n">
        <v>4.105</v>
      </c>
      <c r="AF46" s="78" t="n">
        <v>3.383</v>
      </c>
      <c r="AG46" s="147" t="n">
        <v>4.308</v>
      </c>
      <c r="AH46" s="185" t="n">
        <v>-0.27</v>
      </c>
      <c r="AI46" s="223" t="n">
        <v>1.52239534159284</v>
      </c>
      <c r="AJ46" s="37" t="n">
        <v>0.0441901763582462</v>
      </c>
      <c r="AK46" s="37" t="n">
        <v>0.0388312610284882</v>
      </c>
      <c r="AL46" s="39" t="n">
        <v>0.970874358774972</v>
      </c>
      <c r="AM46" s="149" t="n">
        <v>0.974327357330887</v>
      </c>
      <c r="AN46" s="129" t="n">
        <v>0.405</v>
      </c>
      <c r="AO46" s="150" t="n">
        <v>0.12</v>
      </c>
      <c r="AP46" s="22"/>
      <c r="AQ46" s="129" t="n">
        <v>-3.65717980286975</v>
      </c>
      <c r="AR46" s="151" t="n">
        <v>-3.17217980286975</v>
      </c>
      <c r="AS46" s="22"/>
      <c r="AT46" s="5" t="n">
        <v>0.0075</v>
      </c>
      <c r="AU46" s="22"/>
      <c r="AV46" s="129" t="n">
        <v>0.005</v>
      </c>
      <c r="AW46" s="187"/>
      <c r="AX46" s="39" t="n">
        <v>0.01</v>
      </c>
      <c r="AY46" s="39"/>
      <c r="AZ46" s="243" t="n">
        <v>0.85</v>
      </c>
      <c r="BA46" s="243" t="n">
        <v>0.95</v>
      </c>
      <c r="BB46" s="194" t="n">
        <v>-0.485</v>
      </c>
      <c r="BC46" s="190"/>
      <c r="BD46" s="39"/>
      <c r="BE46" s="22"/>
      <c r="BF46" s="96"/>
      <c r="BG46" s="22"/>
      <c r="BH46" s="71"/>
      <c r="BI46" s="71"/>
      <c r="BJ46" s="22"/>
      <c r="BK46" s="96"/>
      <c r="BL46" s="22"/>
      <c r="BM46" s="22"/>
      <c r="BN46" s="39"/>
      <c r="BO46" s="39"/>
      <c r="BP46" s="71"/>
      <c r="BQ46" s="22"/>
      <c r="BR46" s="71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</row>
    <row r="47" customFormat="false" ht="13.5" hidden="false" customHeight="true" outlineLevel="0" collapsed="false">
      <c r="A47" s="224" t="n">
        <v>37347</v>
      </c>
      <c r="B47" s="217" t="n">
        <v>3.463</v>
      </c>
      <c r="C47" s="239" t="n">
        <v>-0.515</v>
      </c>
      <c r="D47" s="133" t="n">
        <v>-0.412805488812801</v>
      </c>
      <c r="E47" s="133" t="n">
        <v>-0.411073378453696</v>
      </c>
      <c r="F47" s="226" t="n">
        <v>0.1075</v>
      </c>
      <c r="G47" s="227" t="n">
        <v>0.1025</v>
      </c>
      <c r="H47" s="227" t="n">
        <v>0.1525</v>
      </c>
      <c r="I47" s="228" t="n">
        <v>0.1025</v>
      </c>
      <c r="J47" s="227" t="n">
        <v>0.035</v>
      </c>
      <c r="K47" s="227" t="n">
        <v>0.1075</v>
      </c>
      <c r="L47" s="227" t="n">
        <v>0.45</v>
      </c>
      <c r="M47" s="226" t="n">
        <v>-0.84</v>
      </c>
      <c r="N47" s="227" t="n">
        <v>0.35</v>
      </c>
      <c r="O47" s="228" t="n">
        <v>0.17</v>
      </c>
      <c r="P47" s="240" t="n">
        <v>-0.39</v>
      </c>
      <c r="Q47" s="160" t="n">
        <v>0.45</v>
      </c>
      <c r="R47" s="232" t="n">
        <v>0.4425</v>
      </c>
      <c r="S47" s="139" t="n">
        <v>0.4425</v>
      </c>
      <c r="T47" s="56" t="n">
        <v>0.4</v>
      </c>
      <c r="U47" s="220" t="n">
        <v>0.4425</v>
      </c>
      <c r="V47" s="12" t="n">
        <v>2.948</v>
      </c>
      <c r="W47" s="12" t="n">
        <v>3.0501945111872</v>
      </c>
      <c r="X47" s="142" t="n">
        <v>3.0519266215463</v>
      </c>
      <c r="Y47" s="13"/>
      <c r="Z47" s="221" t="n">
        <v>0.1475</v>
      </c>
      <c r="AA47" s="237" t="n">
        <v>0.15</v>
      </c>
      <c r="AB47" s="242" t="n">
        <v>4.25492519068351</v>
      </c>
      <c r="AC47" s="90" t="n">
        <v>4.40242519068351</v>
      </c>
      <c r="AD47" s="142" t="n">
        <v>4.40492519068351</v>
      </c>
      <c r="AE47" s="182" t="n">
        <v>3.073</v>
      </c>
      <c r="AF47" s="78" t="n">
        <v>2.623</v>
      </c>
      <c r="AG47" s="147" t="n">
        <v>3.633</v>
      </c>
      <c r="AH47" s="185" t="n">
        <v>-0.49</v>
      </c>
      <c r="AI47" s="223" t="n">
        <v>1.52278980732082</v>
      </c>
      <c r="AJ47" s="37" t="n">
        <v>0.0443223469300369</v>
      </c>
      <c r="AK47" s="37" t="n">
        <v>0.0392129152273464</v>
      </c>
      <c r="AL47" s="39" t="n">
        <v>0.967184149303971</v>
      </c>
      <c r="AM47" s="149" t="n">
        <v>0.970875520344327</v>
      </c>
      <c r="AN47" s="129" t="n">
        <v>0.1025</v>
      </c>
      <c r="AO47" s="150" t="n">
        <v>0.124</v>
      </c>
      <c r="AP47" s="22"/>
      <c r="AQ47" s="129" t="n">
        <v>-3.40611681846077</v>
      </c>
      <c r="AR47" s="151" t="n">
        <v>-2.89111681846077</v>
      </c>
      <c r="AS47" s="22"/>
      <c r="AT47" s="5" t="n">
        <v>0.0075</v>
      </c>
      <c r="AU47" s="22"/>
      <c r="AV47" s="129" t="n">
        <v>0.0025</v>
      </c>
      <c r="AW47" s="187"/>
      <c r="AX47" s="39" t="n">
        <v>-0.1</v>
      </c>
      <c r="AY47" s="39"/>
      <c r="AZ47" s="243" t="n">
        <v>0.44</v>
      </c>
      <c r="BA47" s="243" t="n">
        <v>0.4</v>
      </c>
      <c r="BB47" s="194" t="n">
        <v>-0.515</v>
      </c>
      <c r="BC47" s="190"/>
      <c r="BD47" s="39"/>
      <c r="BE47" s="22"/>
      <c r="BF47" s="96"/>
      <c r="BG47" s="22"/>
      <c r="BH47" s="71"/>
      <c r="BI47" s="71"/>
      <c r="BJ47" s="22"/>
      <c r="BK47" s="96"/>
      <c r="BL47" s="22"/>
      <c r="BM47" s="22"/>
      <c r="BN47" s="39"/>
      <c r="BO47" s="39"/>
      <c r="BP47" s="71"/>
      <c r="BQ47" s="22"/>
      <c r="BR47" s="71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</row>
    <row r="48" customFormat="false" ht="12.75" hidden="false" customHeight="false" outlineLevel="0" collapsed="false">
      <c r="A48" s="224" t="n">
        <v>37377</v>
      </c>
      <c r="B48" s="217" t="n">
        <v>3.433</v>
      </c>
      <c r="C48" s="244" t="n">
        <v>-0.515</v>
      </c>
      <c r="D48" s="133" t="n">
        <v>-0.412830775458597</v>
      </c>
      <c r="E48" s="133" t="n">
        <v>-0.411099093686709</v>
      </c>
      <c r="F48" s="226" t="n">
        <v>0.1075</v>
      </c>
      <c r="G48" s="227" t="n">
        <v>0.1025</v>
      </c>
      <c r="H48" s="227" t="n">
        <v>0.1525</v>
      </c>
      <c r="I48" s="228" t="n">
        <v>0.1025</v>
      </c>
      <c r="J48" s="227" t="n">
        <v>0.035</v>
      </c>
      <c r="K48" s="227" t="n">
        <v>0.1075</v>
      </c>
      <c r="L48" s="227" t="n">
        <v>0.39</v>
      </c>
      <c r="M48" s="226" t="n">
        <v>-0.84</v>
      </c>
      <c r="N48" s="227" t="n">
        <v>0.35</v>
      </c>
      <c r="O48" s="228" t="n">
        <v>0.17</v>
      </c>
      <c r="P48" s="183" t="n">
        <v>-0.39</v>
      </c>
      <c r="Q48" s="160" t="n">
        <v>0.3975</v>
      </c>
      <c r="R48" s="232" t="n">
        <v>0.39</v>
      </c>
      <c r="S48" s="139" t="n">
        <v>0.39</v>
      </c>
      <c r="T48" s="56" t="n">
        <v>0.45</v>
      </c>
      <c r="U48" s="220" t="n">
        <v>0.39</v>
      </c>
      <c r="V48" s="12" t="n">
        <v>2.918</v>
      </c>
      <c r="W48" s="12" t="n">
        <v>3.0201692245414</v>
      </c>
      <c r="X48" s="142" t="n">
        <v>3.02190090631329</v>
      </c>
      <c r="Y48" s="13"/>
      <c r="Z48" s="221" t="n">
        <v>0.1475</v>
      </c>
      <c r="AA48" s="237" t="n">
        <v>0.15</v>
      </c>
      <c r="AB48" s="242" t="n">
        <v>4.2126677767392</v>
      </c>
      <c r="AC48" s="90" t="n">
        <v>4.3601677767392</v>
      </c>
      <c r="AD48" s="142" t="n">
        <v>4.3626677767392</v>
      </c>
      <c r="AE48" s="182" t="n">
        <v>3.043</v>
      </c>
      <c r="AF48" s="78" t="n">
        <v>2.593</v>
      </c>
      <c r="AG48" s="147" t="n">
        <v>3.603</v>
      </c>
      <c r="AH48" s="185" t="n">
        <v>-0.49</v>
      </c>
      <c r="AI48" s="223" t="n">
        <v>1.5231666942616</v>
      </c>
      <c r="AJ48" s="37" t="n">
        <v>0.0445120498960501</v>
      </c>
      <c r="AK48" s="37" t="n">
        <v>0.0396000022835232</v>
      </c>
      <c r="AL48" s="39" t="n">
        <v>0.963557082150303</v>
      </c>
      <c r="AM48" s="149" t="n">
        <v>0.967473998385783</v>
      </c>
      <c r="AN48" s="129" t="n">
        <v>0.1025</v>
      </c>
      <c r="AO48" s="150" t="n">
        <v>0.12</v>
      </c>
      <c r="AP48" s="22"/>
      <c r="AQ48" s="129" t="n">
        <v>-3.37114252294514</v>
      </c>
      <c r="AR48" s="151" t="n">
        <v>-2.85614252294514</v>
      </c>
      <c r="AS48" s="22"/>
      <c r="AT48" s="5" t="n">
        <v>0.0075</v>
      </c>
      <c r="AU48" s="22"/>
      <c r="AV48" s="129" t="n">
        <v>0.0025</v>
      </c>
      <c r="AW48" s="187"/>
      <c r="AX48" s="39" t="n">
        <v>-0.1</v>
      </c>
      <c r="AY48" s="39"/>
      <c r="AZ48" s="243" t="n">
        <v>0.45</v>
      </c>
      <c r="BA48" s="243" t="n">
        <v>0.45</v>
      </c>
      <c r="BB48" s="194" t="n">
        <v>-0.515</v>
      </c>
      <c r="BC48" s="190"/>
      <c r="BD48" s="39"/>
      <c r="BE48" s="22"/>
      <c r="BF48" s="96"/>
      <c r="BG48" s="22"/>
      <c r="BH48" s="71"/>
      <c r="BI48" s="71"/>
      <c r="BJ48" s="22"/>
      <c r="BK48" s="96"/>
      <c r="BL48" s="22"/>
      <c r="BM48" s="22"/>
      <c r="BN48" s="39"/>
      <c r="BO48" s="39"/>
      <c r="BP48" s="71"/>
      <c r="BQ48" s="22"/>
      <c r="BR48" s="71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</row>
    <row r="49" customFormat="false" ht="12.75" hidden="false" customHeight="false" outlineLevel="0" collapsed="false">
      <c r="A49" s="224" t="n">
        <v>37408</v>
      </c>
      <c r="B49" s="217" t="n">
        <v>3.48</v>
      </c>
      <c r="C49" s="244" t="n">
        <v>-0.515</v>
      </c>
      <c r="D49" s="133" t="n">
        <v>-0.412853483636039</v>
      </c>
      <c r="E49" s="133" t="n">
        <v>-0.411122186748514</v>
      </c>
      <c r="F49" s="226" t="n">
        <v>0.1075</v>
      </c>
      <c r="G49" s="227" t="n">
        <v>0.1025</v>
      </c>
      <c r="H49" s="227" t="n">
        <v>0.1525</v>
      </c>
      <c r="I49" s="228" t="n">
        <v>0.1025</v>
      </c>
      <c r="J49" s="227" t="n">
        <v>0.035</v>
      </c>
      <c r="K49" s="227" t="n">
        <v>0.1075</v>
      </c>
      <c r="L49" s="227" t="n">
        <v>0.39</v>
      </c>
      <c r="M49" s="226" t="n">
        <v>-0.84</v>
      </c>
      <c r="N49" s="227" t="n">
        <v>0.44</v>
      </c>
      <c r="O49" s="228" t="n">
        <v>0.17</v>
      </c>
      <c r="P49" s="183" t="n">
        <v>-0.39</v>
      </c>
      <c r="Q49" s="160" t="n">
        <v>0.39</v>
      </c>
      <c r="R49" s="232" t="n">
        <v>0.3825</v>
      </c>
      <c r="S49" s="139" t="n">
        <v>0.3825</v>
      </c>
      <c r="T49" s="56" t="n">
        <v>0.45</v>
      </c>
      <c r="U49" s="220" t="n">
        <v>0.3825</v>
      </c>
      <c r="V49" s="12" t="n">
        <v>2.965</v>
      </c>
      <c r="W49" s="12" t="n">
        <v>3.06714651636396</v>
      </c>
      <c r="X49" s="142" t="n">
        <v>3.06887781325149</v>
      </c>
      <c r="Y49" s="62" t="s">
        <v>83</v>
      </c>
      <c r="Z49" s="221" t="n">
        <v>0.1475</v>
      </c>
      <c r="AA49" s="237" t="n">
        <v>0.15</v>
      </c>
      <c r="AB49" s="242" t="n">
        <v>4.28147249233357</v>
      </c>
      <c r="AC49" s="90" t="n">
        <v>4.42897249233357</v>
      </c>
      <c r="AD49" s="142" t="n">
        <v>4.43147249233357</v>
      </c>
      <c r="AE49" s="182" t="n">
        <v>3.09</v>
      </c>
      <c r="AF49" s="78" t="n">
        <v>2.64</v>
      </c>
      <c r="AG49" s="147" t="n">
        <v>3.65</v>
      </c>
      <c r="AH49" s="185" t="n">
        <v>-0.49</v>
      </c>
      <c r="AI49" s="223" t="n">
        <v>1.52350530923153</v>
      </c>
      <c r="AJ49" s="37" t="n">
        <v>0.0447080763069208</v>
      </c>
      <c r="AK49" s="37" t="n">
        <v>0.0399999922943977</v>
      </c>
      <c r="AL49" s="39" t="n">
        <v>0.959792678240009</v>
      </c>
      <c r="AM49" s="149" t="n">
        <v>0.96390853069229</v>
      </c>
      <c r="AN49" s="129" t="n">
        <v>0.1025</v>
      </c>
      <c r="AO49" s="150" t="n">
        <v>0.124</v>
      </c>
      <c r="AP49" s="22"/>
      <c r="AQ49" s="129" t="n">
        <v>-3.41616560635434</v>
      </c>
      <c r="AR49" s="151" t="n">
        <v>-2.90116560635434</v>
      </c>
      <c r="AS49" s="22"/>
      <c r="AT49" s="5" t="n">
        <v>0.0075</v>
      </c>
      <c r="AU49" s="22"/>
      <c r="AV49" s="129" t="n">
        <v>0.0025</v>
      </c>
      <c r="AW49" s="187"/>
      <c r="AX49" s="39" t="n">
        <v>-0.1</v>
      </c>
      <c r="AY49" s="39"/>
      <c r="AZ49" s="243" t="n">
        <v>0.45</v>
      </c>
      <c r="BA49" s="243" t="n">
        <v>0.45</v>
      </c>
      <c r="BB49" s="194" t="n">
        <v>-0.515</v>
      </c>
      <c r="BC49" s="190"/>
      <c r="BD49" s="39"/>
      <c r="BE49" s="22"/>
      <c r="BF49" s="96"/>
      <c r="BG49" s="22"/>
      <c r="BH49" s="71"/>
      <c r="BI49" s="71"/>
      <c r="BJ49" s="22"/>
      <c r="BK49" s="96"/>
      <c r="BL49" s="22"/>
      <c r="BM49" s="22"/>
      <c r="BN49" s="39"/>
      <c r="BO49" s="39"/>
      <c r="BP49" s="71"/>
      <c r="BQ49" s="22"/>
      <c r="BR49" s="71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</row>
    <row r="50" customFormat="false" ht="12.75" hidden="false" customHeight="false" outlineLevel="0" collapsed="false">
      <c r="A50" s="224" t="n">
        <v>37438</v>
      </c>
      <c r="B50" s="217" t="n">
        <v>3.532</v>
      </c>
      <c r="C50" s="244" t="n">
        <v>-0.515</v>
      </c>
      <c r="D50" s="133" t="n">
        <v>-0.412874645667836</v>
      </c>
      <c r="E50" s="133" t="n">
        <v>-0.411143707458816</v>
      </c>
      <c r="F50" s="226" t="n">
        <v>0.1075</v>
      </c>
      <c r="G50" s="227" t="n">
        <v>0.1025</v>
      </c>
      <c r="H50" s="227" t="n">
        <v>0.1525</v>
      </c>
      <c r="I50" s="228" t="n">
        <v>0.1025</v>
      </c>
      <c r="J50" s="227" t="n">
        <v>0.035</v>
      </c>
      <c r="K50" s="227" t="n">
        <v>0.1075</v>
      </c>
      <c r="L50" s="227" t="n">
        <v>0.45</v>
      </c>
      <c r="M50" s="226" t="n">
        <v>-0.84</v>
      </c>
      <c r="N50" s="227" t="n">
        <v>0.56</v>
      </c>
      <c r="O50" s="228" t="n">
        <v>0.17</v>
      </c>
      <c r="P50" s="183" t="n">
        <v>-0.39</v>
      </c>
      <c r="Q50" s="160" t="n">
        <v>0.3875</v>
      </c>
      <c r="R50" s="232" t="n">
        <v>0.38</v>
      </c>
      <c r="S50" s="139" t="n">
        <v>0.38</v>
      </c>
      <c r="T50" s="56" t="n">
        <v>0.5</v>
      </c>
      <c r="U50" s="220" t="n">
        <v>0.38</v>
      </c>
      <c r="V50" s="12" t="n">
        <v>3.017</v>
      </c>
      <c r="W50" s="12" t="n">
        <v>3.11912535433216</v>
      </c>
      <c r="X50" s="142" t="n">
        <v>3.12085629254118</v>
      </c>
      <c r="Y50" s="180" t="n">
        <v>4.44958322862433</v>
      </c>
      <c r="Z50" s="221" t="n">
        <v>0.1475</v>
      </c>
      <c r="AA50" s="237" t="n">
        <v>0.15</v>
      </c>
      <c r="AB50" s="242" t="n">
        <v>4.35746346154752</v>
      </c>
      <c r="AC50" s="90" t="n">
        <v>4.50496346154752</v>
      </c>
      <c r="AD50" s="142" t="n">
        <v>4.50746346154752</v>
      </c>
      <c r="AE50" s="182" t="n">
        <v>3.142</v>
      </c>
      <c r="AF50" s="78" t="n">
        <v>2.692</v>
      </c>
      <c r="AG50" s="147" t="n">
        <v>3.702</v>
      </c>
      <c r="AH50" s="185" t="n">
        <v>-0.49</v>
      </c>
      <c r="AI50" s="223" t="n">
        <v>1.52382100427129</v>
      </c>
      <c r="AJ50" s="37" t="n">
        <v>0.0449588611687104</v>
      </c>
      <c r="AK50" s="37" t="n">
        <v>0.0404233674148746</v>
      </c>
      <c r="AL50" s="39" t="n">
        <v>0.956076391053756</v>
      </c>
      <c r="AM50" s="149" t="n">
        <v>0.960375271177065</v>
      </c>
      <c r="AN50" s="129" t="n">
        <v>0.1025</v>
      </c>
      <c r="AO50" s="150" t="n">
        <v>0.12</v>
      </c>
      <c r="AP50" s="22"/>
      <c r="AQ50" s="129" t="n">
        <v>-3.46618711806926</v>
      </c>
      <c r="AR50" s="151" t="n">
        <v>-2.95118711806926</v>
      </c>
      <c r="AS50" s="22"/>
      <c r="AT50" s="5" t="n">
        <v>0.0075</v>
      </c>
      <c r="AU50" s="22"/>
      <c r="AV50" s="129" t="n">
        <v>0.0025</v>
      </c>
      <c r="AW50" s="187"/>
      <c r="AX50" s="39" t="n">
        <v>-0.1</v>
      </c>
      <c r="AY50" s="39"/>
      <c r="AZ50" s="243" t="n">
        <v>0.5</v>
      </c>
      <c r="BA50" s="243" t="n">
        <v>0.5</v>
      </c>
      <c r="BB50" s="194" t="n">
        <v>-0.515</v>
      </c>
      <c r="BC50" s="190"/>
      <c r="BD50" s="39"/>
      <c r="BE50" s="22"/>
      <c r="BF50" s="96"/>
      <c r="BG50" s="22"/>
      <c r="BH50" s="71"/>
      <c r="BI50" s="71"/>
      <c r="BJ50" s="22"/>
      <c r="BK50" s="96"/>
      <c r="BL50" s="22"/>
      <c r="BM50" s="22"/>
      <c r="BN50" s="39"/>
      <c r="BO50" s="39"/>
      <c r="BP50" s="71"/>
      <c r="BQ50" s="22"/>
      <c r="BR50" s="71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</row>
    <row r="51" customFormat="false" ht="12.75" hidden="false" customHeight="false" outlineLevel="0" collapsed="false">
      <c r="A51" s="224" t="n">
        <v>37469</v>
      </c>
      <c r="B51" s="217" t="n">
        <v>3.559</v>
      </c>
      <c r="C51" s="244" t="n">
        <v>-0.515</v>
      </c>
      <c r="D51" s="133" t="n">
        <v>-0.412895323172181</v>
      </c>
      <c r="E51" s="133" t="n">
        <v>-0.411164735429336</v>
      </c>
      <c r="F51" s="226" t="n">
        <v>0.1075</v>
      </c>
      <c r="G51" s="227" t="n">
        <v>0.1025</v>
      </c>
      <c r="H51" s="227" t="n">
        <v>0.1525</v>
      </c>
      <c r="I51" s="228" t="n">
        <v>0.1025</v>
      </c>
      <c r="J51" s="227" t="n">
        <v>0.035</v>
      </c>
      <c r="K51" s="227" t="n">
        <v>0.1075</v>
      </c>
      <c r="L51" s="227" t="n">
        <v>0.45</v>
      </c>
      <c r="M51" s="226" t="n">
        <v>-0.84</v>
      </c>
      <c r="N51" s="227" t="n">
        <v>0.56</v>
      </c>
      <c r="O51" s="228" t="n">
        <v>0.17</v>
      </c>
      <c r="P51" s="183" t="n">
        <v>-0.39</v>
      </c>
      <c r="Q51" s="160" t="n">
        <v>0.3875</v>
      </c>
      <c r="R51" s="232" t="n">
        <v>0.38</v>
      </c>
      <c r="S51" s="139" t="n">
        <v>0.38</v>
      </c>
      <c r="T51" s="56" t="n">
        <v>0.55</v>
      </c>
      <c r="U51" s="248" t="n">
        <v>0.38</v>
      </c>
      <c r="V51" s="12" t="n">
        <v>3.044</v>
      </c>
      <c r="W51" s="12" t="n">
        <v>3.14610467682782</v>
      </c>
      <c r="X51" s="142" t="n">
        <v>3.14783526457066</v>
      </c>
      <c r="Y51" s="180" t="n">
        <v>4.82258080142783</v>
      </c>
      <c r="Z51" s="221" t="n">
        <v>0.1475</v>
      </c>
      <c r="AA51" s="237" t="n">
        <v>0.15</v>
      </c>
      <c r="AB51" s="242" t="n">
        <v>4.39734999364565</v>
      </c>
      <c r="AC51" s="90" t="n">
        <v>4.54484999364565</v>
      </c>
      <c r="AD51" s="142" t="n">
        <v>4.54734999364565</v>
      </c>
      <c r="AE51" s="182" t="n">
        <v>3.169</v>
      </c>
      <c r="AF51" s="78" t="n">
        <v>2.719</v>
      </c>
      <c r="AG51" s="147" t="n">
        <v>3.729</v>
      </c>
      <c r="AH51" s="185" t="n">
        <v>-0.49</v>
      </c>
      <c r="AI51" s="223" t="n">
        <v>1.52412959753476</v>
      </c>
      <c r="AJ51" s="37" t="n">
        <v>0.0452938282242914</v>
      </c>
      <c r="AK51" s="37" t="n">
        <v>0.0409200973779149</v>
      </c>
      <c r="AL51" s="39" t="n">
        <v>0.952133752748968</v>
      </c>
      <c r="AM51" s="149" t="n">
        <v>0.956608591546836</v>
      </c>
      <c r="AN51" s="129" t="n">
        <v>0.1025</v>
      </c>
      <c r="AO51" s="150" t="n">
        <v>0.12</v>
      </c>
      <c r="AP51" s="22"/>
      <c r="AQ51" s="129" t="n">
        <v>-3.49120813725036</v>
      </c>
      <c r="AR51" s="151" t="n">
        <v>-2.97620813725036</v>
      </c>
      <c r="AS51" s="22"/>
      <c r="AT51" s="5" t="n">
        <v>0.0075</v>
      </c>
      <c r="AU51" s="22"/>
      <c r="AV51" s="129" t="n">
        <v>0.0025</v>
      </c>
      <c r="AW51" s="187"/>
      <c r="AX51" s="39" t="n">
        <v>-0.1</v>
      </c>
      <c r="AY51" s="39"/>
      <c r="AZ51" s="243" t="n">
        <v>0.55</v>
      </c>
      <c r="BA51" s="243" t="n">
        <v>0.55</v>
      </c>
      <c r="BB51" s="194" t="n">
        <v>-0.515</v>
      </c>
      <c r="BC51" s="190"/>
      <c r="BD51" s="39"/>
      <c r="BE51" s="22"/>
      <c r="BF51" s="96"/>
      <c r="BG51" s="22"/>
      <c r="BH51" s="71"/>
      <c r="BI51" s="71"/>
      <c r="BJ51" s="22"/>
      <c r="BK51" s="96"/>
      <c r="BL51" s="22"/>
      <c r="BM51" s="22"/>
      <c r="BN51" s="39"/>
      <c r="BO51" s="39"/>
      <c r="BP51" s="71"/>
      <c r="BQ51" s="22"/>
      <c r="BR51" s="71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</row>
    <row r="52" customFormat="false" ht="12.75" hidden="false" customHeight="false" outlineLevel="0" collapsed="false">
      <c r="A52" s="224" t="n">
        <v>37500</v>
      </c>
      <c r="B52" s="217" t="n">
        <v>3.574</v>
      </c>
      <c r="C52" s="244" t="n">
        <v>-0.515</v>
      </c>
      <c r="D52" s="133" t="n">
        <v>-0.412913244636146</v>
      </c>
      <c r="E52" s="133" t="n">
        <v>-0.411182960646928</v>
      </c>
      <c r="F52" s="226" t="n">
        <v>0.1075</v>
      </c>
      <c r="G52" s="227" t="n">
        <v>0.1025</v>
      </c>
      <c r="H52" s="227" t="n">
        <v>0.1525</v>
      </c>
      <c r="I52" s="228" t="n">
        <v>0.1025</v>
      </c>
      <c r="J52" s="227" t="n">
        <v>0.035</v>
      </c>
      <c r="K52" s="227" t="n">
        <v>0.1075</v>
      </c>
      <c r="L52" s="227" t="n">
        <v>0.41</v>
      </c>
      <c r="M52" s="226" t="n">
        <v>-0.84</v>
      </c>
      <c r="N52" s="227" t="n">
        <v>0.56</v>
      </c>
      <c r="O52" s="228" t="n">
        <v>0.17</v>
      </c>
      <c r="P52" s="183" t="n">
        <v>-0.39</v>
      </c>
      <c r="Q52" s="160" t="n">
        <v>0.39</v>
      </c>
      <c r="R52" s="232" t="n">
        <v>0.3825</v>
      </c>
      <c r="S52" s="139" t="n">
        <v>0.3825</v>
      </c>
      <c r="T52" s="56" t="n">
        <v>0.55</v>
      </c>
      <c r="U52" s="248" t="n">
        <v>0.3825</v>
      </c>
      <c r="V52" s="12" t="n">
        <v>3.059</v>
      </c>
      <c r="W52" s="12" t="n">
        <v>3.16108675536385</v>
      </c>
      <c r="X52" s="142" t="n">
        <v>3.16281703935307</v>
      </c>
      <c r="Y52" s="180" t="n">
        <v>4.18315639090755</v>
      </c>
      <c r="Z52" s="221" t="n">
        <v>0.1475</v>
      </c>
      <c r="AA52" s="237" t="n">
        <v>0.15</v>
      </c>
      <c r="AB52" s="242" t="n">
        <v>4.41979469708718</v>
      </c>
      <c r="AC52" s="90" t="n">
        <v>4.56729469708718</v>
      </c>
      <c r="AD52" s="142" t="n">
        <v>4.56979469708718</v>
      </c>
      <c r="AE52" s="182" t="n">
        <v>3.184</v>
      </c>
      <c r="AF52" s="78" t="n">
        <v>2.734</v>
      </c>
      <c r="AG52" s="147" t="n">
        <v>3.744</v>
      </c>
      <c r="AH52" s="185" t="n">
        <v>-0.49</v>
      </c>
      <c r="AI52" s="223" t="n">
        <v>1.52439716048709</v>
      </c>
      <c r="AJ52" s="37" t="n">
        <v>0.0456287953174219</v>
      </c>
      <c r="AK52" s="37" t="n">
        <v>0.041416827423705</v>
      </c>
      <c r="AL52" s="39" t="n">
        <v>0.948154709399475</v>
      </c>
      <c r="AM52" s="149" t="n">
        <v>0.952778079572196</v>
      </c>
      <c r="AN52" s="129" t="n">
        <v>0.1025</v>
      </c>
      <c r="AO52" s="150" t="n">
        <v>0.124</v>
      </c>
      <c r="AP52" s="22"/>
      <c r="AQ52" s="129" t="n">
        <v>-3.50422635485004</v>
      </c>
      <c r="AR52" s="151" t="n">
        <v>-2.98922635485004</v>
      </c>
      <c r="AS52" s="22"/>
      <c r="AT52" s="5" t="n">
        <v>0.0075</v>
      </c>
      <c r="AU52" s="22"/>
      <c r="AV52" s="129" t="n">
        <v>0.0025</v>
      </c>
      <c r="AW52" s="187"/>
      <c r="AX52" s="39" t="n">
        <v>-0.1</v>
      </c>
      <c r="AY52" s="39"/>
      <c r="AZ52" s="243" t="n">
        <v>0.55</v>
      </c>
      <c r="BA52" s="243" t="n">
        <v>0.55</v>
      </c>
      <c r="BB52" s="194" t="n">
        <v>-0.515</v>
      </c>
      <c r="BC52" s="190"/>
      <c r="BD52" s="39"/>
      <c r="BE52" s="22"/>
      <c r="BF52" s="96"/>
      <c r="BG52" s="22"/>
      <c r="BH52" s="71"/>
      <c r="BI52" s="71"/>
      <c r="BJ52" s="22"/>
      <c r="BK52" s="96"/>
      <c r="BL52" s="22"/>
      <c r="BM52" s="22"/>
      <c r="BN52" s="39"/>
      <c r="BO52" s="39"/>
      <c r="BP52" s="71"/>
      <c r="BQ52" s="22"/>
      <c r="BR52" s="71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</row>
    <row r="53" customFormat="false" ht="12.75" hidden="false" customHeight="false" outlineLevel="0" collapsed="false">
      <c r="A53" s="224" t="n">
        <v>37530</v>
      </c>
      <c r="B53" s="217" t="n">
        <v>3.601</v>
      </c>
      <c r="C53" s="244" t="n">
        <v>-0.515</v>
      </c>
      <c r="D53" s="133" t="n">
        <v>-0.412931306810562</v>
      </c>
      <c r="E53" s="133" t="n">
        <v>-0.411201328959893</v>
      </c>
      <c r="F53" s="226" t="n">
        <v>0.1075</v>
      </c>
      <c r="G53" s="227" t="n">
        <v>0.1025</v>
      </c>
      <c r="H53" s="227" t="n">
        <v>0.1525</v>
      </c>
      <c r="I53" s="228" t="n">
        <v>0.1025</v>
      </c>
      <c r="J53" s="227" t="n">
        <v>0.035</v>
      </c>
      <c r="K53" s="227" t="n">
        <v>0.1075</v>
      </c>
      <c r="L53" s="227" t="n">
        <v>0.42</v>
      </c>
      <c r="M53" s="226" t="n">
        <v>-0.84</v>
      </c>
      <c r="N53" s="227" t="n">
        <v>0.4</v>
      </c>
      <c r="O53" s="228" t="n">
        <v>0.17</v>
      </c>
      <c r="P53" s="183" t="n">
        <v>-0.39</v>
      </c>
      <c r="Q53" s="160" t="n">
        <v>0.3925</v>
      </c>
      <c r="R53" s="232" t="n">
        <v>0.385</v>
      </c>
      <c r="S53" s="139" t="n">
        <v>0.385</v>
      </c>
      <c r="T53" s="56" t="n">
        <v>0.6</v>
      </c>
      <c r="U53" s="248" t="n">
        <v>0.385</v>
      </c>
      <c r="V53" s="12" t="n">
        <v>3.086</v>
      </c>
      <c r="W53" s="12" t="n">
        <v>3.18806869318944</v>
      </c>
      <c r="X53" s="142" t="n">
        <v>3.18979867104011</v>
      </c>
      <c r="Y53" s="62" t="s">
        <v>81</v>
      </c>
      <c r="Z53" s="221" t="n">
        <v>0.1475</v>
      </c>
      <c r="AA53" s="237" t="n">
        <v>0.15</v>
      </c>
      <c r="AB53" s="242" t="n">
        <v>4.45959466880977</v>
      </c>
      <c r="AC53" s="90" t="n">
        <v>4.60709466880977</v>
      </c>
      <c r="AD53" s="142" t="n">
        <v>4.60959466880977</v>
      </c>
      <c r="AE53" s="182" t="n">
        <v>3.211</v>
      </c>
      <c r="AF53" s="78" t="n">
        <v>2.761</v>
      </c>
      <c r="AG53" s="147" t="n">
        <v>3.771</v>
      </c>
      <c r="AH53" s="185" t="n">
        <v>-0.49</v>
      </c>
      <c r="AI53" s="223" t="n">
        <v>1.52466691927925</v>
      </c>
      <c r="AJ53" s="37" t="n">
        <v>0.0459901202105932</v>
      </c>
      <c r="AK53" s="37" t="n">
        <v>0.0419081540945792</v>
      </c>
      <c r="AL53" s="39" t="n">
        <v>0.944226635457194</v>
      </c>
      <c r="AM53" s="149" t="n">
        <v>0.948998757669042</v>
      </c>
      <c r="AN53" s="129" t="n">
        <v>0.1025</v>
      </c>
      <c r="AO53" s="150" t="n">
        <v>0.12</v>
      </c>
      <c r="AP53" s="22"/>
      <c r="AQ53" s="129" t="n">
        <v>-3.52924471548528</v>
      </c>
      <c r="AR53" s="151" t="n">
        <v>-3.01424471548528</v>
      </c>
      <c r="AS53" s="22"/>
      <c r="AT53" s="5" t="n">
        <v>0.0075</v>
      </c>
      <c r="AU53" s="22"/>
      <c r="AV53" s="129" t="n">
        <v>0.0025</v>
      </c>
      <c r="AW53" s="187"/>
      <c r="AX53" s="39" t="n">
        <v>-0.1</v>
      </c>
      <c r="AY53" s="39"/>
      <c r="AZ53" s="243" t="n">
        <v>0.6</v>
      </c>
      <c r="BA53" s="243" t="n">
        <v>0.6</v>
      </c>
      <c r="BB53" s="194" t="n">
        <v>-0.515</v>
      </c>
      <c r="BC53" s="190"/>
      <c r="BD53" s="39"/>
      <c r="BE53" s="22"/>
      <c r="BF53" s="96"/>
      <c r="BG53" s="22"/>
      <c r="BH53" s="71"/>
      <c r="BI53" s="71"/>
      <c r="BJ53" s="22"/>
      <c r="BK53" s="96"/>
      <c r="BL53" s="22"/>
      <c r="BM53" s="22"/>
      <c r="BN53" s="39"/>
      <c r="BO53" s="39"/>
      <c r="BP53" s="71"/>
      <c r="BQ53" s="22"/>
      <c r="BR53" s="71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</row>
    <row r="54" customFormat="false" ht="12.75" hidden="false" customHeight="false" outlineLevel="0" collapsed="false">
      <c r="A54" s="216" t="n">
        <v>37561</v>
      </c>
      <c r="B54" s="217" t="n">
        <v>3.748</v>
      </c>
      <c r="C54" s="225" t="n">
        <v>-0.485</v>
      </c>
      <c r="D54" s="133" t="n">
        <v>-0.388140478925956</v>
      </c>
      <c r="E54" s="133" t="n">
        <v>-0.14</v>
      </c>
      <c r="F54" s="226" t="n">
        <v>0.2</v>
      </c>
      <c r="G54" s="227" t="n">
        <v>0.34</v>
      </c>
      <c r="H54" s="227" t="n">
        <v>0.36</v>
      </c>
      <c r="I54" s="228" t="n">
        <v>0.49</v>
      </c>
      <c r="J54" s="227" t="n">
        <v>0.11</v>
      </c>
      <c r="K54" s="227" t="n">
        <v>0.14</v>
      </c>
      <c r="L54" s="227" t="n">
        <v>0.72</v>
      </c>
      <c r="M54" s="226" t="n">
        <v>-0.28</v>
      </c>
      <c r="N54" s="227" t="n">
        <v>0.5</v>
      </c>
      <c r="O54" s="228" t="n">
        <v>0.1</v>
      </c>
      <c r="P54" s="249" t="n">
        <v>0.28</v>
      </c>
      <c r="Q54" s="160" t="n">
        <v>0.4</v>
      </c>
      <c r="R54" s="232" t="n">
        <v>0.3875</v>
      </c>
      <c r="S54" s="139" t="n">
        <v>0.3875</v>
      </c>
      <c r="T54" s="56" t="n">
        <v>0.8</v>
      </c>
      <c r="U54" s="248" t="n">
        <v>0.3875</v>
      </c>
      <c r="V54" s="12" t="n">
        <v>3.263</v>
      </c>
      <c r="W54" s="12" t="n">
        <v>3.35985952107404</v>
      </c>
      <c r="X54" s="142" t="n">
        <v>3.608</v>
      </c>
      <c r="Y54" s="180"/>
      <c r="Z54" s="221" t="n">
        <v>0.14</v>
      </c>
      <c r="AA54" s="237" t="n">
        <v>0.498660322335033</v>
      </c>
      <c r="AB54" s="242" t="n">
        <v>4.71631487472236</v>
      </c>
      <c r="AC54" s="90" t="n">
        <v>4.85631487472236</v>
      </c>
      <c r="AD54" s="142" t="n">
        <v>5.21497519705739</v>
      </c>
      <c r="AE54" s="182" t="n">
        <v>4.028</v>
      </c>
      <c r="AF54" s="78" t="n">
        <v>3.468</v>
      </c>
      <c r="AG54" s="147" t="n">
        <v>3.848</v>
      </c>
      <c r="AH54" s="185" t="n">
        <v>-0.28</v>
      </c>
      <c r="AI54" s="223" t="n">
        <v>1.52496975374351</v>
      </c>
      <c r="AJ54" s="37" t="n">
        <v>0.0464073772344982</v>
      </c>
      <c r="AK54" s="37" t="n">
        <v>0.0424310150080123</v>
      </c>
      <c r="AL54" s="39" t="n">
        <v>0.940073175305971</v>
      </c>
      <c r="AM54" s="149" t="n">
        <v>0.945011970103643</v>
      </c>
      <c r="AN54" s="129" t="n">
        <v>0.35</v>
      </c>
      <c r="AO54" s="150" t="n">
        <v>0.124</v>
      </c>
      <c r="AP54" s="22"/>
      <c r="AQ54" s="129" t="n">
        <v>-3.44030880726357</v>
      </c>
      <c r="AR54" s="151" t="n">
        <v>-2.95530880726357</v>
      </c>
      <c r="AS54" s="22"/>
      <c r="AT54" s="5" t="n">
        <v>0.0075</v>
      </c>
      <c r="AU54" s="22"/>
      <c r="AV54" s="129" t="n">
        <v>0.008</v>
      </c>
      <c r="AW54" s="187"/>
      <c r="AX54" s="39" t="n">
        <v>0.005</v>
      </c>
      <c r="AY54" s="39"/>
      <c r="AZ54" s="243" t="n">
        <v>0.8</v>
      </c>
      <c r="BA54" s="243" t="n">
        <v>0.8</v>
      </c>
      <c r="BB54" s="194" t="n">
        <v>-0.485</v>
      </c>
      <c r="BC54" s="190"/>
      <c r="BD54" s="39"/>
      <c r="BE54" s="22"/>
      <c r="BF54" s="96"/>
      <c r="BG54" s="22"/>
      <c r="BH54" s="71"/>
      <c r="BI54" s="71"/>
      <c r="BJ54" s="22"/>
      <c r="BK54" s="96"/>
      <c r="BL54" s="22"/>
      <c r="BM54" s="22"/>
      <c r="BN54" s="39"/>
      <c r="BO54" s="39"/>
      <c r="BP54" s="71"/>
      <c r="BQ54" s="22"/>
      <c r="BR54" s="71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</row>
    <row r="55" customFormat="false" ht="12.75" hidden="false" customHeight="false" outlineLevel="0" collapsed="false">
      <c r="A55" s="224" t="n">
        <v>37591</v>
      </c>
      <c r="B55" s="217" t="n">
        <v>3.89</v>
      </c>
      <c r="C55" s="247" t="n">
        <v>-0.485</v>
      </c>
      <c r="D55" s="133" t="n">
        <v>-0.388157468219638</v>
      </c>
      <c r="E55" s="133" t="n">
        <v>-0.119999999999999</v>
      </c>
      <c r="F55" s="226" t="n">
        <v>0.22</v>
      </c>
      <c r="G55" s="227" t="n">
        <v>0.36</v>
      </c>
      <c r="H55" s="227" t="n">
        <v>0.38</v>
      </c>
      <c r="I55" s="228" t="n">
        <v>0.51</v>
      </c>
      <c r="J55" s="227" t="n">
        <v>0.13</v>
      </c>
      <c r="K55" s="227" t="n">
        <v>0.16</v>
      </c>
      <c r="L55" s="227" t="n">
        <v>1.12</v>
      </c>
      <c r="M55" s="226" t="n">
        <v>-0.28</v>
      </c>
      <c r="N55" s="227" t="n">
        <v>0.5</v>
      </c>
      <c r="O55" s="228" t="n">
        <v>0.1</v>
      </c>
      <c r="P55" s="249" t="n">
        <v>0.38</v>
      </c>
      <c r="Q55" s="160" t="n">
        <v>0.4025</v>
      </c>
      <c r="R55" s="232" t="n">
        <v>0.39</v>
      </c>
      <c r="S55" s="139" t="n">
        <v>0.39</v>
      </c>
      <c r="T55" s="56" t="n">
        <v>1</v>
      </c>
      <c r="U55" s="248" t="n">
        <v>0.39</v>
      </c>
      <c r="V55" s="12" t="n">
        <v>3.405</v>
      </c>
      <c r="W55" s="12" t="n">
        <v>3.50184253178036</v>
      </c>
      <c r="X55" s="142" t="n">
        <v>3.77</v>
      </c>
      <c r="Y55" s="62" t="s">
        <v>79</v>
      </c>
      <c r="Z55" s="221" t="n">
        <v>0.14</v>
      </c>
      <c r="AA55" s="237" t="n">
        <v>0.527660719526566</v>
      </c>
      <c r="AB55" s="242" t="n">
        <v>4.92242397256974</v>
      </c>
      <c r="AC55" s="90" t="n">
        <v>5.06242397256974</v>
      </c>
      <c r="AD55" s="142" t="n">
        <v>5.45008469209631</v>
      </c>
      <c r="AE55" s="182" t="n">
        <v>4.27</v>
      </c>
      <c r="AF55" s="78" t="n">
        <v>3.61</v>
      </c>
      <c r="AG55" s="147" t="n">
        <v>3.99</v>
      </c>
      <c r="AH55" s="185" t="n">
        <v>-0.28</v>
      </c>
      <c r="AI55" s="223" t="n">
        <v>1.525237282468</v>
      </c>
      <c r="AJ55" s="37" t="n">
        <v>0.0468111744098509</v>
      </c>
      <c r="AK55" s="37" t="n">
        <v>0.042937009527598</v>
      </c>
      <c r="AL55" s="39" t="n">
        <v>0.936009500881836</v>
      </c>
      <c r="AM55" s="149" t="n">
        <v>0.941092015484009</v>
      </c>
      <c r="AN55" s="129" t="n">
        <v>0.37</v>
      </c>
      <c r="AO55" s="150" t="n">
        <v>0.12</v>
      </c>
      <c r="AP55" s="22"/>
      <c r="AQ55" s="129" t="n">
        <v>-3.56031603367492</v>
      </c>
      <c r="AR55" s="151" t="n">
        <v>-3.07531603367492</v>
      </c>
      <c r="AS55" s="22"/>
      <c r="AT55" s="5" t="n">
        <v>0.0075</v>
      </c>
      <c r="AU55" s="22"/>
      <c r="AV55" s="129" t="n">
        <v>0.008</v>
      </c>
      <c r="AW55" s="187"/>
      <c r="AX55" s="39" t="n">
        <v>0.01</v>
      </c>
      <c r="AY55" s="39"/>
      <c r="AZ55" s="243" t="n">
        <v>1</v>
      </c>
      <c r="BA55" s="243" t="n">
        <v>1</v>
      </c>
      <c r="BB55" s="194" t="n">
        <v>-0.485</v>
      </c>
      <c r="BC55" s="190"/>
      <c r="BD55" s="39"/>
      <c r="BE55" s="22"/>
      <c r="BF55" s="96"/>
      <c r="BG55" s="22"/>
      <c r="BH55" s="71"/>
      <c r="BI55" s="71"/>
      <c r="BJ55" s="22"/>
      <c r="BK55" s="96"/>
      <c r="BL55" s="22"/>
      <c r="BM55" s="22"/>
      <c r="BN55" s="39"/>
      <c r="BO55" s="39"/>
      <c r="BP55" s="71"/>
      <c r="BQ55" s="22"/>
      <c r="BR55" s="71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</row>
    <row r="56" customFormat="false" ht="12.75" hidden="false" customHeight="false" outlineLevel="0" collapsed="false">
      <c r="A56" s="224" t="n">
        <v>37622</v>
      </c>
      <c r="B56" s="217" t="n">
        <v>3.95</v>
      </c>
      <c r="C56" s="247" t="n">
        <v>-0.485</v>
      </c>
      <c r="D56" s="133" t="n">
        <v>-0.38817123292225</v>
      </c>
      <c r="E56" s="133" t="n">
        <v>-0.110000000000001</v>
      </c>
      <c r="F56" s="226" t="n">
        <v>0.23</v>
      </c>
      <c r="G56" s="227" t="n">
        <v>0.37</v>
      </c>
      <c r="H56" s="227" t="n">
        <v>0.39</v>
      </c>
      <c r="I56" s="228" t="n">
        <v>0.52</v>
      </c>
      <c r="J56" s="227" t="n">
        <v>0.14</v>
      </c>
      <c r="K56" s="227" t="n">
        <v>0.17</v>
      </c>
      <c r="L56" s="227" t="n">
        <v>1.6</v>
      </c>
      <c r="M56" s="226" t="n">
        <v>-0.28</v>
      </c>
      <c r="N56" s="227" t="n">
        <v>0.4</v>
      </c>
      <c r="O56" s="228" t="n">
        <v>0</v>
      </c>
      <c r="P56" s="249" t="n">
        <v>0.55</v>
      </c>
      <c r="Q56" s="160" t="n">
        <v>0.405</v>
      </c>
      <c r="R56" s="232" t="n">
        <v>0.3925</v>
      </c>
      <c r="S56" s="139" t="n">
        <v>0.3925</v>
      </c>
      <c r="T56" s="56" t="n">
        <v>1</v>
      </c>
      <c r="U56" s="248" t="n">
        <v>0.3925</v>
      </c>
      <c r="V56" s="12" t="n">
        <v>3.465</v>
      </c>
      <c r="W56" s="12" t="n">
        <v>3.56182876707775</v>
      </c>
      <c r="X56" s="142" t="n">
        <v>3.84</v>
      </c>
      <c r="Y56" s="180"/>
      <c r="Z56" s="221" t="n">
        <v>0.14</v>
      </c>
      <c r="AA56" s="237" t="n">
        <v>0.542194242314829</v>
      </c>
      <c r="AB56" s="242" t="n">
        <v>5.00987479898903</v>
      </c>
      <c r="AC56" s="90" t="n">
        <v>5.14987479898903</v>
      </c>
      <c r="AD56" s="142" t="n">
        <v>5.55206904130386</v>
      </c>
      <c r="AE56" s="182" t="n">
        <v>4.5</v>
      </c>
      <c r="AF56" s="78" t="n">
        <v>3.67</v>
      </c>
      <c r="AG56" s="147" t="n">
        <v>3.95</v>
      </c>
      <c r="AH56" s="185" t="n">
        <v>-0.28</v>
      </c>
      <c r="AI56" s="223" t="n">
        <v>1.52545410271924</v>
      </c>
      <c r="AJ56" s="37" t="n">
        <v>0.0472284315483309</v>
      </c>
      <c r="AK56" s="37" t="n">
        <v>0.0434745762422275</v>
      </c>
      <c r="AL56" s="39" t="n">
        <v>0.931765485129233</v>
      </c>
      <c r="AM56" s="149" t="n">
        <v>0.936958129243619</v>
      </c>
      <c r="AN56" s="129" t="n">
        <v>0.38</v>
      </c>
      <c r="AO56" s="150" t="n">
        <v>0.12</v>
      </c>
      <c r="AP56" s="22"/>
      <c r="AQ56" s="129" t="n">
        <v>-3.61031260985157</v>
      </c>
      <c r="AR56" s="151" t="n">
        <v>-3.12531260985157</v>
      </c>
      <c r="AS56" s="22"/>
      <c r="AT56" s="5" t="n">
        <v>0.0075</v>
      </c>
      <c r="AU56" s="22"/>
      <c r="AV56" s="129" t="n">
        <v>0.008</v>
      </c>
      <c r="AW56" s="187"/>
      <c r="AX56" s="39" t="n">
        <v>0.03</v>
      </c>
      <c r="AY56" s="39"/>
      <c r="AZ56" s="243" t="n">
        <v>1</v>
      </c>
      <c r="BA56" s="243" t="n">
        <v>1</v>
      </c>
      <c r="BB56" s="194" t="n">
        <v>-0.485</v>
      </c>
      <c r="BC56" s="190"/>
      <c r="BD56" s="39"/>
      <c r="BE56" s="22"/>
      <c r="BF56" s="96"/>
      <c r="BG56" s="22"/>
      <c r="BH56" s="71"/>
      <c r="BI56" s="71"/>
      <c r="BJ56" s="22"/>
      <c r="BK56" s="96"/>
      <c r="BL56" s="22"/>
      <c r="BM56" s="22"/>
      <c r="BN56" s="39"/>
      <c r="BO56" s="39"/>
      <c r="BP56" s="71"/>
      <c r="BQ56" s="22"/>
      <c r="BR56" s="71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</row>
    <row r="57" customFormat="false" ht="12.75" hidden="false" customHeight="false" outlineLevel="0" collapsed="false">
      <c r="A57" s="224" t="n">
        <v>37653</v>
      </c>
      <c r="B57" s="217" t="n">
        <v>3.83</v>
      </c>
      <c r="C57" s="247" t="n">
        <v>-0.485</v>
      </c>
      <c r="D57" s="133" t="n">
        <v>-0.388180351577282</v>
      </c>
      <c r="E57" s="133" t="n">
        <v>-0.11</v>
      </c>
      <c r="F57" s="226" t="n">
        <v>0.23</v>
      </c>
      <c r="G57" s="227" t="n">
        <v>0.37</v>
      </c>
      <c r="H57" s="227" t="n">
        <v>0.39</v>
      </c>
      <c r="I57" s="228" t="n">
        <v>0.52</v>
      </c>
      <c r="J57" s="227" t="n">
        <v>0.14</v>
      </c>
      <c r="K57" s="227" t="n">
        <v>0.17</v>
      </c>
      <c r="L57" s="227" t="n">
        <v>1.6</v>
      </c>
      <c r="M57" s="226" t="n">
        <v>-0.28</v>
      </c>
      <c r="N57" s="227" t="n">
        <v>0.4</v>
      </c>
      <c r="O57" s="228" t="n">
        <v>0</v>
      </c>
      <c r="P57" s="249" t="n">
        <v>0.29</v>
      </c>
      <c r="Q57" s="160" t="n">
        <v>0.395</v>
      </c>
      <c r="R57" s="232" t="n">
        <v>0.3825</v>
      </c>
      <c r="S57" s="139" t="n">
        <v>0.3825</v>
      </c>
      <c r="T57" s="56" t="n">
        <v>1</v>
      </c>
      <c r="U57" s="248" t="n">
        <v>0.3825</v>
      </c>
      <c r="V57" s="12" t="n">
        <v>3.345</v>
      </c>
      <c r="W57" s="12" t="n">
        <v>3.44181964842272</v>
      </c>
      <c r="X57" s="142" t="n">
        <v>3.72</v>
      </c>
      <c r="Y57" s="13"/>
      <c r="Z57" s="221" t="n">
        <v>0.14</v>
      </c>
      <c r="AA57" s="237" t="n">
        <v>0.542245307179626</v>
      </c>
      <c r="AB57" s="242" t="n">
        <v>4.83682814004226</v>
      </c>
      <c r="AC57" s="90" t="n">
        <v>4.97682814004226</v>
      </c>
      <c r="AD57" s="142" t="n">
        <v>5.37907344722189</v>
      </c>
      <c r="AE57" s="182" t="n">
        <v>4.12</v>
      </c>
      <c r="AF57" s="78" t="n">
        <v>3.55</v>
      </c>
      <c r="AG57" s="147" t="n">
        <v>3.83</v>
      </c>
      <c r="AH57" s="185" t="n">
        <v>-0.28</v>
      </c>
      <c r="AI57" s="223" t="n">
        <v>1.52559777283122</v>
      </c>
      <c r="AJ57" s="37" t="n">
        <v>0.0476456887450198</v>
      </c>
      <c r="AK57" s="37" t="n">
        <v>0.0440299998823899</v>
      </c>
      <c r="AL57" s="39" t="n">
        <v>0.927476650893854</v>
      </c>
      <c r="AM57" s="149" t="n">
        <v>0.932733232008321</v>
      </c>
      <c r="AN57" s="129" t="n">
        <v>0.38</v>
      </c>
      <c r="AO57" s="150" t="n">
        <v>0.133</v>
      </c>
      <c r="AP57" s="22"/>
      <c r="AQ57" s="129" t="n">
        <v>-3.49030048040871</v>
      </c>
      <c r="AR57" s="151" t="n">
        <v>-3.00530048040871</v>
      </c>
      <c r="AS57" s="22"/>
      <c r="AT57" s="5" t="n">
        <v>0.0075</v>
      </c>
      <c r="AU57" s="22"/>
      <c r="AV57" s="129" t="n">
        <v>0.008</v>
      </c>
      <c r="AW57" s="187"/>
      <c r="AX57" s="39" t="n">
        <v>0.025</v>
      </c>
      <c r="AY57" s="39"/>
      <c r="AZ57" s="243" t="n">
        <v>1</v>
      </c>
      <c r="BA57" s="243" t="n">
        <v>1</v>
      </c>
      <c r="BB57" s="194" t="n">
        <v>-0.485</v>
      </c>
      <c r="BC57" s="190"/>
      <c r="BD57" s="39"/>
      <c r="BE57" s="22"/>
      <c r="BF57" s="96"/>
      <c r="BG57" s="22"/>
      <c r="BH57" s="71"/>
      <c r="BI57" s="71"/>
      <c r="BJ57" s="22"/>
      <c r="BK57" s="96"/>
      <c r="BL57" s="22"/>
      <c r="BM57" s="22"/>
      <c r="BN57" s="39"/>
      <c r="BO57" s="39"/>
      <c r="BP57" s="71"/>
      <c r="BQ57" s="22"/>
      <c r="BR57" s="71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</row>
    <row r="58" customFormat="false" ht="12.75" hidden="false" customHeight="false" outlineLevel="0" collapsed="false">
      <c r="A58" s="224" t="n">
        <v>37681</v>
      </c>
      <c r="B58" s="217" t="n">
        <v>3.685</v>
      </c>
      <c r="C58" s="247" t="n">
        <v>-0.485</v>
      </c>
      <c r="D58" s="133" t="n">
        <v>-0.388186675844752</v>
      </c>
      <c r="E58" s="133" t="n">
        <v>-0.12</v>
      </c>
      <c r="F58" s="226" t="n">
        <v>0.22</v>
      </c>
      <c r="G58" s="227" t="n">
        <v>0.36</v>
      </c>
      <c r="H58" s="227" t="n">
        <v>0.38</v>
      </c>
      <c r="I58" s="228" t="n">
        <v>0.51</v>
      </c>
      <c r="J58" s="227" t="n">
        <v>0.13</v>
      </c>
      <c r="K58" s="227" t="n">
        <v>0.16</v>
      </c>
      <c r="L58" s="227" t="n">
        <v>0.71</v>
      </c>
      <c r="M58" s="226" t="n">
        <v>-0.28</v>
      </c>
      <c r="N58" s="227" t="n">
        <v>0.4</v>
      </c>
      <c r="O58" s="228" t="n">
        <v>0</v>
      </c>
      <c r="P58" s="249" t="n">
        <v>0.25</v>
      </c>
      <c r="Q58" s="160" t="n">
        <v>0.3775</v>
      </c>
      <c r="R58" s="232" t="n">
        <v>0.365</v>
      </c>
      <c r="S58" s="139" t="n">
        <v>0.365</v>
      </c>
      <c r="T58" s="56" t="n">
        <v>0.75</v>
      </c>
      <c r="U58" s="248" t="n">
        <v>0.365</v>
      </c>
      <c r="V58" s="12" t="n">
        <v>3.2</v>
      </c>
      <c r="W58" s="12" t="n">
        <v>3.29681332415525</v>
      </c>
      <c r="X58" s="142" t="n">
        <v>3.565</v>
      </c>
      <c r="Y58" s="13"/>
      <c r="Z58" s="221" t="n">
        <v>0.14</v>
      </c>
      <c r="AA58" s="237" t="n">
        <v>0.527819909561798</v>
      </c>
      <c r="AB58" s="242" t="n">
        <v>4.62746222081576</v>
      </c>
      <c r="AC58" s="90" t="n">
        <v>4.76746222081576</v>
      </c>
      <c r="AD58" s="142" t="n">
        <v>5.15528213037756</v>
      </c>
      <c r="AE58" s="182" t="n">
        <v>3.935</v>
      </c>
      <c r="AF58" s="78" t="n">
        <v>3.405</v>
      </c>
      <c r="AG58" s="147" t="n">
        <v>3.685</v>
      </c>
      <c r="AH58" s="185" t="n">
        <v>-0.28</v>
      </c>
      <c r="AI58" s="223" t="n">
        <v>1.52569743151406</v>
      </c>
      <c r="AJ58" s="37" t="n">
        <v>0.0480225662630192</v>
      </c>
      <c r="AK58" s="37" t="n">
        <v>0.0445316729364888</v>
      </c>
      <c r="AL58" s="39" t="n">
        <v>0.923565022015145</v>
      </c>
      <c r="AM58" s="149" t="n">
        <v>0.9288601067401</v>
      </c>
      <c r="AN58" s="129" t="n">
        <v>0.37</v>
      </c>
      <c r="AO58" s="150" t="n">
        <v>0.12</v>
      </c>
      <c r="AP58" s="22"/>
      <c r="AQ58" s="129" t="n">
        <v>-3.35528005951811</v>
      </c>
      <c r="AR58" s="151" t="n">
        <v>-2.87028005951811</v>
      </c>
      <c r="AS58" s="22"/>
      <c r="AT58" s="5" t="n">
        <v>0.0075</v>
      </c>
      <c r="AU58" s="22"/>
      <c r="AV58" s="129" t="n">
        <v>0.008</v>
      </c>
      <c r="AW58" s="187"/>
      <c r="AX58" s="39" t="n">
        <v>0.005</v>
      </c>
      <c r="AY58" s="39"/>
      <c r="AZ58" s="243" t="n">
        <v>0.75</v>
      </c>
      <c r="BA58" s="243" t="n">
        <v>0.75</v>
      </c>
      <c r="BB58" s="194" t="n">
        <v>-0.485</v>
      </c>
      <c r="BC58" s="190"/>
      <c r="BD58" s="39"/>
      <c r="BE58" s="22"/>
      <c r="BF58" s="96"/>
      <c r="BG58" s="22"/>
      <c r="BH58" s="71"/>
      <c r="BI58" s="71"/>
      <c r="BJ58" s="22"/>
      <c r="BK58" s="96"/>
      <c r="BL58" s="22"/>
      <c r="BM58" s="22"/>
      <c r="BN58" s="39"/>
      <c r="BO58" s="39"/>
      <c r="BP58" s="71"/>
      <c r="BQ58" s="22"/>
      <c r="BR58" s="71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</row>
    <row r="59" customFormat="false" ht="12.75" hidden="false" customHeight="false" outlineLevel="0" collapsed="false">
      <c r="A59" s="224" t="n">
        <v>37712</v>
      </c>
      <c r="B59" s="217" t="n">
        <v>3.365</v>
      </c>
      <c r="C59" s="239" t="n">
        <v>-0.525</v>
      </c>
      <c r="D59" s="133" t="n">
        <v>-0.428195667809561</v>
      </c>
      <c r="E59" s="133" t="n">
        <v>-0.455854048435401</v>
      </c>
      <c r="F59" s="226" t="n">
        <v>0.12</v>
      </c>
      <c r="G59" s="227" t="n">
        <v>0.12</v>
      </c>
      <c r="H59" s="227" t="n">
        <v>0.155</v>
      </c>
      <c r="I59" s="228" t="n">
        <v>0.155</v>
      </c>
      <c r="J59" s="227" t="n">
        <v>0.035</v>
      </c>
      <c r="K59" s="227" t="n">
        <v>0.11</v>
      </c>
      <c r="L59" s="227" t="n">
        <v>0.48</v>
      </c>
      <c r="M59" s="226" t="n">
        <v>-0.47</v>
      </c>
      <c r="N59" s="227" t="n">
        <v>0.25</v>
      </c>
      <c r="O59" s="228" t="n">
        <v>-0.25</v>
      </c>
      <c r="P59" s="240" t="n">
        <v>-0.35</v>
      </c>
      <c r="Q59" s="160" t="n">
        <v>0.335</v>
      </c>
      <c r="R59" s="232" t="n">
        <v>0.3225</v>
      </c>
      <c r="S59" s="139" t="n">
        <v>0.3225</v>
      </c>
      <c r="T59" s="56" t="n">
        <v>0.4</v>
      </c>
      <c r="U59" s="248" t="n">
        <v>0.3225</v>
      </c>
      <c r="V59" s="12" t="n">
        <v>2.84</v>
      </c>
      <c r="W59" s="12" t="n">
        <v>2.93680433219044</v>
      </c>
      <c r="X59" s="142" t="n">
        <v>2.9091459515646</v>
      </c>
      <c r="Y59" s="13"/>
      <c r="Z59" s="221" t="n">
        <v>0.14</v>
      </c>
      <c r="AA59" s="237" t="n">
        <v>0.1</v>
      </c>
      <c r="AB59" s="242" t="n">
        <v>4.10725420033702</v>
      </c>
      <c r="AC59" s="90" t="n">
        <v>4.24725420033701</v>
      </c>
      <c r="AD59" s="142" t="n">
        <v>4.20725420033701</v>
      </c>
      <c r="AE59" s="182" t="n">
        <v>3.015</v>
      </c>
      <c r="AF59" s="78" t="n">
        <v>2.895</v>
      </c>
      <c r="AG59" s="147" t="n">
        <v>3.115</v>
      </c>
      <c r="AH59" s="185" t="n">
        <v>-0.315</v>
      </c>
      <c r="AI59" s="223" t="n">
        <v>1.52583915056013</v>
      </c>
      <c r="AJ59" s="37" t="n">
        <v>0.0484398235704604</v>
      </c>
      <c r="AK59" s="37" t="n">
        <v>0.0450624667021673</v>
      </c>
      <c r="AL59" s="39" t="n">
        <v>0.919193148936398</v>
      </c>
      <c r="AM59" s="149" t="n">
        <v>0.924549039929994</v>
      </c>
      <c r="AN59" s="129" t="n">
        <v>0.12</v>
      </c>
      <c r="AO59" s="150" t="n">
        <v>0.124</v>
      </c>
      <c r="AP59" s="22"/>
      <c r="AQ59" s="129" t="n">
        <v>-3.32588295056443</v>
      </c>
      <c r="AR59" s="151" t="n">
        <v>-2.80088295056443</v>
      </c>
      <c r="AS59" s="22"/>
      <c r="AT59" s="5" t="n">
        <v>0.0075</v>
      </c>
      <c r="AU59" s="22"/>
      <c r="AV59" s="129" t="n">
        <v>0.0025</v>
      </c>
      <c r="AW59" s="187"/>
      <c r="AX59" s="39" t="n">
        <v>-0.105</v>
      </c>
      <c r="AY59" s="39"/>
      <c r="AZ59" s="243" t="n">
        <v>0.4</v>
      </c>
      <c r="BA59" s="243" t="n">
        <v>0.4</v>
      </c>
      <c r="BB59" s="194" t="n">
        <v>-0.525</v>
      </c>
      <c r="BC59" s="190"/>
      <c r="BD59" s="39"/>
      <c r="BE59" s="22"/>
      <c r="BF59" s="96"/>
      <c r="BG59" s="22"/>
      <c r="BH59" s="71"/>
      <c r="BI59" s="71"/>
      <c r="BJ59" s="22"/>
      <c r="BK59" s="96"/>
      <c r="BL59" s="22"/>
      <c r="BM59" s="22"/>
      <c r="BN59" s="39"/>
      <c r="BO59" s="39"/>
      <c r="BP59" s="71"/>
      <c r="BQ59" s="22"/>
      <c r="BR59" s="71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</row>
    <row r="60" customFormat="false" ht="12.75" hidden="false" customHeight="false" outlineLevel="0" collapsed="false">
      <c r="A60" s="224" t="n">
        <v>37742</v>
      </c>
      <c r="B60" s="217" t="n">
        <v>3.336</v>
      </c>
      <c r="C60" s="244" t="n">
        <v>-0.525</v>
      </c>
      <c r="D60" s="133" t="n">
        <v>-0.428208778272094</v>
      </c>
      <c r="E60" s="133" t="n">
        <v>-0.455863413051496</v>
      </c>
      <c r="F60" s="226" t="n">
        <v>0.12</v>
      </c>
      <c r="G60" s="227" t="n">
        <v>0.12</v>
      </c>
      <c r="H60" s="227" t="n">
        <v>0.155</v>
      </c>
      <c r="I60" s="228" t="n">
        <v>0.155</v>
      </c>
      <c r="J60" s="227" t="n">
        <v>0.035</v>
      </c>
      <c r="K60" s="227" t="n">
        <v>0.11</v>
      </c>
      <c r="L60" s="227" t="n">
        <v>0.42</v>
      </c>
      <c r="M60" s="226" t="n">
        <v>-0.47</v>
      </c>
      <c r="N60" s="227" t="n">
        <v>0.25</v>
      </c>
      <c r="O60" s="228" t="n">
        <v>-0.25</v>
      </c>
      <c r="P60" s="183" t="n">
        <v>-0.35</v>
      </c>
      <c r="Q60" s="160" t="n">
        <v>0.3325</v>
      </c>
      <c r="R60" s="232" t="n">
        <v>0.32</v>
      </c>
      <c r="S60" s="139" t="n">
        <v>0.32</v>
      </c>
      <c r="T60" s="56" t="n">
        <v>0.45</v>
      </c>
      <c r="U60" s="248" t="n">
        <v>0.32</v>
      </c>
      <c r="V60" s="12" t="n">
        <v>2.811</v>
      </c>
      <c r="W60" s="12" t="n">
        <v>2.90779122172791</v>
      </c>
      <c r="X60" s="142" t="n">
        <v>2.8801365869485</v>
      </c>
      <c r="Y60" s="13"/>
      <c r="Z60" s="221" t="n">
        <v>0.14</v>
      </c>
      <c r="AA60" s="237" t="n">
        <v>0.1</v>
      </c>
      <c r="AB60" s="242" t="n">
        <v>4.06586457918982</v>
      </c>
      <c r="AC60" s="90" t="n">
        <v>4.20586457918982</v>
      </c>
      <c r="AD60" s="142" t="n">
        <v>4.16586457918982</v>
      </c>
      <c r="AE60" s="182" t="n">
        <v>2.986</v>
      </c>
      <c r="AF60" s="78" t="n">
        <v>2.866</v>
      </c>
      <c r="AG60" s="147" t="n">
        <v>3.086</v>
      </c>
      <c r="AH60" s="185" t="n">
        <v>-0.315</v>
      </c>
      <c r="AI60" s="223" t="n">
        <v>1.52604582691629</v>
      </c>
      <c r="AJ60" s="37" t="n">
        <v>0.0488436210201488</v>
      </c>
      <c r="AK60" s="37" t="n">
        <v>0.0455408782155402</v>
      </c>
      <c r="AL60" s="39" t="n">
        <v>0.91492189327406</v>
      </c>
      <c r="AM60" s="149" t="n">
        <v>0.920377545936207</v>
      </c>
      <c r="AN60" s="129" t="n">
        <v>0.12</v>
      </c>
      <c r="AO60" s="150" t="n">
        <v>0.12</v>
      </c>
      <c r="AP60" s="22"/>
      <c r="AQ60" s="129" t="n">
        <v>-3.29689231126623</v>
      </c>
      <c r="AR60" s="151" t="n">
        <v>-2.77189231126623</v>
      </c>
      <c r="AS60" s="22"/>
      <c r="AT60" s="5" t="n">
        <v>0.0075</v>
      </c>
      <c r="AU60" s="22"/>
      <c r="AV60" s="129" t="n">
        <v>0.0025</v>
      </c>
      <c r="AW60" s="187"/>
      <c r="AX60" s="39" t="n">
        <v>-0.105</v>
      </c>
      <c r="AY60" s="39"/>
      <c r="AZ60" s="243" t="n">
        <v>0.45</v>
      </c>
      <c r="BA60" s="243" t="n">
        <v>0.45</v>
      </c>
      <c r="BB60" s="194" t="n">
        <v>-0.525</v>
      </c>
      <c r="BC60" s="190"/>
      <c r="BD60" s="39"/>
      <c r="BE60" s="22"/>
      <c r="BF60" s="96"/>
      <c r="BG60" s="22"/>
      <c r="BH60" s="71"/>
      <c r="BI60" s="71"/>
      <c r="BJ60" s="22"/>
      <c r="BK60" s="96"/>
      <c r="BL60" s="22"/>
      <c r="BM60" s="22"/>
      <c r="BN60" s="39"/>
      <c r="BO60" s="39"/>
      <c r="BP60" s="71"/>
      <c r="BQ60" s="22"/>
      <c r="BR60" s="71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</row>
    <row r="61" customFormat="false" ht="12.75" hidden="false" customHeight="false" outlineLevel="0" collapsed="false">
      <c r="A61" s="224" t="n">
        <v>37773</v>
      </c>
      <c r="B61" s="217" t="n">
        <v>3.377</v>
      </c>
      <c r="C61" s="244" t="n">
        <v>-0.525</v>
      </c>
      <c r="D61" s="133" t="n">
        <v>-0.428221100771236</v>
      </c>
      <c r="E61" s="133" t="n">
        <v>-0.455872214836597</v>
      </c>
      <c r="F61" s="226" t="n">
        <v>0.12</v>
      </c>
      <c r="G61" s="227" t="n">
        <v>0.12</v>
      </c>
      <c r="H61" s="227" t="n">
        <v>0.155</v>
      </c>
      <c r="I61" s="228" t="n">
        <v>0.155</v>
      </c>
      <c r="J61" s="227" t="n">
        <v>0.035</v>
      </c>
      <c r="K61" s="227" t="n">
        <v>0.11</v>
      </c>
      <c r="L61" s="227" t="n">
        <v>0.42</v>
      </c>
      <c r="M61" s="226" t="n">
        <v>-0.47</v>
      </c>
      <c r="N61" s="227" t="n">
        <v>0.25</v>
      </c>
      <c r="O61" s="228" t="n">
        <v>-0.25</v>
      </c>
      <c r="P61" s="183" t="n">
        <v>-0.35</v>
      </c>
      <c r="Q61" s="160" t="n">
        <v>0.3325</v>
      </c>
      <c r="R61" s="232" t="n">
        <v>0.32</v>
      </c>
      <c r="S61" s="139" t="n">
        <v>0.32</v>
      </c>
      <c r="T61" s="56" t="n">
        <v>0.45</v>
      </c>
      <c r="U61" s="248" t="n">
        <v>0.32</v>
      </c>
      <c r="V61" s="12" t="n">
        <v>2.852</v>
      </c>
      <c r="W61" s="12" t="n">
        <v>2.94877889922876</v>
      </c>
      <c r="X61" s="142" t="n">
        <v>2.9211277851634</v>
      </c>
      <c r="Y61" s="62" t="s">
        <v>84</v>
      </c>
      <c r="Z61" s="221" t="n">
        <v>0.14</v>
      </c>
      <c r="AA61" s="237" t="n">
        <v>0.1</v>
      </c>
      <c r="AB61" s="242" t="n">
        <v>4.12569272002352</v>
      </c>
      <c r="AC61" s="90" t="n">
        <v>4.26569272002352</v>
      </c>
      <c r="AD61" s="142" t="n">
        <v>4.22569272002352</v>
      </c>
      <c r="AE61" s="182" t="n">
        <v>3.027</v>
      </c>
      <c r="AF61" s="78" t="n">
        <v>2.907</v>
      </c>
      <c r="AG61" s="147" t="n">
        <v>3.127</v>
      </c>
      <c r="AH61" s="185" t="n">
        <v>-0.315</v>
      </c>
      <c r="AI61" s="223" t="n">
        <v>1.52624013268483</v>
      </c>
      <c r="AJ61" s="37" t="n">
        <v>0.0492608784420523</v>
      </c>
      <c r="AK61" s="37" t="n">
        <v>0.0460352368598147</v>
      </c>
      <c r="AL61" s="39" t="n">
        <v>0.910467313092679</v>
      </c>
      <c r="AM61" s="149" t="n">
        <v>0.916013020922726</v>
      </c>
      <c r="AN61" s="129" t="n">
        <v>0.12</v>
      </c>
      <c r="AO61" s="150" t="n">
        <v>0.124</v>
      </c>
      <c r="AP61" s="22"/>
      <c r="AQ61" s="129" t="n">
        <v>-3.3379011093723</v>
      </c>
      <c r="AR61" s="151" t="n">
        <v>-2.8129011093723</v>
      </c>
      <c r="AS61" s="22"/>
      <c r="AT61" s="5" t="n">
        <v>0.0075</v>
      </c>
      <c r="AU61" s="22"/>
      <c r="AV61" s="129" t="n">
        <v>0.0025</v>
      </c>
      <c r="AW61" s="187"/>
      <c r="AX61" s="39" t="n">
        <v>-0.105</v>
      </c>
      <c r="AY61" s="39"/>
      <c r="AZ61" s="243" t="n">
        <v>0.45</v>
      </c>
      <c r="BA61" s="243" t="n">
        <v>0.45</v>
      </c>
      <c r="BB61" s="194" t="n">
        <v>-0.525</v>
      </c>
      <c r="BC61" s="190"/>
      <c r="BD61" s="39"/>
      <c r="BE61" s="22"/>
      <c r="BF61" s="96"/>
      <c r="BG61" s="22"/>
      <c r="BH61" s="71"/>
      <c r="BI61" s="71"/>
      <c r="BJ61" s="22"/>
      <c r="BK61" s="96"/>
      <c r="BL61" s="22"/>
      <c r="BM61" s="22"/>
      <c r="BN61" s="39"/>
      <c r="BO61" s="39"/>
      <c r="BP61" s="71"/>
      <c r="BQ61" s="22"/>
      <c r="BR61" s="71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</row>
    <row r="62" customFormat="false" ht="12.75" hidden="false" customHeight="false" outlineLevel="0" collapsed="false">
      <c r="A62" s="224" t="n">
        <v>37803</v>
      </c>
      <c r="B62" s="217" t="n">
        <v>3.425</v>
      </c>
      <c r="C62" s="244" t="n">
        <v>-0.525</v>
      </c>
      <c r="D62" s="133" t="n">
        <v>-0.428230570265852</v>
      </c>
      <c r="E62" s="133" t="n">
        <v>-0.455878978761322</v>
      </c>
      <c r="F62" s="226" t="n">
        <v>0.12</v>
      </c>
      <c r="G62" s="227" t="n">
        <v>0.12</v>
      </c>
      <c r="H62" s="227" t="n">
        <v>0.155</v>
      </c>
      <c r="I62" s="228" t="n">
        <v>0.155</v>
      </c>
      <c r="J62" s="227" t="n">
        <v>0.035</v>
      </c>
      <c r="K62" s="227" t="n">
        <v>0.11</v>
      </c>
      <c r="L62" s="227" t="n">
        <v>0.48</v>
      </c>
      <c r="M62" s="226" t="n">
        <v>-0.47</v>
      </c>
      <c r="N62" s="227" t="n">
        <v>0.25</v>
      </c>
      <c r="O62" s="228" t="n">
        <v>-0.25</v>
      </c>
      <c r="P62" s="183" t="n">
        <v>-0.35</v>
      </c>
      <c r="Q62" s="160" t="n">
        <v>0.3325</v>
      </c>
      <c r="R62" s="232" t="n">
        <v>0.32</v>
      </c>
      <c r="S62" s="139" t="n">
        <v>0.32</v>
      </c>
      <c r="T62" s="56" t="n">
        <v>0.5</v>
      </c>
      <c r="U62" s="248" t="n">
        <v>0.32</v>
      </c>
      <c r="V62" s="12" t="n">
        <v>2.9</v>
      </c>
      <c r="W62" s="12" t="n">
        <v>2.99676942973415</v>
      </c>
      <c r="X62" s="142" t="n">
        <v>2.96912102123868</v>
      </c>
      <c r="Y62" s="180" t="n">
        <v>4.37591234161741</v>
      </c>
      <c r="Z62" s="221" t="n">
        <v>0.14</v>
      </c>
      <c r="AA62" s="237" t="n">
        <v>0.1</v>
      </c>
      <c r="AB62" s="242" t="n">
        <v>4.19553986331622</v>
      </c>
      <c r="AC62" s="90" t="n">
        <v>4.33553986331622</v>
      </c>
      <c r="AD62" s="142" t="n">
        <v>4.29553986331622</v>
      </c>
      <c r="AE62" s="182" t="n">
        <v>3.075</v>
      </c>
      <c r="AF62" s="78" t="n">
        <v>2.955</v>
      </c>
      <c r="AG62" s="147" t="n">
        <v>3.175</v>
      </c>
      <c r="AH62" s="185" t="n">
        <v>-0.315</v>
      </c>
      <c r="AI62" s="223" t="n">
        <v>1.52638948483826</v>
      </c>
      <c r="AJ62" s="37" t="n">
        <v>0.0496491366343448</v>
      </c>
      <c r="AK62" s="37" t="n">
        <v>0.0465048222486519</v>
      </c>
      <c r="AL62" s="39" t="n">
        <v>0.906145189264459</v>
      </c>
      <c r="AM62" s="149" t="n">
        <v>0.911753782880715</v>
      </c>
      <c r="AN62" s="129" t="n">
        <v>0.12</v>
      </c>
      <c r="AO62" s="150" t="n">
        <v>0.12</v>
      </c>
      <c r="AP62" s="22"/>
      <c r="AQ62" s="129" t="n">
        <v>-3.38590787046979</v>
      </c>
      <c r="AR62" s="151" t="n">
        <v>-2.86090787046979</v>
      </c>
      <c r="AS62" s="22"/>
      <c r="AT62" s="5" t="n">
        <v>0.0075</v>
      </c>
      <c r="AU62" s="22"/>
      <c r="AV62" s="129" t="n">
        <v>0.0025</v>
      </c>
      <c r="AW62" s="187"/>
      <c r="AX62" s="39" t="n">
        <v>-0.105</v>
      </c>
      <c r="AY62" s="39"/>
      <c r="AZ62" s="243" t="n">
        <v>0.5</v>
      </c>
      <c r="BA62" s="243" t="n">
        <v>0.5</v>
      </c>
      <c r="BB62" s="194" t="n">
        <v>-0.525</v>
      </c>
      <c r="BC62" s="190"/>
      <c r="BD62" s="39"/>
      <c r="BE62" s="22"/>
      <c r="BF62" s="96"/>
      <c r="BG62" s="22"/>
      <c r="BH62" s="71"/>
      <c r="BI62" s="71"/>
      <c r="BJ62" s="22"/>
      <c r="BK62" s="96"/>
      <c r="BL62" s="22"/>
      <c r="BM62" s="22"/>
      <c r="BN62" s="39"/>
      <c r="BO62" s="39"/>
      <c r="BP62" s="71"/>
      <c r="BQ62" s="22"/>
      <c r="BR62" s="71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</row>
    <row r="63" customFormat="false" ht="12.75" hidden="false" customHeight="false" outlineLevel="0" collapsed="false">
      <c r="A63" s="224" t="n">
        <v>37834</v>
      </c>
      <c r="B63" s="217" t="n">
        <v>3.454</v>
      </c>
      <c r="C63" s="244" t="n">
        <v>-0.525</v>
      </c>
      <c r="D63" s="133" t="n">
        <v>-0.428220890212363</v>
      </c>
      <c r="E63" s="133" t="n">
        <v>-0.455872064437402</v>
      </c>
      <c r="F63" s="226" t="n">
        <v>0.12</v>
      </c>
      <c r="G63" s="227" t="n">
        <v>0.12</v>
      </c>
      <c r="H63" s="227" t="n">
        <v>0.155</v>
      </c>
      <c r="I63" s="228" t="n">
        <v>0.155</v>
      </c>
      <c r="J63" s="227" t="n">
        <v>0.035</v>
      </c>
      <c r="K63" s="227" t="n">
        <v>0.11</v>
      </c>
      <c r="L63" s="227" t="n">
        <v>0.48</v>
      </c>
      <c r="M63" s="226" t="n">
        <v>-0.47</v>
      </c>
      <c r="N63" s="227" t="n">
        <v>0.25</v>
      </c>
      <c r="O63" s="228" t="n">
        <v>-0.25</v>
      </c>
      <c r="P63" s="183" t="n">
        <v>-0.35</v>
      </c>
      <c r="Q63" s="160" t="n">
        <v>0.3325</v>
      </c>
      <c r="R63" s="232" t="n">
        <v>0.32</v>
      </c>
      <c r="S63" s="139" t="n">
        <v>0.32</v>
      </c>
      <c r="T63" s="56" t="n">
        <v>0.55</v>
      </c>
      <c r="U63" s="248" t="n">
        <v>0.32</v>
      </c>
      <c r="V63" s="12" t="n">
        <v>2.929</v>
      </c>
      <c r="W63" s="12" t="n">
        <v>3.02577910978764</v>
      </c>
      <c r="X63" s="142" t="n">
        <v>2.9981279355626</v>
      </c>
      <c r="Y63" s="180" t="n">
        <v>4.66015340452307</v>
      </c>
      <c r="Z63" s="221" t="n">
        <v>0.14</v>
      </c>
      <c r="AA63" s="237" t="n">
        <v>0.1</v>
      </c>
      <c r="AB63" s="242" t="n">
        <v>4.23707141861294</v>
      </c>
      <c r="AC63" s="90" t="n">
        <v>4.37707141861294</v>
      </c>
      <c r="AD63" s="142" t="n">
        <v>4.33707141861294</v>
      </c>
      <c r="AE63" s="182" t="n">
        <v>3.104</v>
      </c>
      <c r="AF63" s="78" t="n">
        <v>2.984</v>
      </c>
      <c r="AG63" s="147" t="n">
        <v>3.204</v>
      </c>
      <c r="AH63" s="185" t="n">
        <v>-0.315</v>
      </c>
      <c r="AI63" s="223" t="n">
        <v>1.52623681209836</v>
      </c>
      <c r="AJ63" s="37" t="n">
        <v>0.0499459640513491</v>
      </c>
      <c r="AK63" s="37" t="n">
        <v>0.0469774148353794</v>
      </c>
      <c r="AL63" s="39" t="n">
        <v>0.901834049076987</v>
      </c>
      <c r="AM63" s="149" t="n">
        <v>0.907325197168766</v>
      </c>
      <c r="AN63" s="129" t="n">
        <v>0.12</v>
      </c>
      <c r="AO63" s="150" t="n">
        <v>0.12</v>
      </c>
      <c r="AP63" s="22"/>
      <c r="AQ63" s="129" t="n">
        <v>-3.41490095903597</v>
      </c>
      <c r="AR63" s="151" t="n">
        <v>-2.88990095903597</v>
      </c>
      <c r="AS63" s="22"/>
      <c r="AT63" s="5" t="n">
        <v>0.0075</v>
      </c>
      <c r="AU63" s="22"/>
      <c r="AV63" s="129" t="n">
        <v>0.0025</v>
      </c>
      <c r="AW63" s="187"/>
      <c r="AX63" s="39" t="n">
        <v>-0.105</v>
      </c>
      <c r="AY63" s="39"/>
      <c r="AZ63" s="243" t="n">
        <v>0.55</v>
      </c>
      <c r="BA63" s="243" t="n">
        <v>0.55</v>
      </c>
      <c r="BB63" s="194" t="n">
        <v>-0.525</v>
      </c>
      <c r="BC63" s="190"/>
      <c r="BD63" s="39"/>
      <c r="BE63" s="22"/>
      <c r="BF63" s="96"/>
      <c r="BG63" s="22"/>
      <c r="BH63" s="71"/>
      <c r="BI63" s="71"/>
      <c r="BJ63" s="22"/>
      <c r="BK63" s="96"/>
      <c r="BL63" s="22"/>
      <c r="BM63" s="22"/>
      <c r="BN63" s="39"/>
      <c r="BO63" s="39"/>
      <c r="BP63" s="71"/>
      <c r="BQ63" s="22"/>
      <c r="BR63" s="71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</row>
    <row r="64" customFormat="false" ht="12.75" hidden="false" customHeight="false" outlineLevel="0" collapsed="false">
      <c r="A64" s="224" t="n">
        <v>37865</v>
      </c>
      <c r="B64" s="217" t="n">
        <v>3.469</v>
      </c>
      <c r="C64" s="244" t="n">
        <v>-0.525</v>
      </c>
      <c r="D64" s="133" t="n">
        <v>-0.42820839387498</v>
      </c>
      <c r="E64" s="133" t="n">
        <v>-0.455863138482128</v>
      </c>
      <c r="F64" s="226" t="n">
        <v>0.12</v>
      </c>
      <c r="G64" s="227" t="n">
        <v>0.12</v>
      </c>
      <c r="H64" s="227" t="n">
        <v>0.155</v>
      </c>
      <c r="I64" s="228" t="n">
        <v>0.155</v>
      </c>
      <c r="J64" s="227" t="n">
        <v>0.035</v>
      </c>
      <c r="K64" s="227" t="n">
        <v>0.11</v>
      </c>
      <c r="L64" s="227" t="n">
        <v>0.44</v>
      </c>
      <c r="M64" s="226" t="n">
        <v>-0.47</v>
      </c>
      <c r="N64" s="227" t="n">
        <v>0.25</v>
      </c>
      <c r="O64" s="228" t="n">
        <v>-0.25</v>
      </c>
      <c r="P64" s="183" t="n">
        <v>-0.35</v>
      </c>
      <c r="Q64" s="160" t="n">
        <v>0.3375</v>
      </c>
      <c r="R64" s="232" t="n">
        <v>0.325</v>
      </c>
      <c r="S64" s="139" t="n">
        <v>0.325</v>
      </c>
      <c r="T64" s="56" t="n">
        <v>0.55</v>
      </c>
      <c r="U64" s="248" t="n">
        <v>0.325</v>
      </c>
      <c r="V64" s="12" t="n">
        <v>2.944</v>
      </c>
      <c r="W64" s="12" t="n">
        <v>3.04079160612502</v>
      </c>
      <c r="X64" s="142" t="n">
        <v>3.01313686151787</v>
      </c>
      <c r="Y64" s="180" t="n">
        <v>4.17288301097052</v>
      </c>
      <c r="Z64" s="221" t="n">
        <v>0.14</v>
      </c>
      <c r="AA64" s="237" t="n">
        <v>0.1</v>
      </c>
      <c r="AB64" s="242" t="n">
        <v>4.25822048523131</v>
      </c>
      <c r="AC64" s="90" t="n">
        <v>4.39822048523131</v>
      </c>
      <c r="AD64" s="142" t="n">
        <v>4.35822048523131</v>
      </c>
      <c r="AE64" s="182" t="n">
        <v>3.119</v>
      </c>
      <c r="AF64" s="78" t="n">
        <v>2.999</v>
      </c>
      <c r="AG64" s="147" t="n">
        <v>3.219</v>
      </c>
      <c r="AH64" s="185" t="n">
        <v>-0.315</v>
      </c>
      <c r="AI64" s="223" t="n">
        <v>1.52603976639477</v>
      </c>
      <c r="AJ64" s="37" t="n">
        <v>0.0502427914977708</v>
      </c>
      <c r="AK64" s="37" t="n">
        <v>0.0474500074967881</v>
      </c>
      <c r="AL64" s="39" t="n">
        <v>0.897499378402699</v>
      </c>
      <c r="AM64" s="149" t="n">
        <v>0.902847555541931</v>
      </c>
      <c r="AN64" s="129" t="n">
        <v>0.12</v>
      </c>
      <c r="AO64" s="150" t="n">
        <v>0.124</v>
      </c>
      <c r="AP64" s="22"/>
      <c r="AQ64" s="129" t="n">
        <v>-3.42989203681163</v>
      </c>
      <c r="AR64" s="151" t="n">
        <v>-2.90489203681163</v>
      </c>
      <c r="AS64" s="22"/>
      <c r="AT64" s="5" t="n">
        <v>0.0075</v>
      </c>
      <c r="AU64" s="22"/>
      <c r="AV64" s="129" t="n">
        <v>0.0025</v>
      </c>
      <c r="AW64" s="187"/>
      <c r="AX64" s="39" t="n">
        <v>-0.105</v>
      </c>
      <c r="AY64" s="39"/>
      <c r="AZ64" s="243" t="n">
        <v>0.55</v>
      </c>
      <c r="BA64" s="243" t="n">
        <v>0.55</v>
      </c>
      <c r="BB64" s="194" t="n">
        <v>-0.525</v>
      </c>
      <c r="BC64" s="190"/>
      <c r="BD64" s="39"/>
      <c r="BE64" s="22"/>
      <c r="BF64" s="96"/>
      <c r="BG64" s="22"/>
      <c r="BH64" s="71"/>
      <c r="BI64" s="71"/>
      <c r="BJ64" s="22"/>
      <c r="BK64" s="96"/>
      <c r="BL64" s="22"/>
      <c r="BM64" s="22"/>
      <c r="BN64" s="39"/>
      <c r="BO64" s="39"/>
      <c r="BP64" s="71"/>
      <c r="BQ64" s="22"/>
      <c r="BR64" s="71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</row>
    <row r="65" customFormat="false" ht="12.75" hidden="false" customHeight="false" outlineLevel="0" collapsed="false">
      <c r="A65" s="224" t="n">
        <v>37895</v>
      </c>
      <c r="B65" s="217" t="n">
        <v>3.493</v>
      </c>
      <c r="C65" s="244" t="n">
        <v>-0.525</v>
      </c>
      <c r="D65" s="133" t="n">
        <v>-0.428197507778776</v>
      </c>
      <c r="E65" s="133" t="n">
        <v>-0.455855362699126</v>
      </c>
      <c r="F65" s="226" t="n">
        <v>0.12</v>
      </c>
      <c r="G65" s="227" t="n">
        <v>0.12</v>
      </c>
      <c r="H65" s="227" t="n">
        <v>0.155</v>
      </c>
      <c r="I65" s="228" t="n">
        <v>0.155</v>
      </c>
      <c r="J65" s="227" t="n">
        <v>0.035</v>
      </c>
      <c r="K65" s="227" t="n">
        <v>0.11</v>
      </c>
      <c r="L65" s="227" t="n">
        <v>0.45</v>
      </c>
      <c r="M65" s="226" t="n">
        <v>-0.47</v>
      </c>
      <c r="N65" s="227" t="n">
        <v>0.25</v>
      </c>
      <c r="O65" s="228" t="n">
        <v>-0.25</v>
      </c>
      <c r="P65" s="183" t="n">
        <v>-0.35</v>
      </c>
      <c r="Q65" s="160" t="n">
        <v>0.34</v>
      </c>
      <c r="R65" s="232" t="n">
        <v>0.3275</v>
      </c>
      <c r="S65" s="139" t="n">
        <v>0.3275</v>
      </c>
      <c r="T65" s="56" t="n">
        <v>0.6</v>
      </c>
      <c r="U65" s="248" t="n">
        <v>0.3275</v>
      </c>
      <c r="V65" s="12" t="n">
        <v>2.968</v>
      </c>
      <c r="W65" s="12" t="n">
        <v>3.06480249222122</v>
      </c>
      <c r="X65" s="142" t="n">
        <v>3.03714463730087</v>
      </c>
      <c r="Y65" s="62" t="s">
        <v>81</v>
      </c>
      <c r="Z65" s="221" t="n">
        <v>0.14</v>
      </c>
      <c r="AA65" s="237" t="n">
        <v>0.1</v>
      </c>
      <c r="AB65" s="242" t="n">
        <v>4.292451469642</v>
      </c>
      <c r="AC65" s="90" t="n">
        <v>4.432451469642</v>
      </c>
      <c r="AD65" s="142" t="n">
        <v>4.392451469642</v>
      </c>
      <c r="AE65" s="182" t="n">
        <v>3.143</v>
      </c>
      <c r="AF65" s="78" t="n">
        <v>3.023</v>
      </c>
      <c r="AG65" s="147" t="n">
        <v>3.243</v>
      </c>
      <c r="AH65" s="185" t="n">
        <v>-0.315</v>
      </c>
      <c r="AI65" s="223" t="n">
        <v>1.52586815288228</v>
      </c>
      <c r="AJ65" s="37" t="n">
        <v>0.0505300438932825</v>
      </c>
      <c r="AK65" s="37" t="n">
        <v>0.047889169371806</v>
      </c>
      <c r="AL65" s="39" t="n">
        <v>0.89328264684756</v>
      </c>
      <c r="AM65" s="149" t="n">
        <v>0.898504642285483</v>
      </c>
      <c r="AN65" s="129" t="n">
        <v>0.12</v>
      </c>
      <c r="AO65" s="150" t="n">
        <v>0.12</v>
      </c>
      <c r="AP65" s="22"/>
      <c r="AQ65" s="129" t="n">
        <v>-3.45388426427881</v>
      </c>
      <c r="AR65" s="151" t="n">
        <v>-2.92888426427881</v>
      </c>
      <c r="AS65" s="22"/>
      <c r="AT65" s="5" t="n">
        <v>0.0075</v>
      </c>
      <c r="AU65" s="22"/>
      <c r="AV65" s="129" t="n">
        <v>0.0025</v>
      </c>
      <c r="AW65" s="187"/>
      <c r="AX65" s="39" t="n">
        <v>-0.105</v>
      </c>
      <c r="AY65" s="39"/>
      <c r="AZ65" s="243" t="n">
        <v>0.6</v>
      </c>
      <c r="BA65" s="243" t="n">
        <v>0.6</v>
      </c>
      <c r="BB65" s="194" t="n">
        <v>-0.525</v>
      </c>
      <c r="BC65" s="190"/>
      <c r="BD65" s="39"/>
      <c r="BE65" s="22"/>
      <c r="BF65" s="96"/>
      <c r="BG65" s="22"/>
      <c r="BH65" s="71"/>
      <c r="BI65" s="71"/>
      <c r="BJ65" s="22"/>
      <c r="BK65" s="96"/>
      <c r="BL65" s="22"/>
      <c r="BM65" s="22"/>
      <c r="BN65" s="39"/>
      <c r="BO65" s="39"/>
      <c r="BP65" s="71"/>
      <c r="BQ65" s="22"/>
      <c r="BR65" s="71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</row>
    <row r="66" customFormat="false" ht="12.75" hidden="false" customHeight="false" outlineLevel="0" collapsed="false">
      <c r="A66" s="216" t="n">
        <v>37926</v>
      </c>
      <c r="B66" s="217" t="n">
        <v>3.633</v>
      </c>
      <c r="C66" s="225" t="n">
        <v>-0.485</v>
      </c>
      <c r="D66" s="133" t="n">
        <v>-0.388188841068962</v>
      </c>
      <c r="E66" s="133" t="n">
        <v>-0.115000000000001</v>
      </c>
      <c r="F66" s="226" t="n">
        <v>0.255</v>
      </c>
      <c r="G66" s="227" t="n">
        <v>0.395</v>
      </c>
      <c r="H66" s="227" t="n">
        <v>0.405</v>
      </c>
      <c r="I66" s="228" t="n">
        <v>0.545</v>
      </c>
      <c r="J66" s="227" t="n">
        <v>0.135</v>
      </c>
      <c r="K66" s="227" t="n">
        <v>0.175</v>
      </c>
      <c r="L66" s="227" t="n">
        <v>0.72</v>
      </c>
      <c r="M66" s="226" t="n">
        <v>-0.24</v>
      </c>
      <c r="N66" s="227" t="n">
        <v>0.28</v>
      </c>
      <c r="O66" s="228" t="n">
        <v>0.13</v>
      </c>
      <c r="P66" s="249" t="n">
        <v>0.18</v>
      </c>
      <c r="Q66" s="160" t="n">
        <v>0.345</v>
      </c>
      <c r="R66" s="232" t="n">
        <v>0.3325</v>
      </c>
      <c r="S66" s="139" t="n">
        <v>0.3325</v>
      </c>
      <c r="T66" s="56" t="n">
        <v>0.8</v>
      </c>
      <c r="U66" s="248" t="n">
        <v>0.3325</v>
      </c>
      <c r="V66" s="12" t="n">
        <v>3.148</v>
      </c>
      <c r="W66" s="12" t="n">
        <v>3.24481115893104</v>
      </c>
      <c r="X66" s="142" t="n">
        <v>3.518</v>
      </c>
      <c r="Y66" s="180"/>
      <c r="Z66" s="221" t="n">
        <v>0.14</v>
      </c>
      <c r="AA66" s="237" t="n">
        <v>0.535062285917879</v>
      </c>
      <c r="AB66" s="242" t="n">
        <v>4.55236777316077</v>
      </c>
      <c r="AC66" s="90" t="n">
        <v>4.69236777316077</v>
      </c>
      <c r="AD66" s="142" t="n">
        <v>5.08743005907865</v>
      </c>
      <c r="AE66" s="182" t="n">
        <v>3.813</v>
      </c>
      <c r="AF66" s="78" t="n">
        <v>3.393</v>
      </c>
      <c r="AG66" s="147" t="n">
        <v>3.763</v>
      </c>
      <c r="AH66" s="185" t="n">
        <v>-0.135</v>
      </c>
      <c r="AI66" s="223" t="n">
        <v>1.52573155440912</v>
      </c>
      <c r="AJ66" s="37" t="n">
        <v>0.0508268713975792</v>
      </c>
      <c r="AK66" s="37" t="n">
        <v>0.0483201736608496</v>
      </c>
      <c r="AL66" s="39" t="n">
        <v>0.888903271909022</v>
      </c>
      <c r="AM66" s="149" t="n">
        <v>0.894019624765396</v>
      </c>
      <c r="AN66" s="129" t="n">
        <v>0.405</v>
      </c>
      <c r="AO66" s="150" t="n">
        <v>0.124</v>
      </c>
      <c r="AP66" s="22"/>
      <c r="AQ66" s="129" t="n">
        <v>-3.29319193437742</v>
      </c>
      <c r="AR66" s="151" t="n">
        <v>-2.80819193437742</v>
      </c>
      <c r="AS66" s="22"/>
      <c r="AT66" s="5" t="n">
        <v>0.0075</v>
      </c>
      <c r="AU66" s="22"/>
      <c r="AV66" s="129" t="n">
        <v>0.008</v>
      </c>
      <c r="AW66" s="187"/>
      <c r="AX66" s="39" t="n">
        <v>0.005</v>
      </c>
      <c r="AY66" s="39"/>
      <c r="AZ66" s="243" t="n">
        <v>0.8</v>
      </c>
      <c r="BA66" s="243" t="n">
        <v>0.8</v>
      </c>
      <c r="BB66" s="194" t="n">
        <v>-0.485</v>
      </c>
      <c r="BC66" s="190"/>
      <c r="BD66" s="39"/>
      <c r="BE66" s="22"/>
      <c r="BF66" s="96"/>
      <c r="BG66" s="22"/>
      <c r="BH66" s="71"/>
      <c r="BI66" s="71"/>
      <c r="BJ66" s="22"/>
      <c r="BK66" s="96"/>
      <c r="BL66" s="22"/>
      <c r="BM66" s="22"/>
      <c r="BN66" s="39"/>
      <c r="BO66" s="39"/>
      <c r="BP66" s="71"/>
      <c r="BQ66" s="22"/>
      <c r="BR66" s="71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</row>
    <row r="67" customFormat="false" ht="12.75" hidden="false" customHeight="false" outlineLevel="0" collapsed="false">
      <c r="A67" s="224" t="n">
        <v>37956</v>
      </c>
      <c r="B67" s="217" t="n">
        <v>3.778</v>
      </c>
      <c r="C67" s="247" t="n">
        <v>-0.485</v>
      </c>
      <c r="D67" s="133" t="n">
        <v>-0.388178407614698</v>
      </c>
      <c r="E67" s="133" t="n">
        <v>-0.115</v>
      </c>
      <c r="F67" s="226" t="n">
        <v>0.255</v>
      </c>
      <c r="G67" s="227" t="n">
        <v>0.395</v>
      </c>
      <c r="H67" s="227" t="n">
        <v>0.405</v>
      </c>
      <c r="I67" s="228" t="n">
        <v>0.545</v>
      </c>
      <c r="J67" s="227" t="n">
        <v>0.135</v>
      </c>
      <c r="K67" s="227" t="n">
        <v>0.175</v>
      </c>
      <c r="L67" s="227" t="n">
        <v>1.12</v>
      </c>
      <c r="M67" s="226" t="n">
        <v>-0.24</v>
      </c>
      <c r="N67" s="227" t="n">
        <v>0.28</v>
      </c>
      <c r="O67" s="228" t="n">
        <v>0.13</v>
      </c>
      <c r="P67" s="249" t="n">
        <v>0.28</v>
      </c>
      <c r="Q67" s="160" t="n">
        <v>0.3475</v>
      </c>
      <c r="R67" s="232" t="n">
        <v>0.335</v>
      </c>
      <c r="S67" s="139" t="n">
        <v>0.335</v>
      </c>
      <c r="T67" s="56" t="n">
        <v>1</v>
      </c>
      <c r="U67" s="248" t="n">
        <v>0.335</v>
      </c>
      <c r="V67" s="12" t="n">
        <v>3.293</v>
      </c>
      <c r="W67" s="12" t="n">
        <v>3.3898215923853</v>
      </c>
      <c r="X67" s="142" t="n">
        <v>3.663</v>
      </c>
      <c r="Y67" s="62" t="s">
        <v>79</v>
      </c>
      <c r="Z67" s="221" t="n">
        <v>0.14</v>
      </c>
      <c r="AA67" s="237" t="n">
        <v>0.535004627829931</v>
      </c>
      <c r="AB67" s="242" t="n">
        <v>4.76154118768638</v>
      </c>
      <c r="AC67" s="90" t="n">
        <v>4.90154118768638</v>
      </c>
      <c r="AD67" s="142" t="n">
        <v>5.29654581551631</v>
      </c>
      <c r="AE67" s="182" t="n">
        <v>4.058</v>
      </c>
      <c r="AF67" s="78" t="n">
        <v>3.538</v>
      </c>
      <c r="AG67" s="147" t="n">
        <v>3.908</v>
      </c>
      <c r="AH67" s="185" t="n">
        <v>-0.135</v>
      </c>
      <c r="AI67" s="223" t="n">
        <v>1.5255671422155</v>
      </c>
      <c r="AJ67" s="37" t="n">
        <v>0.0511141238490902</v>
      </c>
      <c r="AK67" s="37" t="n">
        <v>0.048737274644834</v>
      </c>
      <c r="AL67" s="39" t="n">
        <v>0.884644304484111</v>
      </c>
      <c r="AM67" s="149" t="n">
        <v>0.889640265965089</v>
      </c>
      <c r="AN67" s="129" t="n">
        <v>0.405</v>
      </c>
      <c r="AO67" s="150" t="n">
        <v>0.12</v>
      </c>
      <c r="AP67" s="22"/>
      <c r="AQ67" s="129" t="n">
        <v>-3.43818371624705</v>
      </c>
      <c r="AR67" s="151" t="n">
        <v>-2.95318371624705</v>
      </c>
      <c r="AS67" s="22"/>
      <c r="AT67" s="5" t="n">
        <v>0.0075</v>
      </c>
      <c r="AU67" s="22"/>
      <c r="AV67" s="129" t="n">
        <v>0.008</v>
      </c>
      <c r="AW67" s="187"/>
      <c r="AX67" s="39" t="n">
        <v>0.01</v>
      </c>
      <c r="AY67" s="39"/>
      <c r="AZ67" s="243" t="n">
        <v>1</v>
      </c>
      <c r="BA67" s="243" t="n">
        <v>1</v>
      </c>
      <c r="BB67" s="194" t="n">
        <v>-0.485</v>
      </c>
      <c r="BC67" s="190"/>
      <c r="BD67" s="39"/>
      <c r="BE67" s="22"/>
      <c r="BF67" s="96"/>
      <c r="BG67" s="22"/>
      <c r="BH67" s="71"/>
      <c r="BI67" s="71"/>
      <c r="BJ67" s="22"/>
      <c r="BK67" s="96"/>
      <c r="BL67" s="22"/>
      <c r="BM67" s="22"/>
      <c r="BN67" s="39"/>
      <c r="BO67" s="39"/>
      <c r="BP67" s="71"/>
      <c r="BQ67" s="22"/>
      <c r="BR67" s="71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</row>
    <row r="68" customFormat="false" ht="12.75" hidden="false" customHeight="false" outlineLevel="0" collapsed="false">
      <c r="A68" s="224" t="n">
        <v>37987</v>
      </c>
      <c r="B68" s="217" t="n">
        <v>3.833</v>
      </c>
      <c r="C68" s="247" t="n">
        <v>-0.485</v>
      </c>
      <c r="D68" s="133" t="n">
        <v>-0.388168261183855</v>
      </c>
      <c r="E68" s="133" t="n">
        <v>-0.115</v>
      </c>
      <c r="F68" s="226" t="n">
        <v>0.255</v>
      </c>
      <c r="G68" s="227" t="n">
        <v>0.395</v>
      </c>
      <c r="H68" s="227" t="n">
        <v>0.405</v>
      </c>
      <c r="I68" s="228" t="n">
        <v>0.545</v>
      </c>
      <c r="J68" s="227" t="n">
        <v>0.135</v>
      </c>
      <c r="K68" s="227" t="n">
        <v>0.175</v>
      </c>
      <c r="L68" s="227" t="n">
        <v>1.6</v>
      </c>
      <c r="M68" s="226" t="n">
        <v>-0.24</v>
      </c>
      <c r="N68" s="227" t="n">
        <v>0.28</v>
      </c>
      <c r="O68" s="228" t="n">
        <v>0.13</v>
      </c>
      <c r="P68" s="249" t="n">
        <v>0.45</v>
      </c>
      <c r="Q68" s="160" t="n">
        <v>0.3525</v>
      </c>
      <c r="R68" s="232" t="n">
        <v>0.34</v>
      </c>
      <c r="S68" s="139" t="n">
        <v>0.34</v>
      </c>
      <c r="T68" s="56" t="n">
        <v>1</v>
      </c>
      <c r="U68" s="248" t="n">
        <v>0.34</v>
      </c>
      <c r="V68" s="12" t="n">
        <v>3.348</v>
      </c>
      <c r="W68" s="12" t="n">
        <v>3.44483173881615</v>
      </c>
      <c r="X68" s="142" t="n">
        <v>3.718</v>
      </c>
      <c r="Y68" s="180"/>
      <c r="Z68" s="221" t="n">
        <v>0.14</v>
      </c>
      <c r="AA68" s="237" t="n">
        <v>0.534948567828083</v>
      </c>
      <c r="AB68" s="242" t="n">
        <v>4.84056163537412</v>
      </c>
      <c r="AC68" s="90" t="n">
        <v>4.98056163537412</v>
      </c>
      <c r="AD68" s="142" t="n">
        <v>5.3755102032022</v>
      </c>
      <c r="AE68" s="182" t="n">
        <v>4.283</v>
      </c>
      <c r="AF68" s="78" t="n">
        <v>3.593</v>
      </c>
      <c r="AG68" s="147" t="n">
        <v>3.963</v>
      </c>
      <c r="AH68" s="185" t="n">
        <v>-0.135</v>
      </c>
      <c r="AI68" s="223" t="n">
        <v>1.52540728696872</v>
      </c>
      <c r="AJ68" s="37" t="n">
        <v>0.051410951411246</v>
      </c>
      <c r="AK68" s="37" t="n">
        <v>0.049156706435328</v>
      </c>
      <c r="AL68" s="39" t="n">
        <v>0.880222347162775</v>
      </c>
      <c r="AM68" s="149" t="n">
        <v>0.885100581750037</v>
      </c>
      <c r="AN68" s="129" t="n">
        <v>0.405</v>
      </c>
      <c r="AO68" s="150" t="n">
        <v>0.12</v>
      </c>
      <c r="AP68" s="22"/>
      <c r="AQ68" s="129" t="n">
        <v>-3.49317604866139</v>
      </c>
      <c r="AR68" s="151" t="n">
        <v>-3.00817604866139</v>
      </c>
      <c r="AS68" s="22"/>
      <c r="AT68" s="5" t="n">
        <v>0.0075</v>
      </c>
      <c r="AU68" s="22"/>
      <c r="AV68" s="129" t="n">
        <v>0.008</v>
      </c>
      <c r="AW68" s="187"/>
      <c r="AX68" s="39" t="n">
        <v>0.03</v>
      </c>
      <c r="AY68" s="39"/>
      <c r="AZ68" s="243" t="n">
        <v>1</v>
      </c>
      <c r="BA68" s="243" t="n">
        <v>1</v>
      </c>
      <c r="BB68" s="194" t="n">
        <v>-0.485</v>
      </c>
      <c r="BC68" s="190"/>
      <c r="BD68" s="39"/>
      <c r="BE68" s="22"/>
      <c r="BF68" s="96"/>
      <c r="BG68" s="22"/>
      <c r="BH68" s="71"/>
      <c r="BI68" s="71"/>
      <c r="BJ68" s="22"/>
      <c r="BK68" s="96"/>
      <c r="BL68" s="22"/>
      <c r="BM68" s="22"/>
      <c r="BN68" s="39"/>
      <c r="BO68" s="39"/>
      <c r="BP68" s="71"/>
      <c r="BQ68" s="22"/>
      <c r="BR68" s="71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</row>
    <row r="69" customFormat="false" ht="12.75" hidden="false" customHeight="false" outlineLevel="0" collapsed="false">
      <c r="A69" s="224" t="n">
        <v>38018</v>
      </c>
      <c r="B69" s="217" t="n">
        <v>3.715</v>
      </c>
      <c r="C69" s="247" t="n">
        <v>-0.485</v>
      </c>
      <c r="D69" s="133" t="n">
        <v>-0.388159182420562</v>
      </c>
      <c r="E69" s="133" t="n">
        <v>-0.115000000000001</v>
      </c>
      <c r="F69" s="226" t="n">
        <v>0.255</v>
      </c>
      <c r="G69" s="227" t="n">
        <v>0.395</v>
      </c>
      <c r="H69" s="227" t="n">
        <v>0.405</v>
      </c>
      <c r="I69" s="228" t="n">
        <v>0.545</v>
      </c>
      <c r="J69" s="227" t="n">
        <v>0.135</v>
      </c>
      <c r="K69" s="227" t="n">
        <v>0.175</v>
      </c>
      <c r="L69" s="227" t="n">
        <v>1.6</v>
      </c>
      <c r="M69" s="226" t="n">
        <v>-0.24</v>
      </c>
      <c r="N69" s="227" t="n">
        <v>0.28</v>
      </c>
      <c r="O69" s="228" t="n">
        <v>0.13</v>
      </c>
      <c r="P69" s="249" t="n">
        <v>0.19</v>
      </c>
      <c r="Q69" s="160" t="n">
        <v>0.345</v>
      </c>
      <c r="R69" s="232" t="n">
        <v>0.3325</v>
      </c>
      <c r="S69" s="139" t="n">
        <v>0.3325</v>
      </c>
      <c r="T69" s="56" t="n">
        <v>1</v>
      </c>
      <c r="U69" s="248" t="n">
        <v>0.3325</v>
      </c>
      <c r="V69" s="12" t="n">
        <v>3.23</v>
      </c>
      <c r="W69" s="12" t="n">
        <v>3.32684081757944</v>
      </c>
      <c r="X69" s="142" t="n">
        <v>3.6</v>
      </c>
      <c r="Y69" s="13"/>
      <c r="Z69" s="221" t="n">
        <v>0.14</v>
      </c>
      <c r="AA69" s="237" t="n">
        <v>0.53489841674982</v>
      </c>
      <c r="AB69" s="242" t="n">
        <v>4.66951861108627</v>
      </c>
      <c r="AC69" s="90" t="n">
        <v>4.80951861108627</v>
      </c>
      <c r="AD69" s="142" t="n">
        <v>5.20441702783609</v>
      </c>
      <c r="AE69" s="182" t="n">
        <v>3.905</v>
      </c>
      <c r="AF69" s="78" t="n">
        <v>3.475</v>
      </c>
      <c r="AG69" s="147" t="n">
        <v>3.845</v>
      </c>
      <c r="AH69" s="185" t="n">
        <v>-0.135</v>
      </c>
      <c r="AI69" s="223" t="n">
        <v>1.52526428103351</v>
      </c>
      <c r="AJ69" s="37" t="n">
        <v>0.0517077790027982</v>
      </c>
      <c r="AK69" s="37" t="n">
        <v>0.0495637941541731</v>
      </c>
      <c r="AL69" s="39" t="n">
        <v>0.875779563624549</v>
      </c>
      <c r="AM69" s="149" t="n">
        <v>0.880550617307609</v>
      </c>
      <c r="AN69" s="129" t="n">
        <v>0.405</v>
      </c>
      <c r="AO69" s="150" t="n">
        <v>0.133</v>
      </c>
      <c r="AP69" s="22"/>
      <c r="AQ69" s="129" t="n">
        <v>-3.37516943354936</v>
      </c>
      <c r="AR69" s="151" t="n">
        <v>-2.89016943354936</v>
      </c>
      <c r="AS69" s="22"/>
      <c r="AT69" s="5" t="n">
        <v>0.0075</v>
      </c>
      <c r="AU69" s="22"/>
      <c r="AV69" s="129" t="n">
        <v>0.008</v>
      </c>
      <c r="AW69" s="187"/>
      <c r="AX69" s="39" t="n">
        <v>0.025</v>
      </c>
      <c r="AY69" s="39"/>
      <c r="AZ69" s="243" t="n">
        <v>1</v>
      </c>
      <c r="BA69" s="243" t="n">
        <v>1</v>
      </c>
      <c r="BB69" s="194" t="n">
        <v>-0.485</v>
      </c>
      <c r="BC69" s="190"/>
      <c r="BD69" s="39"/>
      <c r="BE69" s="22"/>
      <c r="BF69" s="96"/>
      <c r="BG69" s="22"/>
      <c r="BH69" s="71"/>
      <c r="BI69" s="71"/>
      <c r="BJ69" s="22"/>
      <c r="BK69" s="96"/>
      <c r="BL69" s="22"/>
      <c r="BM69" s="22"/>
      <c r="BN69" s="39"/>
      <c r="BO69" s="39"/>
      <c r="BP69" s="71"/>
      <c r="BQ69" s="22"/>
      <c r="BR69" s="71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</row>
    <row r="70" customFormat="false" ht="12.75" hidden="false" customHeight="false" outlineLevel="0" collapsed="false">
      <c r="A70" s="224" t="n">
        <v>38047</v>
      </c>
      <c r="B70" s="217" t="n">
        <v>3.582</v>
      </c>
      <c r="C70" s="247" t="n">
        <v>-0.485</v>
      </c>
      <c r="D70" s="133" t="n">
        <v>-0.388149091179502</v>
      </c>
      <c r="E70" s="133" t="n">
        <v>-0.115</v>
      </c>
      <c r="F70" s="226" t="n">
        <v>0.255</v>
      </c>
      <c r="G70" s="227" t="n">
        <v>0.395</v>
      </c>
      <c r="H70" s="227" t="n">
        <v>0.405</v>
      </c>
      <c r="I70" s="228" t="n">
        <v>0.545</v>
      </c>
      <c r="J70" s="227" t="n">
        <v>0.135</v>
      </c>
      <c r="K70" s="227" t="n">
        <v>0.175</v>
      </c>
      <c r="L70" s="227" t="n">
        <v>0.71</v>
      </c>
      <c r="M70" s="226" t="n">
        <v>-0.24</v>
      </c>
      <c r="N70" s="227" t="n">
        <v>0.28</v>
      </c>
      <c r="O70" s="228" t="n">
        <v>0.13</v>
      </c>
      <c r="P70" s="249" t="n">
        <v>0.15</v>
      </c>
      <c r="Q70" s="160" t="n">
        <v>0.3325</v>
      </c>
      <c r="R70" s="232" t="n">
        <v>0.32</v>
      </c>
      <c r="S70" s="139" t="n">
        <v>0.32</v>
      </c>
      <c r="T70" s="56" t="n">
        <v>0.75</v>
      </c>
      <c r="U70" s="248" t="n">
        <v>0.32</v>
      </c>
      <c r="V70" s="12" t="n">
        <v>3.097</v>
      </c>
      <c r="W70" s="12" t="n">
        <v>3.1938509088205</v>
      </c>
      <c r="X70" s="142" t="n">
        <v>3.467</v>
      </c>
      <c r="Y70" s="13"/>
      <c r="Z70" s="221" t="n">
        <v>0.14</v>
      </c>
      <c r="AA70" s="237" t="n">
        <v>0.534842683779103</v>
      </c>
      <c r="AB70" s="242" t="n">
        <v>4.47677781530779</v>
      </c>
      <c r="AC70" s="90" t="n">
        <v>4.61677781530779</v>
      </c>
      <c r="AD70" s="142" t="n">
        <v>5.0116204990869</v>
      </c>
      <c r="AE70" s="182" t="n">
        <v>3.732</v>
      </c>
      <c r="AF70" s="78" t="n">
        <v>3.342</v>
      </c>
      <c r="AG70" s="147" t="n">
        <v>3.712</v>
      </c>
      <c r="AH70" s="185" t="n">
        <v>-0.135</v>
      </c>
      <c r="AI70" s="223" t="n">
        <v>1.52510535831688</v>
      </c>
      <c r="AJ70" s="37" t="n">
        <v>0.0519854564537638</v>
      </c>
      <c r="AK70" s="37" t="n">
        <v>0.049944618199325</v>
      </c>
      <c r="AL70" s="39" t="n">
        <v>0.871605043320227</v>
      </c>
      <c r="AM70" s="149" t="n">
        <v>0.876262044761827</v>
      </c>
      <c r="AN70" s="129" t="n">
        <v>0.405</v>
      </c>
      <c r="AO70" s="150" t="n">
        <v>0.12</v>
      </c>
      <c r="AP70" s="22"/>
      <c r="AQ70" s="129" t="n">
        <v>-3.24216289997144</v>
      </c>
      <c r="AR70" s="151" t="n">
        <v>-2.75716289997144</v>
      </c>
      <c r="AS70" s="22"/>
      <c r="AT70" s="5" t="n">
        <v>0.0075</v>
      </c>
      <c r="AU70" s="22"/>
      <c r="AV70" s="129" t="n">
        <v>0.008</v>
      </c>
      <c r="AW70" s="187"/>
      <c r="AX70" s="39" t="n">
        <v>0.005</v>
      </c>
      <c r="AY70" s="39"/>
      <c r="AZ70" s="243" t="n">
        <v>0.75</v>
      </c>
      <c r="BA70" s="243" t="n">
        <v>0.75</v>
      </c>
      <c r="BB70" s="194" t="n">
        <v>-0.485</v>
      </c>
      <c r="BC70" s="190"/>
      <c r="BD70" s="39"/>
      <c r="BE70" s="22"/>
      <c r="BF70" s="96"/>
      <c r="BG70" s="22"/>
      <c r="BH70" s="71"/>
      <c r="BI70" s="71"/>
      <c r="BJ70" s="22"/>
      <c r="BK70" s="96"/>
      <c r="BL70" s="22"/>
      <c r="BM70" s="22"/>
      <c r="BN70" s="39"/>
      <c r="BO70" s="39"/>
      <c r="BP70" s="71"/>
      <c r="BQ70" s="22"/>
      <c r="BR70" s="71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</row>
    <row r="71" customFormat="false" ht="12.75" hidden="false" customHeight="false" outlineLevel="0" collapsed="false">
      <c r="A71" s="224" t="n">
        <v>38078</v>
      </c>
      <c r="B71" s="217" t="n">
        <v>3.362</v>
      </c>
      <c r="C71" s="239" t="n">
        <v>-0.545</v>
      </c>
      <c r="D71" s="133" t="n">
        <v>-0.448144678283467</v>
      </c>
      <c r="E71" s="133" t="n">
        <v>-0.475817627345334</v>
      </c>
      <c r="F71" s="226" t="n">
        <v>0.125</v>
      </c>
      <c r="G71" s="227" t="n">
        <v>0.12</v>
      </c>
      <c r="H71" s="227" t="n">
        <v>0.16</v>
      </c>
      <c r="I71" s="228" t="n">
        <v>0.16</v>
      </c>
      <c r="J71" s="227" t="n">
        <v>0.035</v>
      </c>
      <c r="K71" s="227" t="n">
        <v>0.105</v>
      </c>
      <c r="L71" s="227" t="n">
        <v>0.48</v>
      </c>
      <c r="M71" s="226" t="n">
        <v>-0.27</v>
      </c>
      <c r="N71" s="227" t="n">
        <v>0.25</v>
      </c>
      <c r="O71" s="228" t="n">
        <v>-0.23</v>
      </c>
      <c r="P71" s="240" t="n">
        <v>-0.3</v>
      </c>
      <c r="Q71" s="160" t="n">
        <v>0.3175</v>
      </c>
      <c r="R71" s="232" t="n">
        <v>0.305</v>
      </c>
      <c r="S71" s="139" t="n">
        <v>0.305</v>
      </c>
      <c r="T71" s="56" t="n">
        <v>0.4</v>
      </c>
      <c r="U71" s="248" t="n">
        <v>0.305</v>
      </c>
      <c r="V71" s="12" t="n">
        <v>2.817</v>
      </c>
      <c r="W71" s="12" t="n">
        <v>2.91385532171653</v>
      </c>
      <c r="X71" s="142" t="n">
        <v>2.88618237265467</v>
      </c>
      <c r="Y71" s="13"/>
      <c r="Z71" s="221" t="n">
        <v>0.14</v>
      </c>
      <c r="AA71" s="237" t="n">
        <v>0.1</v>
      </c>
      <c r="AB71" s="242" t="n">
        <v>4.07184647173267</v>
      </c>
      <c r="AC71" s="90" t="n">
        <v>4.21184647173267</v>
      </c>
      <c r="AD71" s="142" t="n">
        <v>4.17184647173267</v>
      </c>
      <c r="AE71" s="182" t="n">
        <v>3.062</v>
      </c>
      <c r="AF71" s="78" t="n">
        <v>3.092</v>
      </c>
      <c r="AG71" s="147" t="n">
        <v>3.132</v>
      </c>
      <c r="AH71" s="185" t="n">
        <v>-0.1</v>
      </c>
      <c r="AI71" s="223" t="n">
        <v>1.52503587187802</v>
      </c>
      <c r="AJ71" s="37" t="n">
        <v>0.0522822841022022</v>
      </c>
      <c r="AK71" s="37" t="n">
        <v>0.0503207394063945</v>
      </c>
      <c r="AL71" s="39" t="n">
        <v>0.867123510075724</v>
      </c>
      <c r="AM71" s="149" t="n">
        <v>0.871716847867017</v>
      </c>
      <c r="AN71" s="129" t="n">
        <v>0.12</v>
      </c>
      <c r="AO71" s="150" t="n">
        <v>0.124</v>
      </c>
      <c r="AP71" s="22"/>
      <c r="AQ71" s="129" t="n">
        <v>-3.32284654469791</v>
      </c>
      <c r="AR71" s="151" t="n">
        <v>-2.77784654469791</v>
      </c>
      <c r="AS71" s="22"/>
      <c r="AT71" s="5" t="n">
        <v>0.0075</v>
      </c>
      <c r="AU71" s="22"/>
      <c r="AV71" s="129" t="n">
        <v>0.0025</v>
      </c>
      <c r="AW71" s="187"/>
      <c r="AX71" s="39" t="n">
        <v>-0.105</v>
      </c>
      <c r="AY71" s="39"/>
      <c r="AZ71" s="243" t="n">
        <v>0.4</v>
      </c>
      <c r="BA71" s="243" t="n">
        <v>0.4</v>
      </c>
      <c r="BB71" s="194" t="n">
        <v>-0.545</v>
      </c>
      <c r="BC71" s="190"/>
      <c r="BD71" s="39"/>
      <c r="BE71" s="22"/>
      <c r="BF71" s="96"/>
      <c r="BG71" s="22"/>
      <c r="BH71" s="71"/>
      <c r="BI71" s="71"/>
      <c r="BJ71" s="22"/>
      <c r="BK71" s="96"/>
      <c r="BL71" s="22"/>
      <c r="BM71" s="22"/>
      <c r="BN71" s="39"/>
      <c r="BO71" s="39"/>
      <c r="BP71" s="71"/>
      <c r="BQ71" s="22"/>
      <c r="BR71" s="71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</row>
    <row r="72" customFormat="false" ht="12.75" hidden="false" customHeight="false" outlineLevel="0" collapsed="false">
      <c r="A72" s="224" t="n">
        <v>38108</v>
      </c>
      <c r="B72" s="217" t="n">
        <v>3.352</v>
      </c>
      <c r="C72" s="244" t="n">
        <v>-0.545</v>
      </c>
      <c r="D72" s="133" t="n">
        <v>-0.448147788397774</v>
      </c>
      <c r="E72" s="133" t="n">
        <v>-0.475819848855553</v>
      </c>
      <c r="F72" s="226" t="n">
        <v>0.125</v>
      </c>
      <c r="G72" s="227" t="n">
        <v>0.12</v>
      </c>
      <c r="H72" s="227" t="n">
        <v>0.16</v>
      </c>
      <c r="I72" s="228" t="n">
        <v>0.16</v>
      </c>
      <c r="J72" s="227" t="n">
        <v>0.035</v>
      </c>
      <c r="K72" s="227" t="n">
        <v>0.105</v>
      </c>
      <c r="L72" s="227" t="n">
        <v>0.42</v>
      </c>
      <c r="M72" s="226" t="n">
        <v>-0.27</v>
      </c>
      <c r="N72" s="227" t="n">
        <v>0.25</v>
      </c>
      <c r="O72" s="228" t="n">
        <v>-0.23</v>
      </c>
      <c r="P72" s="183" t="n">
        <v>-0.3</v>
      </c>
      <c r="Q72" s="160" t="n">
        <v>0.315</v>
      </c>
      <c r="R72" s="232" t="n">
        <v>0.3025</v>
      </c>
      <c r="S72" s="139" t="n">
        <v>0.3025</v>
      </c>
      <c r="T72" s="56" t="n">
        <v>0.45</v>
      </c>
      <c r="U72" s="248" t="n">
        <v>0.3025</v>
      </c>
      <c r="V72" s="12" t="n">
        <v>2.807</v>
      </c>
      <c r="W72" s="12" t="n">
        <v>2.90385221160223</v>
      </c>
      <c r="X72" s="142" t="n">
        <v>2.87618015114445</v>
      </c>
      <c r="Y72" s="13"/>
      <c r="Z72" s="221" t="n">
        <v>0.14</v>
      </c>
      <c r="AA72" s="237" t="n">
        <v>0.1</v>
      </c>
      <c r="AB72" s="242" t="n">
        <v>4.05752221347283</v>
      </c>
      <c r="AC72" s="90" t="n">
        <v>4.19752221347283</v>
      </c>
      <c r="AD72" s="142" t="n">
        <v>4.15752221347283</v>
      </c>
      <c r="AE72" s="182" t="n">
        <v>3.052</v>
      </c>
      <c r="AF72" s="78" t="n">
        <v>3.082</v>
      </c>
      <c r="AG72" s="147" t="n">
        <v>3.122</v>
      </c>
      <c r="AH72" s="185" t="n">
        <v>-0.1</v>
      </c>
      <c r="AI72" s="223" t="n">
        <v>1.52508484376836</v>
      </c>
      <c r="AJ72" s="37" t="n">
        <v>0.0525695366931851</v>
      </c>
      <c r="AK72" s="37" t="n">
        <v>0.050652762170647</v>
      </c>
      <c r="AL72" s="39" t="n">
        <v>0.862768241413051</v>
      </c>
      <c r="AM72" s="149" t="n">
        <v>0.867366360358424</v>
      </c>
      <c r="AN72" s="129" t="n">
        <v>0.12</v>
      </c>
      <c r="AO72" s="150" t="n">
        <v>0.12</v>
      </c>
      <c r="AP72" s="22"/>
      <c r="AQ72" s="129" t="n">
        <v>-3.31284876527957</v>
      </c>
      <c r="AR72" s="151" t="n">
        <v>-2.76784876527957</v>
      </c>
      <c r="AS72" s="22"/>
      <c r="AT72" s="5" t="n">
        <v>0.0075</v>
      </c>
      <c r="AU72" s="22"/>
      <c r="AV72" s="129" t="n">
        <v>0.0025</v>
      </c>
      <c r="AW72" s="187"/>
      <c r="AX72" s="39" t="n">
        <v>-0.105</v>
      </c>
      <c r="AY72" s="39"/>
      <c r="AZ72" s="243" t="n">
        <v>0.45</v>
      </c>
      <c r="BA72" s="243" t="n">
        <v>0.45</v>
      </c>
      <c r="BB72" s="194" t="n">
        <v>-0.545</v>
      </c>
      <c r="BC72" s="190"/>
      <c r="BD72" s="39"/>
      <c r="BE72" s="22"/>
      <c r="BF72" s="96"/>
      <c r="BG72" s="22"/>
      <c r="BH72" s="71"/>
      <c r="BI72" s="71"/>
      <c r="BJ72" s="22"/>
      <c r="BK72" s="96"/>
      <c r="BL72" s="22"/>
      <c r="BM72" s="22"/>
      <c r="BN72" s="39"/>
      <c r="BO72" s="39"/>
      <c r="BP72" s="71"/>
      <c r="BQ72" s="22"/>
      <c r="BR72" s="71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</row>
    <row r="73" customFormat="false" ht="12.75" hidden="false" customHeight="false" outlineLevel="0" collapsed="false">
      <c r="A73" s="224" t="n">
        <v>38139</v>
      </c>
      <c r="B73" s="217" t="n">
        <v>3.388</v>
      </c>
      <c r="C73" s="244" t="n">
        <v>-0.545</v>
      </c>
      <c r="D73" s="133" t="n">
        <v>-0.448150271744193</v>
      </c>
      <c r="E73" s="133" t="n">
        <v>-0.475821622674423</v>
      </c>
      <c r="F73" s="226" t="n">
        <v>0.125</v>
      </c>
      <c r="G73" s="227" t="n">
        <v>0.12</v>
      </c>
      <c r="H73" s="227" t="n">
        <v>0.16</v>
      </c>
      <c r="I73" s="228" t="n">
        <v>0.16</v>
      </c>
      <c r="J73" s="227" t="n">
        <v>0.035</v>
      </c>
      <c r="K73" s="227" t="n">
        <v>0.105</v>
      </c>
      <c r="L73" s="227" t="n">
        <v>0.42</v>
      </c>
      <c r="M73" s="226" t="n">
        <v>-0.27</v>
      </c>
      <c r="N73" s="227" t="n">
        <v>0.25</v>
      </c>
      <c r="O73" s="228" t="n">
        <v>-0.23</v>
      </c>
      <c r="P73" s="183" t="n">
        <v>-0.3</v>
      </c>
      <c r="Q73" s="160" t="n">
        <v>0.315</v>
      </c>
      <c r="R73" s="232" t="n">
        <v>0.3025</v>
      </c>
      <c r="S73" s="139" t="n">
        <v>0.3025</v>
      </c>
      <c r="T73" s="56" t="n">
        <v>0.45</v>
      </c>
      <c r="U73" s="248" t="n">
        <v>0.3025</v>
      </c>
      <c r="V73" s="12" t="n">
        <v>2.843</v>
      </c>
      <c r="W73" s="12" t="n">
        <v>2.93984972825581</v>
      </c>
      <c r="X73" s="142" t="n">
        <v>2.91217837732558</v>
      </c>
      <c r="Y73" s="62" t="s">
        <v>85</v>
      </c>
      <c r="Z73" s="221" t="n">
        <v>0.14</v>
      </c>
      <c r="AA73" s="237" t="n">
        <v>0.1</v>
      </c>
      <c r="AB73" s="242" t="n">
        <v>4.10966563528935</v>
      </c>
      <c r="AC73" s="90" t="n">
        <v>4.24966563528935</v>
      </c>
      <c r="AD73" s="142" t="n">
        <v>4.20966563528935</v>
      </c>
      <c r="AE73" s="182" t="n">
        <v>3.088</v>
      </c>
      <c r="AF73" s="78" t="n">
        <v>3.118</v>
      </c>
      <c r="AG73" s="147" t="n">
        <v>3.158</v>
      </c>
      <c r="AH73" s="185" t="n">
        <v>-0.1</v>
      </c>
      <c r="AI73" s="223" t="n">
        <v>1.52512394882372</v>
      </c>
      <c r="AJ73" s="37" t="n">
        <v>0.0528663643994411</v>
      </c>
      <c r="AK73" s="37" t="n">
        <v>0.0509958523990304</v>
      </c>
      <c r="AL73" s="39" t="n">
        <v>0.858249420074368</v>
      </c>
      <c r="AM73" s="149" t="n">
        <v>0.862845579841455</v>
      </c>
      <c r="AN73" s="129" t="n">
        <v>0.12</v>
      </c>
      <c r="AO73" s="150" t="n">
        <v>0.124</v>
      </c>
      <c r="AP73" s="22"/>
      <c r="AQ73" s="129" t="n">
        <v>-3.348850538357</v>
      </c>
      <c r="AR73" s="151" t="n">
        <v>-2.803850538357</v>
      </c>
      <c r="AS73" s="22"/>
      <c r="AT73" s="5" t="n">
        <v>0.0075</v>
      </c>
      <c r="AU73" s="22"/>
      <c r="AV73" s="129" t="n">
        <v>0.0025</v>
      </c>
      <c r="AW73" s="187"/>
      <c r="AX73" s="39" t="n">
        <v>-0.105</v>
      </c>
      <c r="AY73" s="39"/>
      <c r="AZ73" s="243" t="n">
        <v>0.45</v>
      </c>
      <c r="BA73" s="243" t="n">
        <v>0.45</v>
      </c>
      <c r="BB73" s="194" t="n">
        <v>-0.545</v>
      </c>
      <c r="BC73" s="190"/>
      <c r="BD73" s="39"/>
      <c r="BE73" s="22"/>
      <c r="BF73" s="96"/>
      <c r="BG73" s="22"/>
      <c r="BH73" s="71"/>
      <c r="BI73" s="71"/>
      <c r="BJ73" s="22"/>
      <c r="BK73" s="96"/>
      <c r="BL73" s="22"/>
      <c r="BM73" s="22"/>
      <c r="BN73" s="39"/>
      <c r="BO73" s="39"/>
      <c r="BP73" s="71"/>
      <c r="BQ73" s="22"/>
      <c r="BR73" s="71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</row>
    <row r="74" customFormat="false" ht="12.75" hidden="false" customHeight="false" outlineLevel="0" collapsed="false">
      <c r="A74" s="224" t="n">
        <v>38169</v>
      </c>
      <c r="B74" s="217" t="n">
        <v>3.43</v>
      </c>
      <c r="C74" s="244" t="n">
        <v>-0.545</v>
      </c>
      <c r="D74" s="133" t="n">
        <v>-0.448152150383098</v>
      </c>
      <c r="E74" s="133" t="n">
        <v>-0.475822964559356</v>
      </c>
      <c r="F74" s="226" t="n">
        <v>0.125</v>
      </c>
      <c r="G74" s="227" t="n">
        <v>0.12</v>
      </c>
      <c r="H74" s="227" t="n">
        <v>0.16</v>
      </c>
      <c r="I74" s="228" t="n">
        <v>0.16</v>
      </c>
      <c r="J74" s="227" t="n">
        <v>0.035</v>
      </c>
      <c r="K74" s="227" t="n">
        <v>0.105</v>
      </c>
      <c r="L74" s="227" t="n">
        <v>0.48</v>
      </c>
      <c r="M74" s="226" t="n">
        <v>-0.27</v>
      </c>
      <c r="N74" s="227" t="n">
        <v>0.25</v>
      </c>
      <c r="O74" s="228" t="n">
        <v>-0.23</v>
      </c>
      <c r="P74" s="183" t="n">
        <v>-0.3</v>
      </c>
      <c r="Q74" s="160" t="n">
        <v>0.315</v>
      </c>
      <c r="R74" s="232" t="n">
        <v>0.3025</v>
      </c>
      <c r="S74" s="139" t="n">
        <v>0.3025</v>
      </c>
      <c r="T74" s="56" t="n">
        <v>0.5</v>
      </c>
      <c r="U74" s="248" t="n">
        <v>0.3025</v>
      </c>
      <c r="V74" s="12" t="n">
        <v>2.885</v>
      </c>
      <c r="W74" s="12" t="n">
        <v>2.9818478496169</v>
      </c>
      <c r="X74" s="142" t="n">
        <v>2.95417703544064</v>
      </c>
      <c r="Y74" s="180" t="n">
        <v>4.39950493554938</v>
      </c>
      <c r="Z74" s="221" t="n">
        <v>0.14</v>
      </c>
      <c r="AA74" s="237" t="n">
        <v>0.1</v>
      </c>
      <c r="AB74" s="242" t="n">
        <v>4.17045914388078</v>
      </c>
      <c r="AC74" s="90" t="n">
        <v>4.31045914388078</v>
      </c>
      <c r="AD74" s="142" t="n">
        <v>4.27045914388078</v>
      </c>
      <c r="AE74" s="182" t="n">
        <v>3.13</v>
      </c>
      <c r="AF74" s="78" t="n">
        <v>3.16</v>
      </c>
      <c r="AG74" s="147" t="n">
        <v>3.2</v>
      </c>
      <c r="AH74" s="185" t="n">
        <v>-0.1</v>
      </c>
      <c r="AI74" s="223" t="n">
        <v>1.52515353293112</v>
      </c>
      <c r="AJ74" s="37" t="n">
        <v>0.0531399828276782</v>
      </c>
      <c r="AK74" s="37" t="n">
        <v>0.0513136134946968</v>
      </c>
      <c r="AL74" s="39" t="n">
        <v>0.853893247504929</v>
      </c>
      <c r="AM74" s="149" t="n">
        <v>0.858482731165569</v>
      </c>
      <c r="AN74" s="129" t="n">
        <v>0.12</v>
      </c>
      <c r="AO74" s="150" t="n">
        <v>0.12</v>
      </c>
      <c r="AP74" s="22"/>
      <c r="AQ74" s="129" t="n">
        <v>-3.39085187968105</v>
      </c>
      <c r="AR74" s="151" t="n">
        <v>-2.84585187968105</v>
      </c>
      <c r="AS74" s="22"/>
      <c r="AT74" s="5" t="n">
        <v>0.0075</v>
      </c>
      <c r="AU74" s="22"/>
      <c r="AV74" s="129" t="n">
        <v>0.0025</v>
      </c>
      <c r="AW74" s="187"/>
      <c r="AX74" s="39" t="n">
        <v>-0.105</v>
      </c>
      <c r="AY74" s="39"/>
      <c r="AZ74" s="243" t="n">
        <v>0.5</v>
      </c>
      <c r="BA74" s="243" t="n">
        <v>0.5</v>
      </c>
      <c r="BB74" s="194" t="n">
        <v>-0.545</v>
      </c>
      <c r="BC74" s="190"/>
      <c r="BD74" s="39"/>
      <c r="BE74" s="22"/>
      <c r="BF74" s="96"/>
      <c r="BG74" s="22"/>
      <c r="BH74" s="71"/>
      <c r="BI74" s="71"/>
      <c r="BJ74" s="22"/>
      <c r="BK74" s="96"/>
      <c r="BL74" s="22"/>
      <c r="BM74" s="22"/>
      <c r="BN74" s="39"/>
      <c r="BO74" s="39"/>
      <c r="BP74" s="71"/>
      <c r="BQ74" s="22"/>
      <c r="BR74" s="71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</row>
    <row r="75" customFormat="false" ht="12.75" hidden="false" customHeight="false" outlineLevel="0" collapsed="false">
      <c r="A75" s="224" t="n">
        <v>38200</v>
      </c>
      <c r="B75" s="217" t="n">
        <v>3.479</v>
      </c>
      <c r="C75" s="244" t="n">
        <v>-0.545</v>
      </c>
      <c r="D75" s="133" t="n">
        <v>-0.448120907477117</v>
      </c>
      <c r="E75" s="133" t="n">
        <v>-0.475800648197941</v>
      </c>
      <c r="F75" s="226" t="n">
        <v>0.125</v>
      </c>
      <c r="G75" s="227" t="n">
        <v>0.12</v>
      </c>
      <c r="H75" s="227" t="n">
        <v>0.16</v>
      </c>
      <c r="I75" s="228" t="n">
        <v>0.16</v>
      </c>
      <c r="J75" s="227" t="n">
        <v>0.035</v>
      </c>
      <c r="K75" s="227" t="n">
        <v>0.105</v>
      </c>
      <c r="L75" s="227" t="n">
        <v>0.48</v>
      </c>
      <c r="M75" s="226" t="n">
        <v>-0.27</v>
      </c>
      <c r="N75" s="227" t="n">
        <v>0.25</v>
      </c>
      <c r="O75" s="228" t="n">
        <v>-0.23</v>
      </c>
      <c r="P75" s="183" t="n">
        <v>-0.3</v>
      </c>
      <c r="Q75" s="160" t="n">
        <v>0.315</v>
      </c>
      <c r="R75" s="232" t="n">
        <v>0.3025</v>
      </c>
      <c r="S75" s="139" t="n">
        <v>0.3025</v>
      </c>
      <c r="T75" s="56" t="n">
        <v>0.55</v>
      </c>
      <c r="U75" s="248" t="n">
        <v>0.3025</v>
      </c>
      <c r="V75" s="12" t="n">
        <v>2.934</v>
      </c>
      <c r="W75" s="12" t="n">
        <v>3.03087909252288</v>
      </c>
      <c r="X75" s="142" t="n">
        <v>3.00319935180206</v>
      </c>
      <c r="Y75" s="180" t="n">
        <v>4.6849943983383</v>
      </c>
      <c r="Z75" s="221" t="n">
        <v>0.14</v>
      </c>
      <c r="AA75" s="237" t="n">
        <v>0.1</v>
      </c>
      <c r="AB75" s="242" t="n">
        <v>4.23992410852709</v>
      </c>
      <c r="AC75" s="90" t="n">
        <v>4.37992410852709</v>
      </c>
      <c r="AD75" s="142" t="n">
        <v>4.33992410852709</v>
      </c>
      <c r="AE75" s="182" t="n">
        <v>3.179</v>
      </c>
      <c r="AF75" s="78" t="n">
        <v>3.209</v>
      </c>
      <c r="AG75" s="147" t="n">
        <v>3.249</v>
      </c>
      <c r="AH75" s="185" t="n">
        <v>-0.1</v>
      </c>
      <c r="AI75" s="223" t="n">
        <v>1.52466168038383</v>
      </c>
      <c r="AJ75" s="37" t="n">
        <v>0.0532959236536086</v>
      </c>
      <c r="AK75" s="37" t="n">
        <v>0.0516263077349626</v>
      </c>
      <c r="AL75" s="39" t="n">
        <v>0.849701009305723</v>
      </c>
      <c r="AM75" s="149" t="n">
        <v>0.853992464516744</v>
      </c>
      <c r="AN75" s="129" t="n">
        <v>0.12</v>
      </c>
      <c r="AO75" s="150" t="n">
        <v>0.12</v>
      </c>
      <c r="AP75" s="22"/>
      <c r="AQ75" s="129" t="n">
        <v>-3.43982957264759</v>
      </c>
      <c r="AR75" s="151" t="n">
        <v>-2.89482957264759</v>
      </c>
      <c r="AS75" s="22"/>
      <c r="AT75" s="5" t="n">
        <v>0.0075</v>
      </c>
      <c r="AU75" s="22"/>
      <c r="AV75" s="129" t="n">
        <v>0.0025</v>
      </c>
      <c r="AW75" s="187"/>
      <c r="AX75" s="39" t="n">
        <v>-0.105</v>
      </c>
      <c r="AY75" s="39"/>
      <c r="AZ75" s="243" t="n">
        <v>0.55</v>
      </c>
      <c r="BA75" s="243" t="n">
        <v>0.55</v>
      </c>
      <c r="BB75" s="194" t="n">
        <v>-0.545</v>
      </c>
      <c r="BC75" s="190"/>
      <c r="BD75" s="39"/>
      <c r="BE75" s="22"/>
      <c r="BF75" s="96"/>
      <c r="BG75" s="22"/>
      <c r="BH75" s="71"/>
      <c r="BI75" s="71"/>
      <c r="BJ75" s="22"/>
      <c r="BK75" s="96"/>
      <c r="BL75" s="22"/>
      <c r="BM75" s="22"/>
      <c r="BN75" s="39"/>
      <c r="BO75" s="39"/>
      <c r="BP75" s="71"/>
      <c r="BQ75" s="22"/>
      <c r="BR75" s="71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</row>
    <row r="76" customFormat="false" ht="12.75" hidden="false" customHeight="false" outlineLevel="0" collapsed="false">
      <c r="A76" s="224" t="n">
        <v>38231</v>
      </c>
      <c r="B76" s="217" t="n">
        <v>3.494</v>
      </c>
      <c r="C76" s="244" t="n">
        <v>-0.545</v>
      </c>
      <c r="D76" s="133" t="n">
        <v>-0.448087149159055</v>
      </c>
      <c r="E76" s="133" t="n">
        <v>-0.475776535113611</v>
      </c>
      <c r="F76" s="226" t="n">
        <v>0.125</v>
      </c>
      <c r="G76" s="227" t="n">
        <v>0.12</v>
      </c>
      <c r="H76" s="227" t="n">
        <v>0.16</v>
      </c>
      <c r="I76" s="228" t="n">
        <v>0.16</v>
      </c>
      <c r="J76" s="227" t="n">
        <v>0.035</v>
      </c>
      <c r="K76" s="227" t="n">
        <v>0.105</v>
      </c>
      <c r="L76" s="227" t="n">
        <v>0.44</v>
      </c>
      <c r="M76" s="226" t="n">
        <v>-0.27</v>
      </c>
      <c r="N76" s="227" t="n">
        <v>0.25</v>
      </c>
      <c r="O76" s="228" t="n">
        <v>-0.23</v>
      </c>
      <c r="P76" s="183" t="n">
        <v>-0.3</v>
      </c>
      <c r="Q76" s="160" t="n">
        <v>0.315</v>
      </c>
      <c r="R76" s="232" t="n">
        <v>0.3025</v>
      </c>
      <c r="S76" s="139" t="n">
        <v>0.3025</v>
      </c>
      <c r="T76" s="56" t="n">
        <v>0.55</v>
      </c>
      <c r="U76" s="248" t="n">
        <v>0.3025</v>
      </c>
      <c r="V76" s="12" t="n">
        <v>2.949</v>
      </c>
      <c r="W76" s="12" t="n">
        <v>3.04591285084095</v>
      </c>
      <c r="X76" s="142" t="n">
        <v>3.01822346488639</v>
      </c>
      <c r="Y76" s="180" t="n">
        <v>4.19558389070015</v>
      </c>
      <c r="Z76" s="221" t="n">
        <v>0.14</v>
      </c>
      <c r="AA76" s="237" t="n">
        <v>0.1</v>
      </c>
      <c r="AB76" s="242" t="n">
        <v>4.26011613957774</v>
      </c>
      <c r="AC76" s="90" t="n">
        <v>4.40011613957774</v>
      </c>
      <c r="AD76" s="142" t="n">
        <v>4.36011613957774</v>
      </c>
      <c r="AE76" s="182" t="n">
        <v>3.194</v>
      </c>
      <c r="AF76" s="78" t="n">
        <v>3.224</v>
      </c>
      <c r="AG76" s="147" t="n">
        <v>3.264</v>
      </c>
      <c r="AH76" s="185" t="n">
        <v>-0.1</v>
      </c>
      <c r="AI76" s="223" t="n">
        <v>1.524130584523</v>
      </c>
      <c r="AJ76" s="37" t="n">
        <v>0.0534518644876449</v>
      </c>
      <c r="AK76" s="37" t="n">
        <v>0.051939002007849</v>
      </c>
      <c r="AL76" s="39" t="n">
        <v>0.845507583004409</v>
      </c>
      <c r="AM76" s="149" t="n">
        <v>0.849481850166868</v>
      </c>
      <c r="AN76" s="129" t="n">
        <v>0.12</v>
      </c>
      <c r="AO76" s="150" t="n">
        <v>0.124</v>
      </c>
      <c r="AP76" s="22"/>
      <c r="AQ76" s="129" t="n">
        <v>-3.45480546964222</v>
      </c>
      <c r="AR76" s="151" t="n">
        <v>-2.90980546964222</v>
      </c>
      <c r="AS76" s="22"/>
      <c r="AT76" s="5" t="n">
        <v>0.0075</v>
      </c>
      <c r="AU76" s="22"/>
      <c r="AV76" s="129" t="n">
        <v>0.0025</v>
      </c>
      <c r="AW76" s="187"/>
      <c r="AX76" s="39" t="n">
        <v>-0.105</v>
      </c>
      <c r="AY76" s="39"/>
      <c r="AZ76" s="243" t="n">
        <v>0.55</v>
      </c>
      <c r="BA76" s="243" t="n">
        <v>0.55</v>
      </c>
      <c r="BB76" s="194" t="n">
        <v>-0.545</v>
      </c>
      <c r="BC76" s="190"/>
      <c r="BD76" s="39"/>
      <c r="BE76" s="22"/>
      <c r="BF76" s="96"/>
      <c r="BG76" s="22"/>
      <c r="BH76" s="71"/>
      <c r="BI76" s="71"/>
      <c r="BJ76" s="22"/>
      <c r="BK76" s="96"/>
      <c r="BL76" s="22"/>
      <c r="BM76" s="22"/>
      <c r="BN76" s="39"/>
      <c r="BO76" s="39"/>
      <c r="BP76" s="71"/>
      <c r="BQ76" s="22"/>
      <c r="BR76" s="71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</row>
    <row r="77" customFormat="false" ht="12.75" hidden="false" customHeight="false" outlineLevel="0" collapsed="false">
      <c r="A77" s="224" t="n">
        <v>38261</v>
      </c>
      <c r="B77" s="217" t="n">
        <v>3.523</v>
      </c>
      <c r="C77" s="244" t="n">
        <v>-0.545</v>
      </c>
      <c r="D77" s="133" t="n">
        <v>-0.448056455300286</v>
      </c>
      <c r="E77" s="133" t="n">
        <v>-0.475754610928775</v>
      </c>
      <c r="F77" s="226" t="n">
        <v>0.125</v>
      </c>
      <c r="G77" s="227" t="n">
        <v>0.12</v>
      </c>
      <c r="H77" s="227" t="n">
        <v>0.16</v>
      </c>
      <c r="I77" s="228" t="n">
        <v>0.16</v>
      </c>
      <c r="J77" s="227" t="n">
        <v>0.035</v>
      </c>
      <c r="K77" s="227" t="n">
        <v>0.105</v>
      </c>
      <c r="L77" s="227" t="n">
        <v>0.45</v>
      </c>
      <c r="M77" s="226" t="n">
        <v>-0.27</v>
      </c>
      <c r="N77" s="227" t="n">
        <v>0.25</v>
      </c>
      <c r="O77" s="228" t="n">
        <v>-0.23</v>
      </c>
      <c r="P77" s="183" t="n">
        <v>-0.3</v>
      </c>
      <c r="Q77" s="160" t="n">
        <v>0.3175</v>
      </c>
      <c r="R77" s="232" t="n">
        <v>0.305</v>
      </c>
      <c r="S77" s="139" t="n">
        <v>0.305</v>
      </c>
      <c r="T77" s="56" t="n">
        <v>0.6</v>
      </c>
      <c r="U77" s="248" t="n">
        <v>0.305</v>
      </c>
      <c r="V77" s="12" t="n">
        <v>2.978</v>
      </c>
      <c r="W77" s="12" t="n">
        <v>3.07494354469971</v>
      </c>
      <c r="X77" s="142" t="n">
        <v>3.04724538907122</v>
      </c>
      <c r="Y77" s="62" t="s">
        <v>81</v>
      </c>
      <c r="Z77" s="221" t="n">
        <v>0.14</v>
      </c>
      <c r="AA77" s="237" t="n">
        <v>0.1</v>
      </c>
      <c r="AB77" s="242" t="n">
        <v>4.30064736431316</v>
      </c>
      <c r="AC77" s="90" t="n">
        <v>4.44064736431316</v>
      </c>
      <c r="AD77" s="142" t="n">
        <v>4.40064736431316</v>
      </c>
      <c r="AE77" s="182" t="n">
        <v>3.223</v>
      </c>
      <c r="AF77" s="78" t="n">
        <v>3.253</v>
      </c>
      <c r="AG77" s="147" t="n">
        <v>3.293</v>
      </c>
      <c r="AH77" s="185" t="n">
        <v>-0.1</v>
      </c>
      <c r="AI77" s="223" t="n">
        <v>1.52364802068596</v>
      </c>
      <c r="AJ77" s="37" t="n">
        <v>0.0536027749799142</v>
      </c>
      <c r="AK77" s="37" t="n">
        <v>0.0522274293662752</v>
      </c>
      <c r="AL77" s="39" t="n">
        <v>0.841448508030351</v>
      </c>
      <c r="AM77" s="149" t="n">
        <v>0.845136027534344</v>
      </c>
      <c r="AN77" s="129" t="n">
        <v>0.12</v>
      </c>
      <c r="AO77" s="150" t="n">
        <v>0.12</v>
      </c>
      <c r="AP77" s="22"/>
      <c r="AQ77" s="129" t="n">
        <v>-3.48378355462141</v>
      </c>
      <c r="AR77" s="151" t="n">
        <v>-2.93878355462141</v>
      </c>
      <c r="AS77" s="22"/>
      <c r="AT77" s="5" t="n">
        <v>0.0075</v>
      </c>
      <c r="AU77" s="22"/>
      <c r="AV77" s="129" t="n">
        <v>0.0025</v>
      </c>
      <c r="AW77" s="187"/>
      <c r="AX77" s="39" t="n">
        <v>-0.105</v>
      </c>
      <c r="AY77" s="39"/>
      <c r="AZ77" s="243" t="n">
        <v>0.6</v>
      </c>
      <c r="BA77" s="243" t="n">
        <v>0.6</v>
      </c>
      <c r="BB77" s="194" t="n">
        <v>-0.545</v>
      </c>
      <c r="BC77" s="190"/>
      <c r="BD77" s="39"/>
      <c r="BE77" s="22"/>
      <c r="BF77" s="96"/>
      <c r="BG77" s="22"/>
      <c r="BH77" s="71"/>
      <c r="BI77" s="71"/>
      <c r="BJ77" s="22"/>
      <c r="BK77" s="96"/>
      <c r="BL77" s="22"/>
      <c r="BM77" s="22"/>
      <c r="BN77" s="39"/>
      <c r="BO77" s="39"/>
      <c r="BP77" s="71"/>
      <c r="BQ77" s="22"/>
      <c r="BR77" s="71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</row>
    <row r="78" customFormat="false" ht="12.75" hidden="false" customHeight="false" outlineLevel="0" collapsed="false">
      <c r="A78" s="216" t="n">
        <v>38292</v>
      </c>
      <c r="B78" s="217" t="n">
        <v>3.663</v>
      </c>
      <c r="C78" s="225" t="n">
        <v>-0.49</v>
      </c>
      <c r="D78" s="133" t="n">
        <v>-0.393026807976778</v>
      </c>
      <c r="E78" s="133" t="n">
        <v>-0.109999999999999</v>
      </c>
      <c r="F78" s="226" t="n">
        <v>0.26</v>
      </c>
      <c r="G78" s="227" t="n">
        <v>0.41</v>
      </c>
      <c r="H78" s="227" t="n">
        <v>0.41</v>
      </c>
      <c r="I78" s="228" t="n">
        <v>0.56</v>
      </c>
      <c r="J78" s="227" t="n">
        <v>0.14</v>
      </c>
      <c r="K78" s="227" t="n">
        <v>0.18</v>
      </c>
      <c r="L78" s="227" t="n">
        <v>0.725</v>
      </c>
      <c r="M78" s="226" t="n">
        <v>-0.18</v>
      </c>
      <c r="N78" s="227" t="n">
        <v>0.27</v>
      </c>
      <c r="O78" s="228" t="n">
        <v>0.17</v>
      </c>
      <c r="P78" s="249" t="n">
        <v>0.248</v>
      </c>
      <c r="Q78" s="160" t="n">
        <v>0.3175</v>
      </c>
      <c r="R78" s="232" t="n">
        <v>0.305</v>
      </c>
      <c r="S78" s="139" t="n">
        <v>0.305</v>
      </c>
      <c r="T78" s="56" t="n">
        <v>0.8</v>
      </c>
      <c r="U78" s="248" t="n">
        <v>0.305</v>
      </c>
      <c r="V78" s="12" t="n">
        <v>3.173</v>
      </c>
      <c r="W78" s="12" t="n">
        <v>3.26997319202322</v>
      </c>
      <c r="X78" s="142" t="n">
        <v>3.553</v>
      </c>
      <c r="Y78" s="180"/>
      <c r="Z78" s="221" t="n">
        <v>0.14</v>
      </c>
      <c r="AA78" s="237" t="n">
        <v>0.548605226764737</v>
      </c>
      <c r="AB78" s="242" t="n">
        <v>4.58085364348556</v>
      </c>
      <c r="AC78" s="90" t="n">
        <v>4.72085364348556</v>
      </c>
      <c r="AD78" s="142" t="n">
        <v>5.12945887025029</v>
      </c>
      <c r="AE78" s="182" t="n">
        <v>3.911</v>
      </c>
      <c r="AF78" s="78" t="n">
        <v>3.483</v>
      </c>
      <c r="AG78" s="147" t="n">
        <v>3.833</v>
      </c>
      <c r="AH78" s="185" t="n">
        <v>-0.1</v>
      </c>
      <c r="AI78" s="223" t="n">
        <v>1.52318220034078</v>
      </c>
      <c r="AJ78" s="37" t="n">
        <v>0.0537587158298996</v>
      </c>
      <c r="AK78" s="37" t="n">
        <v>0.0525118337588726</v>
      </c>
      <c r="AL78" s="39" t="n">
        <v>0.837253396119776</v>
      </c>
      <c r="AM78" s="149" t="n">
        <v>0.840665438460455</v>
      </c>
      <c r="AN78" s="129" t="n">
        <v>0.41</v>
      </c>
      <c r="AO78" s="150" t="n">
        <v>0.124</v>
      </c>
      <c r="AP78" s="22"/>
      <c r="AQ78" s="129" t="n">
        <v>-3.31313293778916</v>
      </c>
      <c r="AR78" s="151" t="n">
        <v>-2.82313293778916</v>
      </c>
      <c r="AS78" s="22"/>
      <c r="AT78" s="5" t="n">
        <v>0.0075</v>
      </c>
      <c r="AU78" s="22"/>
      <c r="AV78" s="129" t="n">
        <v>0.008</v>
      </c>
      <c r="AW78" s="187"/>
      <c r="AX78" s="39" t="n">
        <v>0.005</v>
      </c>
      <c r="AY78" s="39"/>
      <c r="AZ78" s="243" t="n">
        <v>0.8</v>
      </c>
      <c r="BA78" s="243" t="n">
        <v>0.8</v>
      </c>
      <c r="BB78" s="194" t="n">
        <v>-0.49</v>
      </c>
      <c r="BC78" s="190"/>
      <c r="BD78" s="39"/>
      <c r="BE78" s="22"/>
      <c r="BF78" s="96"/>
      <c r="BG78" s="22"/>
      <c r="BH78" s="71"/>
      <c r="BI78" s="71"/>
      <c r="BJ78" s="22"/>
      <c r="BK78" s="96"/>
      <c r="BL78" s="22"/>
      <c r="BM78" s="22"/>
      <c r="BN78" s="39"/>
      <c r="BO78" s="39"/>
      <c r="BP78" s="71"/>
      <c r="BQ78" s="22"/>
      <c r="BR78" s="71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</row>
    <row r="79" customFormat="false" ht="12.75" hidden="false" customHeight="false" outlineLevel="0" collapsed="false">
      <c r="A79" s="224" t="n">
        <v>38322</v>
      </c>
      <c r="B79" s="217" t="n">
        <v>3.803</v>
      </c>
      <c r="C79" s="247" t="n">
        <v>-0.49</v>
      </c>
      <c r="D79" s="133" t="n">
        <v>-0.392996152744067</v>
      </c>
      <c r="E79" s="133" t="n">
        <v>-0.109999999999999</v>
      </c>
      <c r="F79" s="226" t="n">
        <v>0.26</v>
      </c>
      <c r="G79" s="227" t="n">
        <v>0.41</v>
      </c>
      <c r="H79" s="227" t="n">
        <v>0.41</v>
      </c>
      <c r="I79" s="228" t="n">
        <v>0.56</v>
      </c>
      <c r="J79" s="227" t="n">
        <v>0.14</v>
      </c>
      <c r="K79" s="227" t="n">
        <v>0.18</v>
      </c>
      <c r="L79" s="227" t="n">
        <v>1.13</v>
      </c>
      <c r="M79" s="226" t="n">
        <v>-0.18</v>
      </c>
      <c r="N79" s="227" t="n">
        <v>0.27</v>
      </c>
      <c r="O79" s="228" t="n">
        <v>0.17</v>
      </c>
      <c r="P79" s="249" t="n">
        <v>0.308</v>
      </c>
      <c r="Q79" s="160" t="n">
        <v>0.32</v>
      </c>
      <c r="R79" s="232" t="n">
        <v>0.3075</v>
      </c>
      <c r="S79" s="139" t="n">
        <v>0.3075</v>
      </c>
      <c r="T79" s="56" t="n">
        <v>1</v>
      </c>
      <c r="U79" s="248" t="n">
        <v>0.3075</v>
      </c>
      <c r="V79" s="12" t="n">
        <v>3.313</v>
      </c>
      <c r="W79" s="12" t="n">
        <v>3.41000384725593</v>
      </c>
      <c r="X79" s="142" t="n">
        <v>3.693</v>
      </c>
      <c r="Y79" s="62" t="s">
        <v>79</v>
      </c>
      <c r="Z79" s="221" t="n">
        <v>0.14</v>
      </c>
      <c r="AA79" s="237" t="n">
        <v>0.548431856106056</v>
      </c>
      <c r="AB79" s="242" t="n">
        <v>4.78145984020885</v>
      </c>
      <c r="AC79" s="90" t="n">
        <v>4.92145984020884</v>
      </c>
      <c r="AD79" s="142" t="n">
        <v>5.3298916963149</v>
      </c>
      <c r="AE79" s="182" t="n">
        <v>4.111</v>
      </c>
      <c r="AF79" s="78" t="n">
        <v>3.623</v>
      </c>
      <c r="AG79" s="147" t="n">
        <v>3.973</v>
      </c>
      <c r="AH79" s="185" t="n">
        <v>-0.1</v>
      </c>
      <c r="AI79" s="223" t="n">
        <v>1.52270084309429</v>
      </c>
      <c r="AJ79" s="37" t="n">
        <v>0.0539096263376022</v>
      </c>
      <c r="AK79" s="37" t="n">
        <v>0.0527870638419072</v>
      </c>
      <c r="AL79" s="39" t="n">
        <v>0.833193106120774</v>
      </c>
      <c r="AM79" s="149" t="n">
        <v>0.836324222248158</v>
      </c>
      <c r="AN79" s="129" t="n">
        <v>0.41</v>
      </c>
      <c r="AO79" s="150" t="n">
        <v>0.12</v>
      </c>
      <c r="AP79" s="22"/>
      <c r="AQ79" s="129" t="n">
        <v>-3.45313178963058</v>
      </c>
      <c r="AR79" s="151" t="n">
        <v>-2.96313178963058</v>
      </c>
      <c r="AS79" s="22"/>
      <c r="AT79" s="5" t="n">
        <v>0.0075</v>
      </c>
      <c r="AU79" s="22"/>
      <c r="AV79" s="129" t="n">
        <v>0.008</v>
      </c>
      <c r="AW79" s="187"/>
      <c r="AX79" s="39" t="n">
        <v>0.01</v>
      </c>
      <c r="AY79" s="39"/>
      <c r="AZ79" s="243" t="n">
        <v>1</v>
      </c>
      <c r="BA79" s="243" t="n">
        <v>1</v>
      </c>
      <c r="BB79" s="194" t="n">
        <v>-0.49</v>
      </c>
      <c r="BC79" s="190"/>
      <c r="BD79" s="39"/>
      <c r="BE79" s="22"/>
      <c r="BF79" s="96"/>
      <c r="BG79" s="22"/>
      <c r="BH79" s="71"/>
      <c r="BI79" s="71"/>
      <c r="BJ79" s="22"/>
      <c r="BK79" s="96"/>
      <c r="BL79" s="22"/>
      <c r="BM79" s="22"/>
      <c r="BN79" s="39"/>
      <c r="BO79" s="39"/>
      <c r="BP79" s="71"/>
      <c r="BQ79" s="22"/>
      <c r="BR79" s="71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</row>
    <row r="80" customFormat="false" ht="12.75" hidden="false" customHeight="false" outlineLevel="0" collapsed="false">
      <c r="A80" s="224" t="n">
        <v>38353</v>
      </c>
      <c r="B80" s="217" t="n">
        <v>3.863</v>
      </c>
      <c r="C80" s="247" t="n">
        <v>-0.49</v>
      </c>
      <c r="D80" s="133" t="n">
        <v>-0.39296468339839</v>
      </c>
      <c r="E80" s="133" t="n">
        <v>-0.11</v>
      </c>
      <c r="F80" s="226" t="n">
        <v>0.26</v>
      </c>
      <c r="G80" s="227" t="n">
        <v>0.41</v>
      </c>
      <c r="H80" s="227" t="n">
        <v>0.41</v>
      </c>
      <c r="I80" s="228" t="n">
        <v>0.56</v>
      </c>
      <c r="J80" s="227" t="n">
        <v>0.14</v>
      </c>
      <c r="K80" s="227" t="n">
        <v>0.18</v>
      </c>
      <c r="L80" s="227" t="n">
        <v>1.615</v>
      </c>
      <c r="M80" s="226" t="n">
        <v>-0.18</v>
      </c>
      <c r="N80" s="227" t="n">
        <v>0.27</v>
      </c>
      <c r="O80" s="228" t="n">
        <v>0.17</v>
      </c>
      <c r="P80" s="249" t="n">
        <v>0.378</v>
      </c>
      <c r="Q80" s="160" t="n">
        <v>0.325</v>
      </c>
      <c r="R80" s="232" t="n">
        <v>0.3125</v>
      </c>
      <c r="S80" s="139" t="n">
        <v>0.3125</v>
      </c>
      <c r="T80" s="56" t="n">
        <v>1</v>
      </c>
      <c r="U80" s="248" t="n">
        <v>0.3125</v>
      </c>
      <c r="V80" s="12" t="n">
        <v>3.373</v>
      </c>
      <c r="W80" s="12" t="n">
        <v>3.47003531660161</v>
      </c>
      <c r="X80" s="142" t="n">
        <v>3.753</v>
      </c>
      <c r="Y80" s="180"/>
      <c r="Z80" s="221" t="n">
        <v>0.14</v>
      </c>
      <c r="AA80" s="237" t="n">
        <v>0.548253995175995</v>
      </c>
      <c r="AB80" s="242" t="n">
        <v>4.86647559402272</v>
      </c>
      <c r="AC80" s="90" t="n">
        <v>5.00647559402272</v>
      </c>
      <c r="AD80" s="142" t="n">
        <v>5.41472958919871</v>
      </c>
      <c r="AE80" s="182" t="n">
        <v>4.241</v>
      </c>
      <c r="AF80" s="78" t="n">
        <v>3.683</v>
      </c>
      <c r="AG80" s="147" t="n">
        <v>4.033</v>
      </c>
      <c r="AH80" s="185" t="n">
        <v>-0.1</v>
      </c>
      <c r="AI80" s="223" t="n">
        <v>1.52220701877475</v>
      </c>
      <c r="AJ80" s="37" t="n">
        <v>0.0540655672035348</v>
      </c>
      <c r="AK80" s="37" t="n">
        <v>0.0530647311017973</v>
      </c>
      <c r="AL80" s="39" t="n">
        <v>0.828997166669491</v>
      </c>
      <c r="AM80" s="149" t="n">
        <v>0.831842653690629</v>
      </c>
      <c r="AN80" s="129" t="n">
        <v>0.41</v>
      </c>
      <c r="AO80" s="150" t="n">
        <v>0.12</v>
      </c>
      <c r="AP80" s="22"/>
      <c r="AQ80" s="129" t="n">
        <v>-3.51313131692185</v>
      </c>
      <c r="AR80" s="151" t="n">
        <v>-3.02313131692185</v>
      </c>
      <c r="AS80" s="22"/>
      <c r="AT80" s="5" t="n">
        <v>0.0075</v>
      </c>
      <c r="AU80" s="22"/>
      <c r="AV80" s="129" t="n">
        <v>0.008</v>
      </c>
      <c r="AW80" s="187"/>
      <c r="AX80" s="39" t="n">
        <v>0.03</v>
      </c>
      <c r="AY80" s="39"/>
      <c r="AZ80" s="243" t="n">
        <v>1</v>
      </c>
      <c r="BA80" s="243" t="n">
        <v>1</v>
      </c>
      <c r="BB80" s="194" t="n">
        <v>-0.49</v>
      </c>
      <c r="BC80" s="190"/>
      <c r="BD80" s="39"/>
      <c r="BE80" s="22"/>
      <c r="BF80" s="96"/>
      <c r="BG80" s="22"/>
      <c r="BH80" s="71"/>
      <c r="BI80" s="71"/>
      <c r="BJ80" s="22"/>
      <c r="BK80" s="96"/>
      <c r="BL80" s="22"/>
      <c r="BM80" s="22"/>
      <c r="BN80" s="39"/>
      <c r="BO80" s="39"/>
      <c r="BP80" s="71"/>
      <c r="BQ80" s="22"/>
      <c r="BR80" s="71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</row>
    <row r="81" customFormat="false" ht="12.75" hidden="false" customHeight="false" outlineLevel="0" collapsed="false">
      <c r="A81" s="224" t="n">
        <v>38384</v>
      </c>
      <c r="B81" s="217" t="n">
        <v>3.745</v>
      </c>
      <c r="C81" s="247" t="n">
        <v>-0.49</v>
      </c>
      <c r="D81" s="133" t="n">
        <v>-0.392933145919019</v>
      </c>
      <c r="E81" s="133" t="n">
        <v>-0.11</v>
      </c>
      <c r="F81" s="226" t="n">
        <v>0.26</v>
      </c>
      <c r="G81" s="227" t="n">
        <v>0.41</v>
      </c>
      <c r="H81" s="227" t="n">
        <v>0.41</v>
      </c>
      <c r="I81" s="228" t="n">
        <v>0.56</v>
      </c>
      <c r="J81" s="227" t="n">
        <v>0.14</v>
      </c>
      <c r="K81" s="227" t="n">
        <v>0.18</v>
      </c>
      <c r="L81" s="227" t="n">
        <v>1.615</v>
      </c>
      <c r="M81" s="226" t="n">
        <v>-0.18</v>
      </c>
      <c r="N81" s="227" t="n">
        <v>0.27</v>
      </c>
      <c r="O81" s="228" t="n">
        <v>0.17</v>
      </c>
      <c r="P81" s="249" t="n">
        <v>0.248</v>
      </c>
      <c r="Q81" s="160" t="n">
        <v>0.315</v>
      </c>
      <c r="R81" s="232" t="n">
        <v>0.3025</v>
      </c>
      <c r="S81" s="139" t="n">
        <v>0.3025</v>
      </c>
      <c r="T81" s="56" t="n">
        <v>1</v>
      </c>
      <c r="U81" s="248" t="n">
        <v>0.3025</v>
      </c>
      <c r="V81" s="12" t="n">
        <v>3.255</v>
      </c>
      <c r="W81" s="12" t="n">
        <v>3.35206685408098</v>
      </c>
      <c r="X81" s="142" t="n">
        <v>3.635</v>
      </c>
      <c r="Y81" s="13"/>
      <c r="Z81" s="221" t="n">
        <v>0.14</v>
      </c>
      <c r="AA81" s="237" t="n">
        <v>0.548075864863367</v>
      </c>
      <c r="AB81" s="242" t="n">
        <v>4.69470247402699</v>
      </c>
      <c r="AC81" s="90" t="n">
        <v>4.83470247402699</v>
      </c>
      <c r="AD81" s="142" t="n">
        <v>5.24277833889036</v>
      </c>
      <c r="AE81" s="182" t="n">
        <v>3.993</v>
      </c>
      <c r="AF81" s="78" t="n">
        <v>3.565</v>
      </c>
      <c r="AG81" s="147" t="n">
        <v>3.915</v>
      </c>
      <c r="AH81" s="185" t="n">
        <v>-0.1</v>
      </c>
      <c r="AI81" s="223" t="n">
        <v>1.52171244652443</v>
      </c>
      <c r="AJ81" s="37" t="n">
        <v>0.0542215080775703</v>
      </c>
      <c r="AK81" s="37" t="n">
        <v>0.0533368501162461</v>
      </c>
      <c r="AL81" s="39" t="n">
        <v>0.824801132796671</v>
      </c>
      <c r="AM81" s="149" t="n">
        <v>0.827363315546569</v>
      </c>
      <c r="AN81" s="129" t="n">
        <v>0.41</v>
      </c>
      <c r="AO81" s="150" t="n">
        <v>0.133</v>
      </c>
      <c r="AP81" s="22"/>
      <c r="AQ81" s="129" t="n">
        <v>-3.39513148424644</v>
      </c>
      <c r="AR81" s="151" t="n">
        <v>-2.90513148424644</v>
      </c>
      <c r="AS81" s="22"/>
      <c r="AT81" s="5" t="n">
        <v>0.0075</v>
      </c>
      <c r="AU81" s="22"/>
      <c r="AV81" s="129" t="n">
        <v>0.008</v>
      </c>
      <c r="AW81" s="187"/>
      <c r="AX81" s="39" t="n">
        <v>0.025</v>
      </c>
      <c r="AY81" s="39"/>
      <c r="AZ81" s="243" t="n">
        <v>1</v>
      </c>
      <c r="BA81" s="243" t="n">
        <v>1</v>
      </c>
      <c r="BB81" s="194" t="n">
        <v>-0.49</v>
      </c>
      <c r="BC81" s="190"/>
      <c r="BD81" s="39"/>
      <c r="BE81" s="22"/>
      <c r="BF81" s="96"/>
      <c r="BG81" s="22"/>
      <c r="BH81" s="71"/>
      <c r="BI81" s="71"/>
      <c r="BJ81" s="22"/>
      <c r="BK81" s="96"/>
      <c r="BL81" s="22"/>
      <c r="BM81" s="22"/>
      <c r="BN81" s="39"/>
      <c r="BO81" s="39"/>
      <c r="BP81" s="71"/>
      <c r="BQ81" s="22"/>
      <c r="BR81" s="71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</row>
    <row r="82" customFormat="false" ht="12.75" hidden="false" customHeight="false" outlineLevel="0" collapsed="false">
      <c r="A82" s="224" t="n">
        <v>38412</v>
      </c>
      <c r="B82" s="217" t="n">
        <v>3.612</v>
      </c>
      <c r="C82" s="247" t="n">
        <v>-0.49</v>
      </c>
      <c r="D82" s="133" t="n">
        <v>-0.39290305471035</v>
      </c>
      <c r="E82" s="133" t="n">
        <v>-0.11</v>
      </c>
      <c r="F82" s="226" t="n">
        <v>0.26</v>
      </c>
      <c r="G82" s="227" t="n">
        <v>0.41</v>
      </c>
      <c r="H82" s="227" t="n">
        <v>0.41</v>
      </c>
      <c r="I82" s="228" t="n">
        <v>0.56</v>
      </c>
      <c r="J82" s="227" t="n">
        <v>0.14</v>
      </c>
      <c r="K82" s="227" t="n">
        <v>0.18</v>
      </c>
      <c r="L82" s="227" t="n">
        <v>0.715</v>
      </c>
      <c r="M82" s="226" t="n">
        <v>-0.18</v>
      </c>
      <c r="N82" s="227" t="n">
        <v>0.27</v>
      </c>
      <c r="O82" s="228" t="n">
        <v>0.17</v>
      </c>
      <c r="P82" s="249" t="n">
        <v>0.068</v>
      </c>
      <c r="Q82" s="160" t="n">
        <v>0.305</v>
      </c>
      <c r="R82" s="232" t="n">
        <v>0.2925</v>
      </c>
      <c r="S82" s="139" t="n">
        <v>0.2925</v>
      </c>
      <c r="T82" s="56" t="n">
        <v>0.75</v>
      </c>
      <c r="U82" s="248" t="n">
        <v>0.2925</v>
      </c>
      <c r="V82" s="12" t="n">
        <v>3.122</v>
      </c>
      <c r="W82" s="12" t="n">
        <v>3.21909694528965</v>
      </c>
      <c r="X82" s="142" t="n">
        <v>3.502</v>
      </c>
      <c r="Y82" s="13"/>
      <c r="Z82" s="221" t="n">
        <v>0.14</v>
      </c>
      <c r="AA82" s="237" t="n">
        <v>0.547906011268418</v>
      </c>
      <c r="AB82" s="242" t="n">
        <v>4.50148043994737</v>
      </c>
      <c r="AC82" s="90" t="n">
        <v>4.64148043994737</v>
      </c>
      <c r="AD82" s="142" t="n">
        <v>5.04938645121579</v>
      </c>
      <c r="AE82" s="182" t="n">
        <v>3.68</v>
      </c>
      <c r="AF82" s="78" t="n">
        <v>3.432</v>
      </c>
      <c r="AG82" s="147" t="n">
        <v>3.782</v>
      </c>
      <c r="AH82" s="185" t="n">
        <v>-0.1</v>
      </c>
      <c r="AI82" s="223" t="n">
        <v>1.52124085427582</v>
      </c>
      <c r="AJ82" s="37" t="n">
        <v>0.0543623579062436</v>
      </c>
      <c r="AK82" s="37" t="n">
        <v>0.0535826350537381</v>
      </c>
      <c r="AL82" s="39" t="n">
        <v>0.8210112671523</v>
      </c>
      <c r="AM82" s="149" t="n">
        <v>0.823306447866076</v>
      </c>
      <c r="AN82" s="129" t="n">
        <v>0.41</v>
      </c>
      <c r="AO82" s="150" t="n">
        <v>0.12</v>
      </c>
      <c r="AP82" s="22"/>
      <c r="AQ82" s="129" t="n">
        <v>-3.26213171160223</v>
      </c>
      <c r="AR82" s="151" t="n">
        <v>-2.77213171160223</v>
      </c>
      <c r="AS82" s="22"/>
      <c r="AT82" s="5" t="n">
        <v>0.0075</v>
      </c>
      <c r="AU82" s="22"/>
      <c r="AV82" s="129" t="n">
        <v>0.008</v>
      </c>
      <c r="AW82" s="187"/>
      <c r="AX82" s="39" t="n">
        <v>0.005</v>
      </c>
      <c r="AY82" s="39"/>
      <c r="AZ82" s="243" t="n">
        <v>0.75</v>
      </c>
      <c r="BA82" s="243" t="n">
        <v>0.75</v>
      </c>
      <c r="BB82" s="194" t="n">
        <v>-0.49</v>
      </c>
      <c r="BC82" s="190"/>
      <c r="BD82" s="39"/>
      <c r="BE82" s="22"/>
      <c r="BF82" s="96"/>
      <c r="BG82" s="22"/>
      <c r="BH82" s="71"/>
      <c r="BI82" s="71"/>
      <c r="BJ82" s="22"/>
      <c r="BK82" s="96"/>
      <c r="BL82" s="22"/>
      <c r="BM82" s="22"/>
      <c r="BN82" s="39"/>
      <c r="BO82" s="39"/>
      <c r="BP82" s="71"/>
      <c r="BQ82" s="22"/>
      <c r="BR82" s="71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</row>
    <row r="83" customFormat="false" ht="12.75" hidden="false" customHeight="false" outlineLevel="0" collapsed="false">
      <c r="A83" s="224" t="n">
        <v>38443</v>
      </c>
      <c r="B83" s="217" t="n">
        <v>3.392</v>
      </c>
      <c r="C83" s="239" t="n">
        <v>-0.55</v>
      </c>
      <c r="D83" s="133" t="n">
        <v>-0.452875349197198</v>
      </c>
      <c r="E83" s="133" t="n">
        <v>-0.48062524942657</v>
      </c>
      <c r="F83" s="226" t="n">
        <v>0.13</v>
      </c>
      <c r="G83" s="227" t="n">
        <v>0.12</v>
      </c>
      <c r="H83" s="227" t="n">
        <v>0.165</v>
      </c>
      <c r="I83" s="228" t="n">
        <v>0.165</v>
      </c>
      <c r="J83" s="227" t="n">
        <v>0.04</v>
      </c>
      <c r="K83" s="227" t="n">
        <v>0.105</v>
      </c>
      <c r="L83" s="227" t="n">
        <v>0.48</v>
      </c>
      <c r="M83" s="226" t="n">
        <v>-0.27</v>
      </c>
      <c r="N83" s="227" t="n">
        <v>0.25</v>
      </c>
      <c r="O83" s="228" t="n">
        <v>-0.23</v>
      </c>
      <c r="P83" s="240" t="n">
        <v>-0.25</v>
      </c>
      <c r="Q83" s="160" t="n">
        <v>0.2925</v>
      </c>
      <c r="R83" s="232" t="n">
        <v>0.28</v>
      </c>
      <c r="S83" s="139" t="n">
        <v>0.28</v>
      </c>
      <c r="T83" s="56" t="n">
        <v>0.4</v>
      </c>
      <c r="U83" s="248" t="n">
        <v>0.28</v>
      </c>
      <c r="V83" s="12" t="n">
        <v>2.842</v>
      </c>
      <c r="W83" s="12" t="n">
        <v>2.9391246508028</v>
      </c>
      <c r="X83" s="142" t="n">
        <v>2.91137475057343</v>
      </c>
      <c r="Y83" s="13"/>
      <c r="Z83" s="221" t="n">
        <v>0.14</v>
      </c>
      <c r="AA83" s="237" t="n">
        <v>0.1</v>
      </c>
      <c r="AB83" s="242" t="n">
        <v>4.09659130520672</v>
      </c>
      <c r="AC83" s="90" t="n">
        <v>4.23659130520672</v>
      </c>
      <c r="AD83" s="142" t="n">
        <v>4.19659130520672</v>
      </c>
      <c r="AE83" s="182" t="n">
        <v>3.142</v>
      </c>
      <c r="AF83" s="78" t="n">
        <v>3.122</v>
      </c>
      <c r="AG83" s="147" t="n">
        <v>3.162</v>
      </c>
      <c r="AH83" s="185" t="n">
        <v>-0.1</v>
      </c>
      <c r="AI83" s="223" t="n">
        <v>1.52080690925622</v>
      </c>
      <c r="AJ83" s="37" t="n">
        <v>0.0545182987957</v>
      </c>
      <c r="AK83" s="37" t="n">
        <v>0.0538339874262941</v>
      </c>
      <c r="AL83" s="39" t="n">
        <v>0.816815655680768</v>
      </c>
      <c r="AM83" s="149" t="n">
        <v>0.818865453360554</v>
      </c>
      <c r="AN83" s="129" t="n">
        <v>0.12</v>
      </c>
      <c r="AO83" s="150" t="n">
        <v>0.124</v>
      </c>
      <c r="AP83" s="22"/>
      <c r="AQ83" s="129" t="n">
        <v>-3.35265424719067</v>
      </c>
      <c r="AR83" s="151" t="n">
        <v>-2.80265424719067</v>
      </c>
      <c r="AS83" s="22"/>
      <c r="AT83" s="5" t="n">
        <v>0.0075</v>
      </c>
      <c r="AU83" s="22"/>
      <c r="AV83" s="129" t="n">
        <v>0.0025</v>
      </c>
      <c r="AW83" s="187"/>
      <c r="AX83" s="39" t="n">
        <v>-0.105</v>
      </c>
      <c r="AY83" s="39"/>
      <c r="AZ83" s="243" t="n">
        <v>0.4</v>
      </c>
      <c r="BA83" s="243" t="n">
        <v>0.4</v>
      </c>
      <c r="BB83" s="194" t="n">
        <v>-0.55</v>
      </c>
      <c r="BC83" s="190"/>
      <c r="BD83" s="39"/>
      <c r="BE83" s="22"/>
      <c r="BF83" s="96"/>
      <c r="BG83" s="22"/>
      <c r="BH83" s="71"/>
      <c r="BI83" s="71"/>
      <c r="BJ83" s="22"/>
      <c r="BK83" s="96"/>
      <c r="BL83" s="22"/>
      <c r="BM83" s="22"/>
      <c r="BN83" s="39"/>
      <c r="BO83" s="39"/>
      <c r="BP83" s="71"/>
      <c r="BQ83" s="22"/>
      <c r="BR83" s="71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</row>
    <row r="84" customFormat="false" ht="12.75" hidden="false" customHeight="false" outlineLevel="0" collapsed="false">
      <c r="A84" s="224" t="n">
        <v>38473</v>
      </c>
      <c r="B84" s="217" t="n">
        <v>3.382</v>
      </c>
      <c r="C84" s="244" t="n">
        <v>-0.55</v>
      </c>
      <c r="D84" s="133" t="n">
        <v>-0.452853669488575</v>
      </c>
      <c r="E84" s="133" t="n">
        <v>-0.480609763920411</v>
      </c>
      <c r="F84" s="226" t="n">
        <v>0.13</v>
      </c>
      <c r="G84" s="227" t="n">
        <v>0.12</v>
      </c>
      <c r="H84" s="227" t="n">
        <v>0.165</v>
      </c>
      <c r="I84" s="228" t="n">
        <v>0.165</v>
      </c>
      <c r="J84" s="227" t="n">
        <v>0.04</v>
      </c>
      <c r="K84" s="227" t="n">
        <v>0.105</v>
      </c>
      <c r="L84" s="227" t="n">
        <v>0.42</v>
      </c>
      <c r="M84" s="226" t="n">
        <v>-0.27</v>
      </c>
      <c r="N84" s="227" t="n">
        <v>0.25</v>
      </c>
      <c r="O84" s="228" t="n">
        <v>-0.23</v>
      </c>
      <c r="P84" s="183" t="n">
        <v>-0.25</v>
      </c>
      <c r="Q84" s="160" t="n">
        <v>0.285</v>
      </c>
      <c r="R84" s="232" t="n">
        <v>0.2725</v>
      </c>
      <c r="S84" s="139" t="n">
        <v>0.2725</v>
      </c>
      <c r="T84" s="56" t="n">
        <v>0.45</v>
      </c>
      <c r="U84" s="248" t="n">
        <v>0.2725</v>
      </c>
      <c r="V84" s="12" t="n">
        <v>2.832</v>
      </c>
      <c r="W84" s="12" t="n">
        <v>2.92914633051143</v>
      </c>
      <c r="X84" s="142" t="n">
        <v>2.90139023607959</v>
      </c>
      <c r="Y84" s="13"/>
      <c r="Z84" s="221" t="n">
        <v>0.14</v>
      </c>
      <c r="AA84" s="237" t="n">
        <v>0.1</v>
      </c>
      <c r="AB84" s="242" t="n">
        <v>4.08126583796561</v>
      </c>
      <c r="AC84" s="90" t="n">
        <v>4.22126583796561</v>
      </c>
      <c r="AD84" s="142" t="n">
        <v>4.18126583796561</v>
      </c>
      <c r="AE84" s="182" t="n">
        <v>3.132</v>
      </c>
      <c r="AF84" s="78" t="n">
        <v>3.112</v>
      </c>
      <c r="AG84" s="147" t="n">
        <v>3.152</v>
      </c>
      <c r="AH84" s="185" t="n">
        <v>-0.1</v>
      </c>
      <c r="AI84" s="223" t="n">
        <v>1.52046751763441</v>
      </c>
      <c r="AJ84" s="37" t="n">
        <v>0.0546692093415966</v>
      </c>
      <c r="AK84" s="37" t="n">
        <v>0.0540590998702277</v>
      </c>
      <c r="AL84" s="39" t="n">
        <v>0.81275589475644</v>
      </c>
      <c r="AM84" s="149" t="n">
        <v>0.814613670232733</v>
      </c>
      <c r="AN84" s="129" t="n">
        <v>0.12</v>
      </c>
      <c r="AO84" s="150" t="n">
        <v>0.12</v>
      </c>
      <c r="AP84" s="22"/>
      <c r="AQ84" s="129" t="n">
        <v>-3.34263876815726</v>
      </c>
      <c r="AR84" s="151" t="n">
        <v>-2.79263876815726</v>
      </c>
      <c r="AS84" s="22"/>
      <c r="AT84" s="5" t="n">
        <v>0.0075</v>
      </c>
      <c r="AU84" s="22"/>
      <c r="AV84" s="129" t="n">
        <v>0.0025</v>
      </c>
      <c r="AW84" s="187"/>
      <c r="AX84" s="39" t="n">
        <v>-0.105</v>
      </c>
      <c r="AY84" s="39"/>
      <c r="AZ84" s="243" t="n">
        <v>0.45</v>
      </c>
      <c r="BA84" s="243" t="n">
        <v>0.45</v>
      </c>
      <c r="BB84" s="194" t="n">
        <v>-0.55</v>
      </c>
      <c r="BC84" s="190"/>
      <c r="BD84" s="39"/>
      <c r="BE84" s="22"/>
      <c r="BF84" s="96"/>
      <c r="BG84" s="22"/>
      <c r="BH84" s="71"/>
      <c r="BI84" s="71"/>
      <c r="BJ84" s="22"/>
      <c r="BK84" s="96"/>
      <c r="BL84" s="22"/>
      <c r="BM84" s="22"/>
      <c r="BN84" s="39"/>
      <c r="BO84" s="39"/>
      <c r="BP84" s="71"/>
      <c r="BQ84" s="22"/>
      <c r="BR84" s="71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</row>
    <row r="85" customFormat="false" ht="12.75" hidden="false" customHeight="false" outlineLevel="0" collapsed="false">
      <c r="A85" s="224" t="n">
        <v>38504</v>
      </c>
      <c r="B85" s="217" t="n">
        <v>3.418</v>
      </c>
      <c r="C85" s="244" t="n">
        <v>-0.55</v>
      </c>
      <c r="D85" s="133" t="n">
        <v>-0.45283005494976</v>
      </c>
      <c r="E85" s="133" t="n">
        <v>-0.480592896392686</v>
      </c>
      <c r="F85" s="226" t="n">
        <v>0.13</v>
      </c>
      <c r="G85" s="227" t="n">
        <v>0.12</v>
      </c>
      <c r="H85" s="227" t="n">
        <v>0.165</v>
      </c>
      <c r="I85" s="228" t="n">
        <v>0.165</v>
      </c>
      <c r="J85" s="227" t="n">
        <v>0.04</v>
      </c>
      <c r="K85" s="227" t="n">
        <v>0.105</v>
      </c>
      <c r="L85" s="227" t="n">
        <v>0.42</v>
      </c>
      <c r="M85" s="226" t="n">
        <v>-0.27</v>
      </c>
      <c r="N85" s="227" t="n">
        <v>0.25</v>
      </c>
      <c r="O85" s="228" t="n">
        <v>-0.23</v>
      </c>
      <c r="P85" s="183" t="n">
        <v>-0.25</v>
      </c>
      <c r="Q85" s="160" t="n">
        <v>0.28</v>
      </c>
      <c r="R85" s="232" t="n">
        <v>0.2675</v>
      </c>
      <c r="S85" s="139" t="n">
        <v>0.2675</v>
      </c>
      <c r="T85" s="56" t="n">
        <v>0.45</v>
      </c>
      <c r="U85" s="248" t="n">
        <v>0.2675</v>
      </c>
      <c r="V85" s="12" t="n">
        <v>2.868</v>
      </c>
      <c r="W85" s="12" t="n">
        <v>2.96516994505024</v>
      </c>
      <c r="X85" s="142" t="n">
        <v>2.93740710360731</v>
      </c>
      <c r="Y85" s="62" t="s">
        <v>86</v>
      </c>
      <c r="Z85" s="221" t="n">
        <v>0.14</v>
      </c>
      <c r="AA85" s="237" t="n">
        <v>0.1</v>
      </c>
      <c r="AB85" s="242" t="n">
        <v>4.13214188597517</v>
      </c>
      <c r="AC85" s="90" t="n">
        <v>4.27214188597517</v>
      </c>
      <c r="AD85" s="142" t="n">
        <v>4.23214188597517</v>
      </c>
      <c r="AE85" s="182" t="n">
        <v>3.168</v>
      </c>
      <c r="AF85" s="78" t="n">
        <v>3.148</v>
      </c>
      <c r="AG85" s="147" t="n">
        <v>3.188</v>
      </c>
      <c r="AH85" s="185" t="n">
        <v>-0.1</v>
      </c>
      <c r="AI85" s="223" t="n">
        <v>1.52009800894331</v>
      </c>
      <c r="AJ85" s="37" t="n">
        <v>0.0548251502469936</v>
      </c>
      <c r="AK85" s="37" t="n">
        <v>0.0542917160800318</v>
      </c>
      <c r="AL85" s="39" t="n">
        <v>0.80856154281901</v>
      </c>
      <c r="AM85" s="149" t="n">
        <v>0.810212782694335</v>
      </c>
      <c r="AN85" s="129" t="n">
        <v>0.12</v>
      </c>
      <c r="AO85" s="150" t="n">
        <v>0.124</v>
      </c>
      <c r="AP85" s="22"/>
      <c r="AQ85" s="129" t="n">
        <v>-3.37862190767995</v>
      </c>
      <c r="AR85" s="151" t="n">
        <v>-2.82862190767995</v>
      </c>
      <c r="AS85" s="22"/>
      <c r="AT85" s="5" t="n">
        <v>0.0075</v>
      </c>
      <c r="AU85" s="22"/>
      <c r="AV85" s="129" t="n">
        <v>0.0025</v>
      </c>
      <c r="AW85" s="187"/>
      <c r="AX85" s="39" t="n">
        <v>-0.105</v>
      </c>
      <c r="AY85" s="39"/>
      <c r="AZ85" s="243" t="n">
        <v>0.45</v>
      </c>
      <c r="BA85" s="243" t="n">
        <v>0.45</v>
      </c>
      <c r="BB85" s="194" t="n">
        <v>-0.55</v>
      </c>
      <c r="BC85" s="190"/>
      <c r="BD85" s="39"/>
      <c r="BE85" s="22"/>
      <c r="BF85" s="96"/>
      <c r="BG85" s="22"/>
      <c r="BH85" s="71"/>
      <c r="BI85" s="71"/>
      <c r="BJ85" s="22"/>
      <c r="BK85" s="96"/>
      <c r="BL85" s="22"/>
      <c r="BM85" s="22"/>
      <c r="BN85" s="39"/>
      <c r="BO85" s="39"/>
      <c r="BP85" s="71"/>
      <c r="BQ85" s="22"/>
      <c r="BR85" s="71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</row>
    <row r="86" customFormat="false" ht="12.75" hidden="false" customHeight="false" outlineLevel="0" collapsed="false">
      <c r="A86" s="224" t="n">
        <v>38534</v>
      </c>
      <c r="B86" s="217" t="n">
        <v>3.46</v>
      </c>
      <c r="C86" s="244" t="n">
        <v>-0.55</v>
      </c>
      <c r="D86" s="133" t="n">
        <v>-0.452809981146437</v>
      </c>
      <c r="E86" s="133" t="n">
        <v>-0.480578557961741</v>
      </c>
      <c r="F86" s="226" t="n">
        <v>0.13</v>
      </c>
      <c r="G86" s="227" t="n">
        <v>0.12</v>
      </c>
      <c r="H86" s="227" t="n">
        <v>0.165</v>
      </c>
      <c r="I86" s="228" t="n">
        <v>0.165</v>
      </c>
      <c r="J86" s="227" t="n">
        <v>0.04</v>
      </c>
      <c r="K86" s="227" t="n">
        <v>0.105</v>
      </c>
      <c r="L86" s="227" t="n">
        <v>0.48</v>
      </c>
      <c r="M86" s="226" t="n">
        <v>-0.27</v>
      </c>
      <c r="N86" s="227" t="n">
        <v>0.25</v>
      </c>
      <c r="O86" s="228" t="n">
        <v>-0.23</v>
      </c>
      <c r="P86" s="183" t="n">
        <v>-0.25</v>
      </c>
      <c r="Q86" s="160" t="n">
        <v>0.28</v>
      </c>
      <c r="R86" s="232" t="n">
        <v>0.2675</v>
      </c>
      <c r="S86" s="139" t="n">
        <v>0.2675</v>
      </c>
      <c r="T86" s="56" t="n">
        <v>0.5</v>
      </c>
      <c r="U86" s="248" t="n">
        <v>0.2675</v>
      </c>
      <c r="V86" s="12" t="n">
        <v>2.91</v>
      </c>
      <c r="W86" s="12" t="n">
        <v>3.00719001885356</v>
      </c>
      <c r="X86" s="142" t="n">
        <v>2.97942144203826</v>
      </c>
      <c r="Y86" s="180" t="n">
        <v>4.44246329251753</v>
      </c>
      <c r="Z86" s="221" t="n">
        <v>0.14</v>
      </c>
      <c r="AA86" s="237" t="n">
        <v>0.1</v>
      </c>
      <c r="AB86" s="242" t="n">
        <v>4.19178846558137</v>
      </c>
      <c r="AC86" s="90" t="n">
        <v>4.33178846558137</v>
      </c>
      <c r="AD86" s="142" t="n">
        <v>4.29178846558137</v>
      </c>
      <c r="AE86" s="182" t="n">
        <v>3.21</v>
      </c>
      <c r="AF86" s="78" t="n">
        <v>3.19</v>
      </c>
      <c r="AG86" s="147" t="n">
        <v>3.23</v>
      </c>
      <c r="AH86" s="185" t="n">
        <v>-0.1</v>
      </c>
      <c r="AI86" s="223" t="n">
        <v>1.51978404513485</v>
      </c>
      <c r="AJ86" s="37" t="n">
        <v>0.0549760608083156</v>
      </c>
      <c r="AK86" s="37" t="n">
        <v>0.0545064130871555</v>
      </c>
      <c r="AL86" s="39" t="n">
        <v>0.804503402338848</v>
      </c>
      <c r="AM86" s="149" t="n">
        <v>0.805979851767492</v>
      </c>
      <c r="AN86" s="129" t="n">
        <v>0.12</v>
      </c>
      <c r="AO86" s="150" t="n">
        <v>0.12</v>
      </c>
      <c r="AP86" s="22"/>
      <c r="AQ86" s="129" t="n">
        <v>-3.42060757524228</v>
      </c>
      <c r="AR86" s="151" t="n">
        <v>-2.87060757524228</v>
      </c>
      <c r="AS86" s="22"/>
      <c r="AT86" s="5" t="n">
        <v>0.0075</v>
      </c>
      <c r="AU86" s="22"/>
      <c r="AV86" s="129" t="n">
        <v>0.0025</v>
      </c>
      <c r="AW86" s="187"/>
      <c r="AX86" s="39" t="n">
        <v>-0.105</v>
      </c>
      <c r="AY86" s="39"/>
      <c r="AZ86" s="243" t="n">
        <v>0.5</v>
      </c>
      <c r="BA86" s="243" t="n">
        <v>0.5</v>
      </c>
      <c r="BB86" s="194" t="n">
        <v>-0.55</v>
      </c>
      <c r="BC86" s="190"/>
      <c r="BD86" s="39"/>
      <c r="BE86" s="22"/>
      <c r="BF86" s="96"/>
      <c r="BG86" s="22"/>
      <c r="BH86" s="71"/>
      <c r="BI86" s="71"/>
      <c r="BJ86" s="22"/>
      <c r="BK86" s="96"/>
      <c r="BL86" s="22"/>
      <c r="BM86" s="22"/>
      <c r="BN86" s="39"/>
      <c r="BO86" s="39"/>
      <c r="BP86" s="71"/>
      <c r="BQ86" s="22"/>
      <c r="BR86" s="71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</row>
    <row r="87" customFormat="false" ht="12.75" hidden="false" customHeight="false" outlineLevel="0" collapsed="false">
      <c r="A87" s="224" t="n">
        <v>38565</v>
      </c>
      <c r="B87" s="217" t="n">
        <v>3.509</v>
      </c>
      <c r="C87" s="244" t="n">
        <v>-0.55</v>
      </c>
      <c r="D87" s="133" t="n">
        <v>-0.452792367179922</v>
      </c>
      <c r="E87" s="133" t="n">
        <v>-0.480565976557087</v>
      </c>
      <c r="F87" s="226" t="n">
        <v>0.13</v>
      </c>
      <c r="G87" s="227" t="n">
        <v>0.12</v>
      </c>
      <c r="H87" s="227" t="n">
        <v>0.165</v>
      </c>
      <c r="I87" s="228" t="n">
        <v>0.165</v>
      </c>
      <c r="J87" s="227" t="n">
        <v>0.04</v>
      </c>
      <c r="K87" s="227" t="n">
        <v>0.105</v>
      </c>
      <c r="L87" s="227" t="n">
        <v>0.48</v>
      </c>
      <c r="M87" s="226" t="n">
        <v>-0.27</v>
      </c>
      <c r="N87" s="227" t="n">
        <v>0.25</v>
      </c>
      <c r="O87" s="228" t="n">
        <v>-0.23</v>
      </c>
      <c r="P87" s="183" t="n">
        <v>-0.25</v>
      </c>
      <c r="Q87" s="160" t="n">
        <v>0.28</v>
      </c>
      <c r="R87" s="232" t="n">
        <v>0.2675</v>
      </c>
      <c r="S87" s="139" t="n">
        <v>0.2675</v>
      </c>
      <c r="T87" s="56" t="n">
        <v>0.55</v>
      </c>
      <c r="U87" s="248" t="n">
        <v>0.2675</v>
      </c>
      <c r="V87" s="12" t="n">
        <v>2.959</v>
      </c>
      <c r="W87" s="12" t="n">
        <v>3.05620763282008</v>
      </c>
      <c r="X87" s="142" t="n">
        <v>3.02843402344291</v>
      </c>
      <c r="Y87" s="180" t="n">
        <v>4.72364493265009</v>
      </c>
      <c r="Z87" s="221" t="n">
        <v>0.14</v>
      </c>
      <c r="AA87" s="237" t="n">
        <v>0.1</v>
      </c>
      <c r="AB87" s="242" t="n">
        <v>4.26159950594368</v>
      </c>
      <c r="AC87" s="90" t="n">
        <v>4.40159950594367</v>
      </c>
      <c r="AD87" s="142" t="n">
        <v>4.36159950594367</v>
      </c>
      <c r="AE87" s="182" t="n">
        <v>3.259</v>
      </c>
      <c r="AF87" s="78" t="n">
        <v>3.239</v>
      </c>
      <c r="AG87" s="147" t="n">
        <v>3.279</v>
      </c>
      <c r="AH87" s="185" t="n">
        <v>-0.1</v>
      </c>
      <c r="AI87" s="223" t="n">
        <v>1.51950866115002</v>
      </c>
      <c r="AJ87" s="37" t="n">
        <v>0.055132001729651</v>
      </c>
      <c r="AK87" s="37" t="n">
        <v>0.0547175040230439</v>
      </c>
      <c r="AL87" s="39" t="n">
        <v>0.800311137470335</v>
      </c>
      <c r="AM87" s="149" t="n">
        <v>0.801634611075149</v>
      </c>
      <c r="AN87" s="129" t="n">
        <v>0.12</v>
      </c>
      <c r="AO87" s="150" t="n">
        <v>0.12</v>
      </c>
      <c r="AP87" s="22"/>
      <c r="AQ87" s="129" t="n">
        <v>-3.4695949990965</v>
      </c>
      <c r="AR87" s="151" t="n">
        <v>-2.9195949990965</v>
      </c>
      <c r="AS87" s="22"/>
      <c r="AT87" s="5" t="n">
        <v>0.0075</v>
      </c>
      <c r="AU87" s="22"/>
      <c r="AV87" s="129" t="n">
        <v>0.0025</v>
      </c>
      <c r="AW87" s="187"/>
      <c r="AX87" s="39" t="n">
        <v>-0.105</v>
      </c>
      <c r="AY87" s="39"/>
      <c r="AZ87" s="243" t="n">
        <v>0.55</v>
      </c>
      <c r="BA87" s="243" t="n">
        <v>0.55</v>
      </c>
      <c r="BB87" s="194" t="n">
        <v>-0.55</v>
      </c>
      <c r="BC87" s="190"/>
      <c r="BD87" s="39"/>
      <c r="BE87" s="22"/>
      <c r="BF87" s="96"/>
      <c r="BG87" s="22"/>
      <c r="BH87" s="71"/>
      <c r="BI87" s="71"/>
      <c r="BJ87" s="22"/>
      <c r="BK87" s="96"/>
      <c r="BL87" s="22"/>
      <c r="BM87" s="22"/>
      <c r="BN87" s="39"/>
      <c r="BO87" s="39"/>
      <c r="BP87" s="71"/>
      <c r="BQ87" s="22"/>
      <c r="BR87" s="71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</row>
    <row r="88" customFormat="false" ht="12.75" hidden="false" customHeight="false" outlineLevel="0" collapsed="false">
      <c r="A88" s="224" t="n">
        <v>38596</v>
      </c>
      <c r="B88" s="217" t="n">
        <v>3.524</v>
      </c>
      <c r="C88" s="244" t="n">
        <v>-0.55</v>
      </c>
      <c r="D88" s="133" t="n">
        <v>-0.452773867390189</v>
      </c>
      <c r="E88" s="133" t="n">
        <v>-0.480552762421564</v>
      </c>
      <c r="F88" s="226" t="n">
        <v>0.13</v>
      </c>
      <c r="G88" s="227" t="n">
        <v>0.12</v>
      </c>
      <c r="H88" s="227" t="n">
        <v>0.165</v>
      </c>
      <c r="I88" s="228" t="n">
        <v>0.165</v>
      </c>
      <c r="J88" s="227" t="n">
        <v>0.04</v>
      </c>
      <c r="K88" s="227" t="n">
        <v>0.105</v>
      </c>
      <c r="L88" s="227" t="n">
        <v>0.44</v>
      </c>
      <c r="M88" s="226" t="n">
        <v>-0.27</v>
      </c>
      <c r="N88" s="227" t="n">
        <v>0.25</v>
      </c>
      <c r="O88" s="228" t="n">
        <v>-0.23</v>
      </c>
      <c r="P88" s="183" t="n">
        <v>-0.25</v>
      </c>
      <c r="Q88" s="160" t="n">
        <v>0.28</v>
      </c>
      <c r="R88" s="232" t="n">
        <v>0.2675</v>
      </c>
      <c r="S88" s="139" t="n">
        <v>0.2675</v>
      </c>
      <c r="T88" s="56" t="n">
        <v>0.55</v>
      </c>
      <c r="U88" s="248" t="n">
        <v>0.2675</v>
      </c>
      <c r="V88" s="12" t="n">
        <v>2.974</v>
      </c>
      <c r="W88" s="12" t="n">
        <v>3.07122613260981</v>
      </c>
      <c r="X88" s="142" t="n">
        <v>3.04344723757844</v>
      </c>
      <c r="Y88" s="180" t="n">
        <v>4.24161926385142</v>
      </c>
      <c r="Z88" s="221" t="n">
        <v>0.14</v>
      </c>
      <c r="AA88" s="237" t="n">
        <v>0.1</v>
      </c>
      <c r="AB88" s="242" t="n">
        <v>4.28238775752748</v>
      </c>
      <c r="AC88" s="90" t="n">
        <v>4.42238775752748</v>
      </c>
      <c r="AD88" s="142" t="n">
        <v>4.38238775752748</v>
      </c>
      <c r="AE88" s="182" t="n">
        <v>3.274</v>
      </c>
      <c r="AF88" s="78" t="n">
        <v>3.254</v>
      </c>
      <c r="AG88" s="147" t="n">
        <v>3.294</v>
      </c>
      <c r="AH88" s="185" t="n">
        <v>-0.1</v>
      </c>
      <c r="AI88" s="223" t="n">
        <v>1.51921953527435</v>
      </c>
      <c r="AJ88" s="37" t="n">
        <v>0.0552879426590853</v>
      </c>
      <c r="AK88" s="37" t="n">
        <v>0.0549285949737754</v>
      </c>
      <c r="AL88" s="39" t="n">
        <v>0.796120247400878</v>
      </c>
      <c r="AM88" s="149" t="n">
        <v>0.797285057533858</v>
      </c>
      <c r="AN88" s="129" t="n">
        <v>0.12</v>
      </c>
      <c r="AO88" s="150" t="n">
        <v>0.124</v>
      </c>
      <c r="AP88" s="22"/>
      <c r="AQ88" s="129" t="n">
        <v>-3.48458179048431</v>
      </c>
      <c r="AR88" s="151" t="n">
        <v>-2.93458179048431</v>
      </c>
      <c r="AS88" s="22"/>
      <c r="AT88" s="5" t="n">
        <v>0.0075</v>
      </c>
      <c r="AU88" s="22"/>
      <c r="AV88" s="129" t="n">
        <v>0.0025</v>
      </c>
      <c r="AW88" s="187"/>
      <c r="AX88" s="39" t="n">
        <v>-0.105</v>
      </c>
      <c r="AY88" s="39"/>
      <c r="AZ88" s="243" t="n">
        <v>0.55</v>
      </c>
      <c r="BA88" s="243" t="n">
        <v>0.55</v>
      </c>
      <c r="BB88" s="194" t="n">
        <v>-0.55</v>
      </c>
      <c r="BC88" s="190"/>
      <c r="BD88" s="39"/>
      <c r="BE88" s="22"/>
      <c r="BF88" s="96"/>
      <c r="BG88" s="22"/>
      <c r="BH88" s="71"/>
      <c r="BI88" s="71"/>
      <c r="BJ88" s="22"/>
      <c r="BK88" s="96"/>
      <c r="BL88" s="22"/>
      <c r="BM88" s="22"/>
      <c r="BN88" s="39"/>
      <c r="BO88" s="39"/>
      <c r="BP88" s="71"/>
      <c r="BQ88" s="22"/>
      <c r="BR88" s="71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</row>
    <row r="89" customFormat="false" ht="12.75" hidden="false" customHeight="false" outlineLevel="0" collapsed="false">
      <c r="A89" s="224" t="n">
        <v>38626</v>
      </c>
      <c r="B89" s="217" t="n">
        <v>3.553</v>
      </c>
      <c r="C89" s="244" t="n">
        <v>-0.55</v>
      </c>
      <c r="D89" s="133" t="n">
        <v>-0.452755120693749</v>
      </c>
      <c r="E89" s="133" t="n">
        <v>-0.480539371924107</v>
      </c>
      <c r="F89" s="226" t="n">
        <v>0.13</v>
      </c>
      <c r="G89" s="227" t="n">
        <v>0.12</v>
      </c>
      <c r="H89" s="227" t="n">
        <v>0.165</v>
      </c>
      <c r="I89" s="228" t="n">
        <v>0.165</v>
      </c>
      <c r="J89" s="227" t="n">
        <v>0.04</v>
      </c>
      <c r="K89" s="227" t="n">
        <v>0.105</v>
      </c>
      <c r="L89" s="227" t="n">
        <v>0.45</v>
      </c>
      <c r="M89" s="226" t="n">
        <v>-0.27</v>
      </c>
      <c r="N89" s="227" t="n">
        <v>0.25</v>
      </c>
      <c r="O89" s="228" t="n">
        <v>-0.23</v>
      </c>
      <c r="P89" s="183" t="n">
        <v>-0.25</v>
      </c>
      <c r="Q89" s="160" t="n">
        <v>0.28</v>
      </c>
      <c r="R89" s="232" t="n">
        <v>0.2675</v>
      </c>
      <c r="S89" s="139" t="n">
        <v>0.2675</v>
      </c>
      <c r="T89" s="56" t="n">
        <v>0.6</v>
      </c>
      <c r="U89" s="248" t="n">
        <v>0.2675</v>
      </c>
      <c r="V89" s="12" t="n">
        <v>3.003</v>
      </c>
      <c r="W89" s="12" t="n">
        <v>3.10024487930625</v>
      </c>
      <c r="X89" s="142" t="n">
        <v>3.07246062807589</v>
      </c>
      <c r="Y89" s="62" t="s">
        <v>81</v>
      </c>
      <c r="Z89" s="221" t="n">
        <v>0.14</v>
      </c>
      <c r="AA89" s="237" t="n">
        <v>0.1</v>
      </c>
      <c r="AB89" s="242" t="n">
        <v>4.32331247670103</v>
      </c>
      <c r="AC89" s="90" t="n">
        <v>4.46331247670103</v>
      </c>
      <c r="AD89" s="142" t="n">
        <v>4.42331247670103</v>
      </c>
      <c r="AE89" s="182" t="n">
        <v>3.303</v>
      </c>
      <c r="AF89" s="78" t="n">
        <v>3.283</v>
      </c>
      <c r="AG89" s="147" t="n">
        <v>3.323</v>
      </c>
      <c r="AH89" s="185" t="n">
        <v>-0.1</v>
      </c>
      <c r="AI89" s="223" t="n">
        <v>1.51892666280995</v>
      </c>
      <c r="AJ89" s="37" t="n">
        <v>0.0554388532436683</v>
      </c>
      <c r="AK89" s="37" t="n">
        <v>0.0551328765531314</v>
      </c>
      <c r="AL89" s="39" t="n">
        <v>0.792066054199656</v>
      </c>
      <c r="AM89" s="149" t="n">
        <v>0.7930720161045</v>
      </c>
      <c r="AN89" s="129" t="n">
        <v>0.12</v>
      </c>
      <c r="AO89" s="150" t="n">
        <v>0.12</v>
      </c>
      <c r="AP89" s="22"/>
      <c r="AQ89" s="129" t="n">
        <v>-3.51356840558391</v>
      </c>
      <c r="AR89" s="151" t="n">
        <v>-2.96356840558391</v>
      </c>
      <c r="AS89" s="22"/>
      <c r="AT89" s="5" t="n">
        <v>0.0075</v>
      </c>
      <c r="AU89" s="22"/>
      <c r="AV89" s="129" t="n">
        <v>0.0025</v>
      </c>
      <c r="AW89" s="187"/>
      <c r="AX89" s="39" t="n">
        <v>-0.105</v>
      </c>
      <c r="AY89" s="39"/>
      <c r="AZ89" s="243" t="n">
        <v>0.6</v>
      </c>
      <c r="BA89" s="243" t="n">
        <v>0.6</v>
      </c>
      <c r="BB89" s="194" t="n">
        <v>-0.55</v>
      </c>
      <c r="BC89" s="190"/>
      <c r="BD89" s="39"/>
      <c r="BE89" s="22"/>
      <c r="BF89" s="96"/>
      <c r="BG89" s="22"/>
      <c r="BH89" s="71"/>
      <c r="BI89" s="71"/>
      <c r="BJ89" s="22"/>
      <c r="BK89" s="96"/>
      <c r="BL89" s="22"/>
      <c r="BM89" s="22"/>
      <c r="BN89" s="39"/>
      <c r="BO89" s="39"/>
      <c r="BP89" s="71"/>
      <c r="BQ89" s="22"/>
      <c r="BR89" s="71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</row>
    <row r="90" customFormat="false" ht="12.75" hidden="false" customHeight="false" outlineLevel="0" collapsed="false">
      <c r="A90" s="216" t="n">
        <v>38657</v>
      </c>
      <c r="B90" s="217" t="n">
        <v>3.693</v>
      </c>
      <c r="C90" s="225" t="n">
        <v>-0.49</v>
      </c>
      <c r="D90" s="133" t="n">
        <v>-0.392734877026705</v>
      </c>
      <c r="E90" s="133" t="n">
        <v>-0.11</v>
      </c>
      <c r="F90" s="226" t="n">
        <v>0.25</v>
      </c>
      <c r="G90" s="227" t="n">
        <v>0.4</v>
      </c>
      <c r="H90" s="227" t="n">
        <v>0.4</v>
      </c>
      <c r="I90" s="228" t="n">
        <v>0.57</v>
      </c>
      <c r="J90" s="227" t="n">
        <v>0.14</v>
      </c>
      <c r="K90" s="227" t="n">
        <v>0.18</v>
      </c>
      <c r="L90" s="227" t="n">
        <v>0.73</v>
      </c>
      <c r="M90" s="226" t="n">
        <v>-0.15</v>
      </c>
      <c r="N90" s="227" t="n">
        <v>0.27</v>
      </c>
      <c r="O90" s="228" t="n">
        <v>0.17</v>
      </c>
      <c r="P90" s="183" t="n">
        <v>0.248</v>
      </c>
      <c r="Q90" s="160" t="n">
        <v>0.28</v>
      </c>
      <c r="R90" s="232" t="n">
        <v>0.2675</v>
      </c>
      <c r="S90" s="139" t="n">
        <v>0.2675</v>
      </c>
      <c r="T90" s="56" t="n">
        <v>0.8</v>
      </c>
      <c r="U90" s="248" t="n">
        <v>0.2675</v>
      </c>
      <c r="V90" s="12" t="n">
        <v>3.203</v>
      </c>
      <c r="W90" s="12" t="n">
        <v>3.3002651229733</v>
      </c>
      <c r="X90" s="142" t="n">
        <v>3.583</v>
      </c>
      <c r="Y90" s="180"/>
      <c r="Z90" s="221" t="n">
        <v>0.14</v>
      </c>
      <c r="AA90" s="237" t="n">
        <v>0.546958646365011</v>
      </c>
      <c r="AB90" s="242" t="n">
        <v>4.6102856429135</v>
      </c>
      <c r="AC90" s="90" t="n">
        <v>4.7502856429135</v>
      </c>
      <c r="AD90" s="142" t="n">
        <v>5.15724428927851</v>
      </c>
      <c r="AE90" s="182" t="n">
        <v>3.941</v>
      </c>
      <c r="AF90" s="78" t="n">
        <v>3.543</v>
      </c>
      <c r="AG90" s="147" t="n">
        <v>3.863</v>
      </c>
      <c r="AH90" s="185" t="n">
        <v>-0.1</v>
      </c>
      <c r="AI90" s="223" t="n">
        <v>1.51861053052443</v>
      </c>
      <c r="AJ90" s="37" t="n">
        <v>0.0555947941890373</v>
      </c>
      <c r="AK90" s="37" t="n">
        <v>0.0553439675330671</v>
      </c>
      <c r="AL90" s="39" t="n">
        <v>0.787878481571941</v>
      </c>
      <c r="AM90" s="149" t="n">
        <v>0.78871493664387</v>
      </c>
      <c r="AN90" s="129" t="n">
        <v>0.4</v>
      </c>
      <c r="AO90" s="150" t="n">
        <v>0.124</v>
      </c>
      <c r="AP90" s="22"/>
      <c r="AQ90" s="129" t="n">
        <v>-3.34301054084673</v>
      </c>
      <c r="AR90" s="151" t="n">
        <v>-2.85301054084673</v>
      </c>
      <c r="AS90" s="22"/>
      <c r="AT90" s="5" t="n">
        <v>0.0075</v>
      </c>
      <c r="AU90" s="22"/>
      <c r="AV90" s="129" t="n">
        <v>0.008</v>
      </c>
      <c r="AW90" s="187"/>
      <c r="AX90" s="39" t="n">
        <v>0.005</v>
      </c>
      <c r="AY90" s="39"/>
      <c r="AZ90" s="243" t="n">
        <v>0.8</v>
      </c>
      <c r="BA90" s="243" t="n">
        <v>0.8</v>
      </c>
      <c r="BB90" s="194" t="n">
        <v>-0.49</v>
      </c>
      <c r="BC90" s="190"/>
      <c r="BD90" s="39"/>
      <c r="BE90" s="22"/>
      <c r="BF90" s="96"/>
      <c r="BG90" s="22"/>
      <c r="BH90" s="71"/>
      <c r="BI90" s="71"/>
      <c r="BJ90" s="22"/>
      <c r="BK90" s="96"/>
      <c r="BL90" s="22"/>
      <c r="BM90" s="22"/>
      <c r="BN90" s="39"/>
      <c r="BO90" s="39"/>
      <c r="BP90" s="71"/>
      <c r="BQ90" s="22"/>
      <c r="BR90" s="71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</row>
    <row r="91" customFormat="false" ht="12.75" hidden="false" customHeight="false" outlineLevel="0" collapsed="false">
      <c r="A91" s="224" t="n">
        <v>38687</v>
      </c>
      <c r="B91" s="217" t="n">
        <v>3.833</v>
      </c>
      <c r="C91" s="247" t="n">
        <v>-0.49</v>
      </c>
      <c r="D91" s="133" t="n">
        <v>-0.392714442137994</v>
      </c>
      <c r="E91" s="133" t="n">
        <v>-0.11</v>
      </c>
      <c r="F91" s="226" t="n">
        <v>0.25</v>
      </c>
      <c r="G91" s="227" t="n">
        <v>0.4</v>
      </c>
      <c r="H91" s="227" t="n">
        <v>0.4</v>
      </c>
      <c r="I91" s="228" t="n">
        <v>0.57</v>
      </c>
      <c r="J91" s="227" t="n">
        <v>0.14</v>
      </c>
      <c r="K91" s="227" t="n">
        <v>0.18</v>
      </c>
      <c r="L91" s="227" t="n">
        <v>1.14</v>
      </c>
      <c r="M91" s="226" t="n">
        <v>-0.15</v>
      </c>
      <c r="N91" s="227" t="n">
        <v>0.27</v>
      </c>
      <c r="O91" s="228" t="n">
        <v>0.17</v>
      </c>
      <c r="P91" s="183" t="n">
        <v>0.308</v>
      </c>
      <c r="Q91" s="160" t="n">
        <v>0.2825</v>
      </c>
      <c r="R91" s="232" t="n">
        <v>0.27</v>
      </c>
      <c r="S91" s="139" t="n">
        <v>0.27</v>
      </c>
      <c r="T91" s="56" t="n">
        <v>1</v>
      </c>
      <c r="U91" s="248" t="n">
        <v>0.27</v>
      </c>
      <c r="V91" s="12" t="n">
        <v>3.343</v>
      </c>
      <c r="W91" s="12" t="n">
        <v>3.44028555786201</v>
      </c>
      <c r="X91" s="142" t="n">
        <v>3.723</v>
      </c>
      <c r="Y91" s="62" t="s">
        <v>79</v>
      </c>
      <c r="Z91" s="221" t="n">
        <v>0.14</v>
      </c>
      <c r="AA91" s="237" t="n">
        <v>0.546843757379288</v>
      </c>
      <c r="AB91" s="242" t="n">
        <v>4.81078600241831</v>
      </c>
      <c r="AC91" s="90" t="n">
        <v>4.95078600241831</v>
      </c>
      <c r="AD91" s="142" t="n">
        <v>5.3576297597976</v>
      </c>
      <c r="AE91" s="182" t="n">
        <v>4.141</v>
      </c>
      <c r="AF91" s="78" t="n">
        <v>3.683</v>
      </c>
      <c r="AG91" s="147" t="n">
        <v>4.003</v>
      </c>
      <c r="AH91" s="185" t="n">
        <v>-0.1</v>
      </c>
      <c r="AI91" s="223" t="n">
        <v>1.51829154548832</v>
      </c>
      <c r="AJ91" s="37" t="n">
        <v>0.05574570478904</v>
      </c>
      <c r="AK91" s="37" t="n">
        <v>0.0555482491406818</v>
      </c>
      <c r="AL91" s="39" t="n">
        <v>0.783827888881493</v>
      </c>
      <c r="AM91" s="149" t="n">
        <v>0.784495225317555</v>
      </c>
      <c r="AN91" s="129" t="n">
        <v>0.4</v>
      </c>
      <c r="AO91" s="150" t="n">
        <v>0.12</v>
      </c>
      <c r="AP91" s="22"/>
      <c r="AQ91" s="129" t="n">
        <v>-3.48298036963866</v>
      </c>
      <c r="AR91" s="151" t="n">
        <v>-2.99298036963866</v>
      </c>
      <c r="AS91" s="22"/>
      <c r="AT91" s="5" t="n">
        <v>0.0075</v>
      </c>
      <c r="AU91" s="22"/>
      <c r="AV91" s="129" t="n">
        <v>0.008</v>
      </c>
      <c r="AW91" s="187"/>
      <c r="AX91" s="39" t="n">
        <v>0.01</v>
      </c>
      <c r="AY91" s="39"/>
      <c r="AZ91" s="243" t="n">
        <v>1</v>
      </c>
      <c r="BA91" s="243" t="n">
        <v>1</v>
      </c>
      <c r="BB91" s="194" t="n">
        <v>-0.49</v>
      </c>
      <c r="BC91" s="190"/>
      <c r="BD91" s="39"/>
      <c r="BE91" s="22"/>
      <c r="BF91" s="96"/>
      <c r="BG91" s="22"/>
      <c r="BH91" s="71"/>
      <c r="BI91" s="71"/>
      <c r="BJ91" s="22"/>
      <c r="BK91" s="96"/>
      <c r="BL91" s="22"/>
      <c r="BM91" s="22"/>
      <c r="BN91" s="39"/>
      <c r="BO91" s="39"/>
      <c r="BP91" s="71"/>
      <c r="BQ91" s="22"/>
      <c r="BR91" s="71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</row>
    <row r="92" customFormat="false" ht="12.75" hidden="false" customHeight="false" outlineLevel="0" collapsed="false">
      <c r="A92" s="224" t="n">
        <v>38718</v>
      </c>
      <c r="B92" s="217" t="n">
        <v>3.903</v>
      </c>
      <c r="C92" s="247" t="n">
        <v>-0.49</v>
      </c>
      <c r="D92" s="133" t="n">
        <v>-0.392692453371348</v>
      </c>
      <c r="E92" s="133" t="n">
        <v>-0.11</v>
      </c>
      <c r="F92" s="226" t="n">
        <v>0.25</v>
      </c>
      <c r="G92" s="227" t="n">
        <v>0.4</v>
      </c>
      <c r="H92" s="227" t="n">
        <v>0.4</v>
      </c>
      <c r="I92" s="228" t="n">
        <v>0.57</v>
      </c>
      <c r="J92" s="227" t="n">
        <v>0.14</v>
      </c>
      <c r="K92" s="227" t="n">
        <v>0.18</v>
      </c>
      <c r="L92" s="227" t="n">
        <v>1.63</v>
      </c>
      <c r="M92" s="226" t="n">
        <v>-0.15</v>
      </c>
      <c r="N92" s="227" t="n">
        <v>0.27</v>
      </c>
      <c r="O92" s="228" t="n">
        <v>0.17</v>
      </c>
      <c r="P92" s="183" t="n">
        <v>0.378</v>
      </c>
      <c r="Q92" s="160" t="n">
        <v>0.285</v>
      </c>
      <c r="R92" s="232" t="n">
        <v>0.2725</v>
      </c>
      <c r="S92" s="139" t="n">
        <v>0.2725</v>
      </c>
      <c r="T92" s="56" t="n">
        <v>1</v>
      </c>
      <c r="U92" s="248" t="n">
        <v>0.2725</v>
      </c>
      <c r="V92" s="12" t="n">
        <v>3.413</v>
      </c>
      <c r="W92" s="12" t="n">
        <v>3.51030754662865</v>
      </c>
      <c r="X92" s="142" t="n">
        <v>3.793</v>
      </c>
      <c r="Y92" s="180"/>
      <c r="Z92" s="221" t="n">
        <v>0.14</v>
      </c>
      <c r="AA92" s="237" t="n">
        <v>0.546720186082004</v>
      </c>
      <c r="AB92" s="242" t="n">
        <v>4.91041051341548</v>
      </c>
      <c r="AC92" s="90" t="n">
        <v>5.05041051341548</v>
      </c>
      <c r="AD92" s="142" t="n">
        <v>5.45713069949748</v>
      </c>
      <c r="AE92" s="182" t="n">
        <v>4.281</v>
      </c>
      <c r="AF92" s="78" t="n">
        <v>3.753</v>
      </c>
      <c r="AG92" s="147" t="n">
        <v>4.073</v>
      </c>
      <c r="AH92" s="185" t="n">
        <v>-0.1</v>
      </c>
      <c r="AI92" s="223" t="n">
        <v>1.51794845433404</v>
      </c>
      <c r="AJ92" s="37" t="n">
        <v>0.0559016457503416</v>
      </c>
      <c r="AK92" s="37" t="n">
        <v>0.0557593401498155</v>
      </c>
      <c r="AL92" s="39" t="n">
        <v>0.779644437409929</v>
      </c>
      <c r="AM92" s="149" t="n">
        <v>0.780131884440694</v>
      </c>
      <c r="AN92" s="129" t="n">
        <v>0.4</v>
      </c>
      <c r="AO92" s="150" t="n">
        <v>0.12</v>
      </c>
      <c r="AP92" s="22"/>
      <c r="AQ92" s="129" t="n">
        <v>-3.55294816431242</v>
      </c>
      <c r="AR92" s="151" t="n">
        <v>-3.06294816431242</v>
      </c>
      <c r="AS92" s="22"/>
      <c r="AT92" s="5" t="n">
        <v>0.0075</v>
      </c>
      <c r="AU92" s="22"/>
      <c r="AV92" s="129" t="n">
        <v>0.008</v>
      </c>
      <c r="AW92" s="187"/>
      <c r="AX92" s="39" t="n">
        <v>0.03</v>
      </c>
      <c r="AY92" s="39"/>
      <c r="AZ92" s="243" t="n">
        <v>1</v>
      </c>
      <c r="BA92" s="243" t="n">
        <v>1</v>
      </c>
      <c r="BB92" s="194" t="n">
        <v>-0.49</v>
      </c>
      <c r="BC92" s="190"/>
      <c r="BD92" s="39"/>
      <c r="BE92" s="22"/>
      <c r="BF92" s="96"/>
      <c r="BG92" s="22"/>
      <c r="BH92" s="71"/>
      <c r="BI92" s="71"/>
      <c r="BJ92" s="22"/>
      <c r="BK92" s="96"/>
      <c r="BL92" s="22"/>
      <c r="BM92" s="22"/>
      <c r="BN92" s="39"/>
      <c r="BO92" s="39"/>
      <c r="BP92" s="71"/>
      <c r="BQ92" s="22"/>
      <c r="BR92" s="71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</row>
    <row r="93" customFormat="false" ht="12.75" hidden="false" customHeight="false" outlineLevel="0" collapsed="false">
      <c r="A93" s="224" t="n">
        <v>38749</v>
      </c>
      <c r="B93" s="217" t="n">
        <v>3.785</v>
      </c>
      <c r="C93" s="247" t="n">
        <v>-0.49</v>
      </c>
      <c r="D93" s="133" t="n">
        <v>-0.39266957722347</v>
      </c>
      <c r="E93" s="133" t="n">
        <v>-0.11</v>
      </c>
      <c r="F93" s="226" t="n">
        <v>0.25</v>
      </c>
      <c r="G93" s="227" t="n">
        <v>0.4</v>
      </c>
      <c r="H93" s="227" t="n">
        <v>0.4</v>
      </c>
      <c r="I93" s="228" t="n">
        <v>0.57</v>
      </c>
      <c r="J93" s="227" t="n">
        <v>0.14</v>
      </c>
      <c r="K93" s="227" t="n">
        <v>0.18</v>
      </c>
      <c r="L93" s="227" t="n">
        <v>1.63</v>
      </c>
      <c r="M93" s="226" t="n">
        <v>-0.15</v>
      </c>
      <c r="N93" s="227" t="n">
        <v>0.27</v>
      </c>
      <c r="O93" s="228" t="n">
        <v>0.17</v>
      </c>
      <c r="P93" s="183" t="n">
        <v>0.248</v>
      </c>
      <c r="Q93" s="160" t="n">
        <v>0.2825</v>
      </c>
      <c r="R93" s="232" t="n">
        <v>0.27</v>
      </c>
      <c r="S93" s="139" t="n">
        <v>0.27</v>
      </c>
      <c r="T93" s="56" t="n">
        <v>1</v>
      </c>
      <c r="U93" s="248" t="n">
        <v>0.27</v>
      </c>
      <c r="V93" s="12" t="n">
        <v>3.295</v>
      </c>
      <c r="W93" s="12" t="n">
        <v>3.39233042277653</v>
      </c>
      <c r="X93" s="142" t="n">
        <v>3.675</v>
      </c>
      <c r="Y93" s="13"/>
      <c r="Z93" s="221" t="n">
        <v>0.14</v>
      </c>
      <c r="AA93" s="237" t="n">
        <v>0.546591687186511</v>
      </c>
      <c r="AB93" s="242" t="n">
        <v>4.73952528757777</v>
      </c>
      <c r="AC93" s="90" t="n">
        <v>4.87952528757776</v>
      </c>
      <c r="AD93" s="142" t="n">
        <v>5.28611697476428</v>
      </c>
      <c r="AE93" s="182" t="n">
        <v>4.033</v>
      </c>
      <c r="AF93" s="78" t="n">
        <v>3.635</v>
      </c>
      <c r="AG93" s="147" t="n">
        <v>3.955</v>
      </c>
      <c r="AH93" s="185" t="n">
        <v>-0.1</v>
      </c>
      <c r="AI93" s="223" t="n">
        <v>1.51759168188487</v>
      </c>
      <c r="AJ93" s="37" t="n">
        <v>0.0560575867197395</v>
      </c>
      <c r="AK93" s="37" t="n">
        <v>0.055970431173785</v>
      </c>
      <c r="AL93" s="39" t="n">
        <v>0.775463385145384</v>
      </c>
      <c r="AM93" s="149" t="n">
        <v>0.775765842388215</v>
      </c>
      <c r="AN93" s="129" t="n">
        <v>0.4</v>
      </c>
      <c r="AO93" s="150" t="n">
        <v>0.133</v>
      </c>
      <c r="AP93" s="22"/>
      <c r="AQ93" s="129" t="n">
        <v>-3.43491491375454</v>
      </c>
      <c r="AR93" s="151" t="n">
        <v>-2.94491491375454</v>
      </c>
      <c r="AS93" s="22"/>
      <c r="AT93" s="5" t="n">
        <v>0.0075</v>
      </c>
      <c r="AU93" s="22"/>
      <c r="AV93" s="129" t="n">
        <v>0.008</v>
      </c>
      <c r="AW93" s="187"/>
      <c r="AX93" s="39" t="n">
        <v>0.025</v>
      </c>
      <c r="AY93" s="39"/>
      <c r="AZ93" s="243" t="n">
        <v>1</v>
      </c>
      <c r="BA93" s="243" t="n">
        <v>1</v>
      </c>
      <c r="BB93" s="194" t="n">
        <v>-0.49</v>
      </c>
      <c r="BC93" s="190"/>
      <c r="BD93" s="39"/>
      <c r="BE93" s="22"/>
      <c r="BF93" s="96"/>
      <c r="BG93" s="22"/>
      <c r="BH93" s="71"/>
      <c r="BI93" s="71"/>
      <c r="BJ93" s="22"/>
      <c r="BK93" s="96"/>
      <c r="BL93" s="22"/>
      <c r="BM93" s="22"/>
      <c r="BN93" s="39"/>
      <c r="BO93" s="39"/>
      <c r="BP93" s="71"/>
      <c r="BQ93" s="22"/>
      <c r="BR93" s="71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</row>
    <row r="94" customFormat="false" ht="12.75" hidden="false" customHeight="false" outlineLevel="0" collapsed="false">
      <c r="A94" s="224" t="n">
        <v>38777</v>
      </c>
      <c r="B94" s="217" t="n">
        <v>3.652</v>
      </c>
      <c r="C94" s="247" t="n">
        <v>-0.49</v>
      </c>
      <c r="D94" s="133" t="n">
        <v>-0.392648151851581</v>
      </c>
      <c r="E94" s="133" t="n">
        <v>-0.11</v>
      </c>
      <c r="F94" s="226" t="n">
        <v>0.25</v>
      </c>
      <c r="G94" s="227" t="n">
        <v>0.4</v>
      </c>
      <c r="H94" s="227" t="n">
        <v>0.4</v>
      </c>
      <c r="I94" s="228" t="n">
        <v>0.57</v>
      </c>
      <c r="J94" s="227" t="n">
        <v>0.14</v>
      </c>
      <c r="K94" s="227" t="n">
        <v>0.18</v>
      </c>
      <c r="L94" s="227" t="n">
        <v>0.72</v>
      </c>
      <c r="M94" s="226" t="n">
        <v>-0.15</v>
      </c>
      <c r="N94" s="227" t="n">
        <v>0.27</v>
      </c>
      <c r="O94" s="228" t="n">
        <v>0.17</v>
      </c>
      <c r="P94" s="183" t="n">
        <v>0.068</v>
      </c>
      <c r="Q94" s="160" t="n">
        <v>0.2775</v>
      </c>
      <c r="R94" s="232" t="n">
        <v>0.265</v>
      </c>
      <c r="S94" s="139" t="n">
        <v>0.265</v>
      </c>
      <c r="T94" s="56" t="n">
        <v>0.75</v>
      </c>
      <c r="U94" s="248" t="n">
        <v>0.265</v>
      </c>
      <c r="V94" s="12" t="n">
        <v>3.162</v>
      </c>
      <c r="W94" s="12" t="n">
        <v>3.25935184814842</v>
      </c>
      <c r="X94" s="142" t="n">
        <v>3.542</v>
      </c>
      <c r="Y94" s="13"/>
      <c r="Z94" s="221" t="n">
        <v>0.14</v>
      </c>
      <c r="AA94" s="237" t="n">
        <v>0.546471392293372</v>
      </c>
      <c r="AB94" s="242" t="n">
        <v>4.54721721692538</v>
      </c>
      <c r="AC94" s="90" t="n">
        <v>4.68721721692538</v>
      </c>
      <c r="AD94" s="142" t="n">
        <v>5.09368860921875</v>
      </c>
      <c r="AE94" s="182" t="n">
        <v>3.72</v>
      </c>
      <c r="AF94" s="78" t="n">
        <v>3.502</v>
      </c>
      <c r="AG94" s="147" t="n">
        <v>3.822</v>
      </c>
      <c r="AH94" s="185" t="n">
        <v>-0.1</v>
      </c>
      <c r="AI94" s="223" t="n">
        <v>1.51725768754599</v>
      </c>
      <c r="AJ94" s="37" t="n">
        <v>0.0561984366345407</v>
      </c>
      <c r="AK94" s="37" t="n">
        <v>0.0561610940468951</v>
      </c>
      <c r="AL94" s="39" t="n">
        <v>0.771689182477053</v>
      </c>
      <c r="AM94" s="149" t="n">
        <v>0.771820266650882</v>
      </c>
      <c r="AN94" s="129" t="n">
        <v>0.4</v>
      </c>
      <c r="AO94" s="150" t="n">
        <v>0.12</v>
      </c>
      <c r="AP94" s="22"/>
      <c r="AQ94" s="129" t="n">
        <v>-3.30188398261937</v>
      </c>
      <c r="AR94" s="151" t="n">
        <v>-2.81188398261937</v>
      </c>
      <c r="AS94" s="22"/>
      <c r="AT94" s="5" t="n">
        <v>0.0075</v>
      </c>
      <c r="AU94" s="22"/>
      <c r="AV94" s="129" t="n">
        <v>0.008</v>
      </c>
      <c r="AW94" s="187"/>
      <c r="AX94" s="39" t="n">
        <v>0.005</v>
      </c>
      <c r="AY94" s="39"/>
      <c r="AZ94" s="243" t="n">
        <v>0.75</v>
      </c>
      <c r="BA94" s="243" t="n">
        <v>0.75</v>
      </c>
      <c r="BB94" s="194" t="n">
        <v>-0.49</v>
      </c>
      <c r="BC94" s="190"/>
      <c r="BD94" s="39"/>
      <c r="BE94" s="22"/>
      <c r="BF94" s="96"/>
      <c r="BG94" s="22"/>
      <c r="BH94" s="71"/>
      <c r="BI94" s="71"/>
      <c r="BJ94" s="22"/>
      <c r="BK94" s="96"/>
      <c r="BL94" s="22"/>
      <c r="BM94" s="22"/>
      <c r="BN94" s="39"/>
      <c r="BO94" s="39"/>
      <c r="BP94" s="71"/>
      <c r="BQ94" s="22"/>
      <c r="BR94" s="71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</row>
    <row r="95" customFormat="false" ht="12.75" hidden="false" customHeight="false" outlineLevel="0" collapsed="false">
      <c r="A95" s="224" t="n">
        <v>38808</v>
      </c>
      <c r="B95" s="217" t="n">
        <v>3.432</v>
      </c>
      <c r="C95" s="239" t="n">
        <v>-0.55</v>
      </c>
      <c r="D95" s="133" t="n">
        <v>-0.452623585726714</v>
      </c>
      <c r="E95" s="133" t="n">
        <v>-0.480445418376224</v>
      </c>
      <c r="F95" s="226" t="n">
        <v>0.125</v>
      </c>
      <c r="G95" s="227" t="n">
        <v>0.125</v>
      </c>
      <c r="H95" s="227" t="n">
        <v>0.16</v>
      </c>
      <c r="I95" s="228" t="n">
        <v>0.16</v>
      </c>
      <c r="J95" s="227" t="n">
        <v>0.04</v>
      </c>
      <c r="K95" s="227" t="n">
        <v>0.105</v>
      </c>
      <c r="L95" s="227" t="n">
        <v>0.48</v>
      </c>
      <c r="M95" s="226" t="n">
        <v>-0.27</v>
      </c>
      <c r="N95" s="227" t="n">
        <v>0.25</v>
      </c>
      <c r="O95" s="228" t="n">
        <v>-0.23</v>
      </c>
      <c r="P95" s="240" t="n">
        <v>-0.25</v>
      </c>
      <c r="Q95" s="160" t="n">
        <v>0.2725</v>
      </c>
      <c r="R95" s="232" t="n">
        <v>0.26</v>
      </c>
      <c r="S95" s="139" t="n">
        <v>0.26</v>
      </c>
      <c r="T95" s="56" t="n">
        <v>0.4</v>
      </c>
      <c r="U95" s="248" t="n">
        <v>0.26</v>
      </c>
      <c r="V95" s="12" t="n">
        <v>2.882</v>
      </c>
      <c r="W95" s="12" t="n">
        <v>2.97937641427329</v>
      </c>
      <c r="X95" s="142" t="n">
        <v>2.95155458162378</v>
      </c>
      <c r="Y95" s="13"/>
      <c r="Z95" s="221" t="n">
        <v>0.14</v>
      </c>
      <c r="AA95" s="237" t="n">
        <v>0.1</v>
      </c>
      <c r="AB95" s="242" t="n">
        <v>4.14350849752631</v>
      </c>
      <c r="AC95" s="90" t="n">
        <v>4.28350849752631</v>
      </c>
      <c r="AD95" s="142" t="n">
        <v>4.24350849752631</v>
      </c>
      <c r="AE95" s="182" t="n">
        <v>3.182</v>
      </c>
      <c r="AF95" s="78" t="n">
        <v>3.162</v>
      </c>
      <c r="AG95" s="147" t="n">
        <v>3.202</v>
      </c>
      <c r="AH95" s="185" t="n">
        <v>-0.1</v>
      </c>
      <c r="AI95" s="223" t="n">
        <v>1.5168749137287</v>
      </c>
      <c r="AJ95" s="37" t="n">
        <v>0.0563543776193449</v>
      </c>
      <c r="AK95" s="37" t="n">
        <v>0.0563721850990966</v>
      </c>
      <c r="AL95" s="39" t="n">
        <v>0.76751325811625</v>
      </c>
      <c r="AM95" s="149" t="n">
        <v>0.767449971780305</v>
      </c>
      <c r="AN95" s="129" t="n">
        <v>0.125</v>
      </c>
      <c r="AO95" s="150" t="n">
        <v>0.124</v>
      </c>
      <c r="AP95" s="22"/>
      <c r="AQ95" s="129" t="n">
        <v>-3.39247449130742</v>
      </c>
      <c r="AR95" s="151" t="n">
        <v>-2.84247449130742</v>
      </c>
      <c r="AS95" s="22"/>
      <c r="AT95" s="5" t="n">
        <v>0.0075</v>
      </c>
      <c r="AU95" s="22"/>
      <c r="AV95" s="129" t="n">
        <v>0.0025</v>
      </c>
      <c r="AW95" s="187"/>
      <c r="AX95" s="39" t="n">
        <v>-0.105</v>
      </c>
      <c r="AY95" s="39"/>
      <c r="AZ95" s="243" t="n">
        <v>0.4</v>
      </c>
      <c r="BA95" s="243" t="n">
        <v>0.4</v>
      </c>
      <c r="BB95" s="194" t="n">
        <v>-0.55</v>
      </c>
      <c r="BC95" s="190"/>
      <c r="BD95" s="39"/>
      <c r="BE95" s="22"/>
      <c r="BF95" s="96"/>
      <c r="BG95" s="22"/>
      <c r="BH95" s="71"/>
      <c r="BI95" s="71"/>
      <c r="BJ95" s="22"/>
      <c r="BK95" s="96"/>
      <c r="BL95" s="22"/>
      <c r="BM95" s="22"/>
      <c r="BN95" s="39"/>
      <c r="BO95" s="39"/>
      <c r="BP95" s="71"/>
      <c r="BQ95" s="22"/>
      <c r="BR95" s="71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</row>
    <row r="96" customFormat="false" ht="12.75" hidden="false" customHeight="false" outlineLevel="0" collapsed="false">
      <c r="A96" s="224" t="n">
        <v>38838</v>
      </c>
      <c r="B96" s="217" t="n">
        <v>3.422</v>
      </c>
      <c r="C96" s="244" t="n">
        <v>-0.55</v>
      </c>
      <c r="D96" s="133" t="n">
        <v>-0.452598966022826</v>
      </c>
      <c r="E96" s="133" t="n">
        <v>-0.480427832873447</v>
      </c>
      <c r="F96" s="226" t="n">
        <v>0.125</v>
      </c>
      <c r="G96" s="227" t="n">
        <v>0.125</v>
      </c>
      <c r="H96" s="227" t="n">
        <v>0.16</v>
      </c>
      <c r="I96" s="228" t="n">
        <v>0.16</v>
      </c>
      <c r="J96" s="227" t="n">
        <v>0.04</v>
      </c>
      <c r="K96" s="227" t="n">
        <v>0.105</v>
      </c>
      <c r="L96" s="227" t="n">
        <v>0.42</v>
      </c>
      <c r="M96" s="226" t="n">
        <v>-0.27</v>
      </c>
      <c r="N96" s="227" t="n">
        <v>0.25</v>
      </c>
      <c r="O96" s="228" t="n">
        <v>-0.23</v>
      </c>
      <c r="P96" s="183" t="n">
        <v>-0.25</v>
      </c>
      <c r="Q96" s="160" t="n">
        <v>0.265</v>
      </c>
      <c r="R96" s="232" t="n">
        <v>0.2525</v>
      </c>
      <c r="S96" s="139" t="n">
        <v>0.2525</v>
      </c>
      <c r="T96" s="56" t="n">
        <v>0.45</v>
      </c>
      <c r="U96" s="248" t="n">
        <v>0.2525</v>
      </c>
      <c r="V96" s="12" t="n">
        <v>2.872</v>
      </c>
      <c r="W96" s="12" t="n">
        <v>2.96940103397717</v>
      </c>
      <c r="X96" s="142" t="n">
        <v>2.94157216712655</v>
      </c>
      <c r="Y96" s="13"/>
      <c r="Z96" s="221" t="n">
        <v>0.14</v>
      </c>
      <c r="AA96" s="237" t="n">
        <v>0.1</v>
      </c>
      <c r="AB96" s="242" t="n">
        <v>4.12808759395949</v>
      </c>
      <c r="AC96" s="90" t="n">
        <v>4.26808759395949</v>
      </c>
      <c r="AD96" s="142" t="n">
        <v>4.22808759395949</v>
      </c>
      <c r="AE96" s="182" t="n">
        <v>3.172</v>
      </c>
      <c r="AF96" s="78" t="n">
        <v>3.152</v>
      </c>
      <c r="AG96" s="147" t="n">
        <v>3.192</v>
      </c>
      <c r="AH96" s="185" t="n">
        <v>-0.1</v>
      </c>
      <c r="AI96" s="223" t="n">
        <v>1.51649149879266</v>
      </c>
      <c r="AJ96" s="37" t="n">
        <v>0.0565052882575077</v>
      </c>
      <c r="AK96" s="37" t="n">
        <v>0.0565764667766393</v>
      </c>
      <c r="AL96" s="39" t="n">
        <v>0.763474882880122</v>
      </c>
      <c r="AM96" s="149" t="n">
        <v>0.763218964686503</v>
      </c>
      <c r="AN96" s="129" t="n">
        <v>0.125</v>
      </c>
      <c r="AO96" s="150" t="n">
        <v>0.12</v>
      </c>
      <c r="AP96" s="22"/>
      <c r="AQ96" s="129" t="n">
        <v>-3.38245691315516</v>
      </c>
      <c r="AR96" s="151" t="n">
        <v>-2.83245691315516</v>
      </c>
      <c r="AS96" s="22"/>
      <c r="AT96" s="5" t="n">
        <v>0.0075</v>
      </c>
      <c r="AU96" s="22"/>
      <c r="AV96" s="129" t="n">
        <v>0.0025</v>
      </c>
      <c r="AW96" s="187"/>
      <c r="AX96" s="39" t="n">
        <v>-0.105</v>
      </c>
      <c r="AY96" s="39"/>
      <c r="AZ96" s="243" t="n">
        <v>0.45</v>
      </c>
      <c r="BA96" s="243" t="n">
        <v>0.45</v>
      </c>
      <c r="BB96" s="194" t="n">
        <v>-0.55</v>
      </c>
      <c r="BC96" s="190"/>
      <c r="BD96" s="39"/>
      <c r="BE96" s="22"/>
      <c r="BF96" s="96"/>
      <c r="BG96" s="22"/>
      <c r="BH96" s="71"/>
      <c r="BI96" s="71"/>
      <c r="BJ96" s="22"/>
      <c r="BK96" s="96"/>
      <c r="BL96" s="22"/>
      <c r="BM96" s="22"/>
      <c r="BN96" s="39"/>
      <c r="BO96" s="39"/>
      <c r="BP96" s="71"/>
      <c r="BQ96" s="22"/>
      <c r="BR96" s="71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</row>
    <row r="97" customFormat="false" ht="12.75" hidden="false" customHeight="false" outlineLevel="0" collapsed="false">
      <c r="A97" s="224" t="n">
        <v>38869</v>
      </c>
      <c r="B97" s="217" t="n">
        <v>3.458</v>
      </c>
      <c r="C97" s="244" t="n">
        <v>-0.55</v>
      </c>
      <c r="D97" s="133" t="n">
        <v>-0.45257265098147</v>
      </c>
      <c r="E97" s="133" t="n">
        <v>-0.480409036415336</v>
      </c>
      <c r="F97" s="226" t="n">
        <v>0.125</v>
      </c>
      <c r="G97" s="227" t="n">
        <v>0.125</v>
      </c>
      <c r="H97" s="227" t="n">
        <v>0.16</v>
      </c>
      <c r="I97" s="228" t="n">
        <v>0.16</v>
      </c>
      <c r="J97" s="227" t="n">
        <v>0.04</v>
      </c>
      <c r="K97" s="227" t="n">
        <v>0.105</v>
      </c>
      <c r="L97" s="227" t="n">
        <v>0.42</v>
      </c>
      <c r="M97" s="226" t="n">
        <v>-0.27</v>
      </c>
      <c r="N97" s="227" t="n">
        <v>0.25</v>
      </c>
      <c r="O97" s="228" t="n">
        <v>-0.23</v>
      </c>
      <c r="P97" s="183" t="n">
        <v>-0.25</v>
      </c>
      <c r="Q97" s="160" t="n">
        <v>0.265</v>
      </c>
      <c r="R97" s="232" t="n">
        <v>0.2525</v>
      </c>
      <c r="S97" s="139" t="n">
        <v>0.2525</v>
      </c>
      <c r="T97" s="56" t="n">
        <v>0.45</v>
      </c>
      <c r="U97" s="248" t="n">
        <v>0.2525</v>
      </c>
      <c r="V97" s="12" t="n">
        <v>2.908</v>
      </c>
      <c r="W97" s="12" t="n">
        <v>3.00542734901853</v>
      </c>
      <c r="X97" s="142" t="n">
        <v>2.97759096358466</v>
      </c>
      <c r="Y97" s="62" t="s">
        <v>87</v>
      </c>
      <c r="Z97" s="221" t="n">
        <v>0.14</v>
      </c>
      <c r="AA97" s="237" t="n">
        <v>0.1</v>
      </c>
      <c r="AB97" s="242" t="n">
        <v>4.17870345545959</v>
      </c>
      <c r="AC97" s="90" t="n">
        <v>4.31870345545959</v>
      </c>
      <c r="AD97" s="142" t="n">
        <v>4.27870345545959</v>
      </c>
      <c r="AE97" s="182" t="n">
        <v>3.208</v>
      </c>
      <c r="AF97" s="78" t="n">
        <v>3.188</v>
      </c>
      <c r="AG97" s="147" t="n">
        <v>3.228</v>
      </c>
      <c r="AH97" s="185" t="n">
        <v>-0.1</v>
      </c>
      <c r="AI97" s="223" t="n">
        <v>1.51608189577145</v>
      </c>
      <c r="AJ97" s="37" t="n">
        <v>0.0566612292582391</v>
      </c>
      <c r="AK97" s="37" t="n">
        <v>0.0567875578580241</v>
      </c>
      <c r="AL97" s="39" t="n">
        <v>0.759305026236281</v>
      </c>
      <c r="AM97" s="149" t="n">
        <v>0.75884548691173</v>
      </c>
      <c r="AN97" s="129" t="n">
        <v>0.125</v>
      </c>
      <c r="AO97" s="150" t="n">
        <v>0.124</v>
      </c>
      <c r="AP97" s="22"/>
      <c r="AQ97" s="129" t="n">
        <v>-3.41843812455373</v>
      </c>
      <c r="AR97" s="151" t="n">
        <v>-2.86843812455373</v>
      </c>
      <c r="AS97" s="22"/>
      <c r="AT97" s="5" t="n">
        <v>0.0075</v>
      </c>
      <c r="AU97" s="22"/>
      <c r="AV97" s="129" t="n">
        <v>0.0025</v>
      </c>
      <c r="AW97" s="187"/>
      <c r="AX97" s="39" t="n">
        <v>-0.105</v>
      </c>
      <c r="AY97" s="39"/>
      <c r="AZ97" s="243" t="n">
        <v>0.45</v>
      </c>
      <c r="BA97" s="243" t="n">
        <v>0.45</v>
      </c>
      <c r="BB97" s="194" t="n">
        <v>-0.55</v>
      </c>
      <c r="BC97" s="190"/>
      <c r="BD97" s="39"/>
      <c r="BE97" s="22"/>
      <c r="BF97" s="96"/>
      <c r="BG97" s="22"/>
      <c r="BH97" s="71"/>
      <c r="BI97" s="71"/>
      <c r="BJ97" s="22"/>
      <c r="BK97" s="96"/>
      <c r="BL97" s="22"/>
      <c r="BM97" s="22"/>
      <c r="BN97" s="39"/>
      <c r="BO97" s="39"/>
      <c r="BP97" s="71"/>
      <c r="BQ97" s="22"/>
      <c r="BR97" s="71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</row>
    <row r="98" customFormat="false" ht="12.75" hidden="false" customHeight="false" outlineLevel="0" collapsed="false">
      <c r="A98" s="224" t="n">
        <v>38899</v>
      </c>
      <c r="B98" s="217" t="n">
        <v>3.5</v>
      </c>
      <c r="C98" s="244" t="n">
        <v>-0.55</v>
      </c>
      <c r="D98" s="133" t="n">
        <v>-0.452544245653477</v>
      </c>
      <c r="E98" s="133" t="n">
        <v>-0.480388746895341</v>
      </c>
      <c r="F98" s="226" t="n">
        <v>0.125</v>
      </c>
      <c r="G98" s="227" t="n">
        <v>0.125</v>
      </c>
      <c r="H98" s="227" t="n">
        <v>0.16</v>
      </c>
      <c r="I98" s="228" t="n">
        <v>0.16</v>
      </c>
      <c r="J98" s="227" t="n">
        <v>0.04</v>
      </c>
      <c r="K98" s="227" t="n">
        <v>0.105</v>
      </c>
      <c r="L98" s="227" t="n">
        <v>0.48</v>
      </c>
      <c r="M98" s="226" t="n">
        <v>-0.27</v>
      </c>
      <c r="N98" s="227" t="n">
        <v>0.25</v>
      </c>
      <c r="O98" s="228" t="n">
        <v>-0.23</v>
      </c>
      <c r="P98" s="183" t="n">
        <v>-0.25</v>
      </c>
      <c r="Q98" s="160" t="n">
        <v>0.265</v>
      </c>
      <c r="R98" s="232" t="n">
        <v>0.2525</v>
      </c>
      <c r="S98" s="139" t="n">
        <v>0.2525</v>
      </c>
      <c r="T98" s="56" t="n">
        <v>0.5</v>
      </c>
      <c r="U98" s="248" t="n">
        <v>0.2525</v>
      </c>
      <c r="V98" s="12" t="n">
        <v>2.95</v>
      </c>
      <c r="W98" s="12" t="n">
        <v>3.04745575434652</v>
      </c>
      <c r="X98" s="142" t="n">
        <v>3.01961125310466</v>
      </c>
      <c r="Y98" s="180" t="n">
        <v>4.49774209168371</v>
      </c>
      <c r="Z98" s="221" t="n">
        <v>0.14</v>
      </c>
      <c r="AA98" s="237" t="n">
        <v>0.1</v>
      </c>
      <c r="AB98" s="242" t="n">
        <v>4.23782056554092</v>
      </c>
      <c r="AC98" s="90" t="n">
        <v>4.37782056554092</v>
      </c>
      <c r="AD98" s="142" t="n">
        <v>4.33782056554092</v>
      </c>
      <c r="AE98" s="182" t="n">
        <v>3.25</v>
      </c>
      <c r="AF98" s="78" t="n">
        <v>3.23</v>
      </c>
      <c r="AG98" s="147" t="n">
        <v>3.27</v>
      </c>
      <c r="AH98" s="185" t="n">
        <v>-0.1</v>
      </c>
      <c r="AI98" s="223" t="n">
        <v>1.51564000494825</v>
      </c>
      <c r="AJ98" s="37" t="n">
        <v>0.056801895351724</v>
      </c>
      <c r="AK98" s="37" t="n">
        <v>0.0569860011780534</v>
      </c>
      <c r="AL98" s="39" t="n">
        <v>0.755310592978456</v>
      </c>
      <c r="AM98" s="149" t="n">
        <v>0.754633454765545</v>
      </c>
      <c r="AN98" s="129" t="n">
        <v>0.125</v>
      </c>
      <c r="AO98" s="150" t="n">
        <v>0.12</v>
      </c>
      <c r="AP98" s="22"/>
      <c r="AQ98" s="129" t="n">
        <v>-3.4604178435145</v>
      </c>
      <c r="AR98" s="151" t="n">
        <v>-2.9104178435145</v>
      </c>
      <c r="AS98" s="22"/>
      <c r="AT98" s="5" t="n">
        <v>0.0075</v>
      </c>
      <c r="AU98" s="22"/>
      <c r="AV98" s="129" t="n">
        <v>0.0025</v>
      </c>
      <c r="AW98" s="187"/>
      <c r="AX98" s="39" t="n">
        <v>-0.105</v>
      </c>
      <c r="AY98" s="39"/>
      <c r="AZ98" s="243" t="n">
        <v>0.5</v>
      </c>
      <c r="BA98" s="243" t="n">
        <v>0.5</v>
      </c>
      <c r="BB98" s="194" t="n">
        <v>-0.55</v>
      </c>
      <c r="BC98" s="190"/>
      <c r="BD98" s="39"/>
      <c r="BE98" s="22"/>
      <c r="BF98" s="96"/>
      <c r="BG98" s="22"/>
      <c r="BH98" s="71"/>
      <c r="BI98" s="71"/>
      <c r="BJ98" s="22"/>
      <c r="BK98" s="96"/>
      <c r="BL98" s="22"/>
      <c r="BM98" s="22"/>
      <c r="BN98" s="39"/>
      <c r="BO98" s="39"/>
      <c r="BP98" s="71"/>
      <c r="BQ98" s="22"/>
      <c r="BR98" s="71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</row>
    <row r="99" customFormat="false" ht="12.75" hidden="false" customHeight="false" outlineLevel="0" collapsed="false">
      <c r="A99" s="224" t="n">
        <v>38930</v>
      </c>
      <c r="B99" s="217" t="n">
        <v>3.549</v>
      </c>
      <c r="C99" s="244" t="n">
        <v>-0.55</v>
      </c>
      <c r="D99" s="133" t="n">
        <v>-0.452521499318955</v>
      </c>
      <c r="E99" s="133" t="n">
        <v>-0.48037249951354</v>
      </c>
      <c r="F99" s="226" t="n">
        <v>0.125</v>
      </c>
      <c r="G99" s="227" t="n">
        <v>0.125</v>
      </c>
      <c r="H99" s="227" t="n">
        <v>0.16</v>
      </c>
      <c r="I99" s="228" t="n">
        <v>0.16</v>
      </c>
      <c r="J99" s="227" t="n">
        <v>0.04</v>
      </c>
      <c r="K99" s="227" t="n">
        <v>0.105</v>
      </c>
      <c r="L99" s="227" t="n">
        <v>0.48</v>
      </c>
      <c r="M99" s="226" t="n">
        <v>-0.27</v>
      </c>
      <c r="N99" s="227" t="n">
        <v>0.25</v>
      </c>
      <c r="O99" s="228" t="n">
        <v>-0.23</v>
      </c>
      <c r="P99" s="183" t="n">
        <v>-0.25</v>
      </c>
      <c r="Q99" s="160" t="n">
        <v>0.265</v>
      </c>
      <c r="R99" s="232" t="n">
        <v>0.2525</v>
      </c>
      <c r="S99" s="139" t="n">
        <v>0.2525</v>
      </c>
      <c r="T99" s="56" t="n">
        <v>0.55</v>
      </c>
      <c r="U99" s="248" t="n">
        <v>0.2525</v>
      </c>
      <c r="V99" s="12" t="n">
        <v>2.999</v>
      </c>
      <c r="W99" s="12" t="n">
        <v>3.09647850068105</v>
      </c>
      <c r="X99" s="142" t="n">
        <v>3.06862750048646</v>
      </c>
      <c r="Y99" s="180" t="n">
        <v>4.77542520292339</v>
      </c>
      <c r="Z99" s="221" t="n">
        <v>0.14</v>
      </c>
      <c r="AA99" s="237" t="n">
        <v>0.1</v>
      </c>
      <c r="AB99" s="242" t="n">
        <v>4.3072061743523</v>
      </c>
      <c r="AC99" s="90" t="n">
        <v>4.4472061743523</v>
      </c>
      <c r="AD99" s="142" t="n">
        <v>4.4072061743523</v>
      </c>
      <c r="AE99" s="182" t="n">
        <v>3.299</v>
      </c>
      <c r="AF99" s="78" t="n">
        <v>3.279</v>
      </c>
      <c r="AG99" s="147" t="n">
        <v>3.319</v>
      </c>
      <c r="AH99" s="185" t="n">
        <v>-0.1</v>
      </c>
      <c r="AI99" s="223" t="n">
        <v>1.51528633460735</v>
      </c>
      <c r="AJ99" s="37" t="n">
        <v>0.05687844102422</v>
      </c>
      <c r="AK99" s="37" t="n">
        <v>0.0571065973041427</v>
      </c>
      <c r="AL99" s="39" t="n">
        <v>0.751443508914459</v>
      </c>
      <c r="AM99" s="149" t="n">
        <v>0.750594647519759</v>
      </c>
      <c r="AN99" s="129" t="n">
        <v>0.125</v>
      </c>
      <c r="AO99" s="150" t="n">
        <v>0.12</v>
      </c>
      <c r="AP99" s="22"/>
      <c r="AQ99" s="129" t="n">
        <v>-3.50940160292389</v>
      </c>
      <c r="AR99" s="151" t="n">
        <v>-2.95940160292389</v>
      </c>
      <c r="AS99" s="22"/>
      <c r="AT99" s="5" t="n">
        <v>0.0075</v>
      </c>
      <c r="AU99" s="22"/>
      <c r="AV99" s="129" t="n">
        <v>0.0025</v>
      </c>
      <c r="AW99" s="187"/>
      <c r="AX99" s="39" t="n">
        <v>-0.105</v>
      </c>
      <c r="AY99" s="39"/>
      <c r="AZ99" s="243" t="n">
        <v>0.55</v>
      </c>
      <c r="BA99" s="243" t="n">
        <v>0.55</v>
      </c>
      <c r="BB99" s="194" t="n">
        <v>-0.55</v>
      </c>
      <c r="BC99" s="190"/>
      <c r="BD99" s="39"/>
      <c r="BE99" s="22"/>
      <c r="BF99" s="96"/>
      <c r="BG99" s="22"/>
      <c r="BH99" s="71"/>
      <c r="BI99" s="71"/>
      <c r="BJ99" s="22"/>
      <c r="BK99" s="96"/>
      <c r="BL99" s="22"/>
      <c r="BM99" s="22"/>
      <c r="BN99" s="39"/>
      <c r="BO99" s="39"/>
      <c r="BP99" s="71"/>
      <c r="BQ99" s="22"/>
      <c r="BR99" s="71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</row>
    <row r="100" customFormat="false" ht="12.75" hidden="false" customHeight="false" outlineLevel="0" collapsed="false">
      <c r="A100" s="224" t="n">
        <v>38961</v>
      </c>
      <c r="B100" s="217" t="n">
        <v>3.564</v>
      </c>
      <c r="C100" s="244" t="n">
        <v>-0.55</v>
      </c>
      <c r="D100" s="133" t="n">
        <v>-0.452498041027892</v>
      </c>
      <c r="E100" s="133" t="n">
        <v>-0.480355743591351</v>
      </c>
      <c r="F100" s="226" t="n">
        <v>0.125</v>
      </c>
      <c r="G100" s="227" t="n">
        <v>0.125</v>
      </c>
      <c r="H100" s="227" t="n">
        <v>0.16</v>
      </c>
      <c r="I100" s="228" t="n">
        <v>0.16</v>
      </c>
      <c r="J100" s="227" t="n">
        <v>0.04</v>
      </c>
      <c r="K100" s="227" t="n">
        <v>0.105</v>
      </c>
      <c r="L100" s="227" t="n">
        <v>0.44</v>
      </c>
      <c r="M100" s="226" t="n">
        <v>-0.27</v>
      </c>
      <c r="N100" s="227" t="n">
        <v>0.25</v>
      </c>
      <c r="O100" s="228" t="n">
        <v>-0.23</v>
      </c>
      <c r="P100" s="183" t="n">
        <v>-0.25</v>
      </c>
      <c r="Q100" s="160" t="n">
        <v>0.265</v>
      </c>
      <c r="R100" s="232" t="n">
        <v>0.2525</v>
      </c>
      <c r="S100" s="139" t="n">
        <v>0.2525</v>
      </c>
      <c r="T100" s="56" t="n">
        <v>0.55</v>
      </c>
      <c r="U100" s="248" t="n">
        <v>0.2525</v>
      </c>
      <c r="V100" s="12" t="n">
        <v>3.014</v>
      </c>
      <c r="W100" s="12" t="n">
        <v>3.11150195897211</v>
      </c>
      <c r="X100" s="142" t="n">
        <v>3.08364425640865</v>
      </c>
      <c r="Y100" s="180" t="n">
        <v>4.2993970122268</v>
      </c>
      <c r="Z100" s="221" t="n">
        <v>0.14</v>
      </c>
      <c r="AA100" s="237" t="n">
        <v>0.1</v>
      </c>
      <c r="AB100" s="242" t="n">
        <v>4.32770791939378</v>
      </c>
      <c r="AC100" s="90" t="n">
        <v>4.46770791939378</v>
      </c>
      <c r="AD100" s="142" t="n">
        <v>4.42770791939378</v>
      </c>
      <c r="AE100" s="182" t="n">
        <v>3.314</v>
      </c>
      <c r="AF100" s="78" t="n">
        <v>3.294</v>
      </c>
      <c r="AG100" s="147" t="n">
        <v>3.334</v>
      </c>
      <c r="AH100" s="185" t="n">
        <v>-0.1</v>
      </c>
      <c r="AI100" s="223" t="n">
        <v>1.5149217672873</v>
      </c>
      <c r="AJ100" s="37" t="n">
        <v>0.0569549866986656</v>
      </c>
      <c r="AK100" s="37" t="n">
        <v>0.0572271934350708</v>
      </c>
      <c r="AL100" s="39" t="n">
        <v>0.747586789192735</v>
      </c>
      <c r="AM100" s="149" t="n">
        <v>0.746562623523068</v>
      </c>
      <c r="AN100" s="129" t="n">
        <v>0.125</v>
      </c>
      <c r="AO100" s="150" t="n">
        <v>0.124</v>
      </c>
      <c r="AP100" s="22"/>
      <c r="AQ100" s="129" t="n">
        <v>-3.52438485400547</v>
      </c>
      <c r="AR100" s="151" t="n">
        <v>-2.97438485400547</v>
      </c>
      <c r="AS100" s="22"/>
      <c r="AT100" s="5" t="n">
        <v>0.0075</v>
      </c>
      <c r="AU100" s="22"/>
      <c r="AV100" s="129" t="n">
        <v>0.0025</v>
      </c>
      <c r="AW100" s="187"/>
      <c r="AX100" s="39" t="n">
        <v>-0.105</v>
      </c>
      <c r="AY100" s="39"/>
      <c r="AZ100" s="243" t="n">
        <v>0.55</v>
      </c>
      <c r="BA100" s="243" t="n">
        <v>0.55</v>
      </c>
      <c r="BB100" s="194" t="n">
        <v>-0.55</v>
      </c>
      <c r="BC100" s="190"/>
      <c r="BD100" s="39"/>
      <c r="BE100" s="22"/>
      <c r="BF100" s="96"/>
      <c r="BG100" s="22"/>
      <c r="BH100" s="71"/>
      <c r="BI100" s="71"/>
      <c r="BJ100" s="22"/>
      <c r="BK100" s="96"/>
      <c r="BL100" s="22"/>
      <c r="BM100" s="22"/>
      <c r="BN100" s="39"/>
      <c r="BO100" s="39"/>
      <c r="BP100" s="71"/>
      <c r="BQ100" s="22"/>
      <c r="BR100" s="71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</row>
    <row r="101" customFormat="false" ht="12.75" hidden="false" customHeight="false" outlineLevel="0" collapsed="false">
      <c r="A101" s="224" t="n">
        <v>38991</v>
      </c>
      <c r="B101" s="217" t="n">
        <v>3.593</v>
      </c>
      <c r="C101" s="244" t="n">
        <v>-0.55</v>
      </c>
      <c r="D101" s="133" t="n">
        <v>-0.452474661192494</v>
      </c>
      <c r="E101" s="133" t="n">
        <v>-0.480339043708925</v>
      </c>
      <c r="F101" s="226" t="n">
        <v>0.125</v>
      </c>
      <c r="G101" s="227" t="n">
        <v>0.125</v>
      </c>
      <c r="H101" s="227" t="n">
        <v>0.16</v>
      </c>
      <c r="I101" s="228" t="n">
        <v>0.16</v>
      </c>
      <c r="J101" s="227" t="n">
        <v>0.04</v>
      </c>
      <c r="K101" s="227" t="n">
        <v>0.105</v>
      </c>
      <c r="L101" s="227" t="n">
        <v>0.45</v>
      </c>
      <c r="M101" s="226" t="n">
        <v>-0.27</v>
      </c>
      <c r="N101" s="227" t="n">
        <v>0.25</v>
      </c>
      <c r="O101" s="228" t="n">
        <v>-0.23</v>
      </c>
      <c r="P101" s="183" t="n">
        <v>-0.25</v>
      </c>
      <c r="Q101" s="160" t="n">
        <v>0.265</v>
      </c>
      <c r="R101" s="232" t="n">
        <v>0.2525</v>
      </c>
      <c r="S101" s="139" t="n">
        <v>0.2525</v>
      </c>
      <c r="T101" s="56" t="n">
        <v>0.6</v>
      </c>
      <c r="U101" s="248" t="n">
        <v>0.2525</v>
      </c>
      <c r="V101" s="12" t="n">
        <v>3.043</v>
      </c>
      <c r="W101" s="12" t="n">
        <v>3.14052533880751</v>
      </c>
      <c r="X101" s="142" t="n">
        <v>3.11266095629108</v>
      </c>
      <c r="Y101" s="62" t="s">
        <v>81</v>
      </c>
      <c r="Z101" s="221" t="n">
        <v>0.14</v>
      </c>
      <c r="AA101" s="237" t="n">
        <v>0.1</v>
      </c>
      <c r="AB101" s="242" t="n">
        <v>4.36830064072754</v>
      </c>
      <c r="AC101" s="90" t="n">
        <v>4.50830064072754</v>
      </c>
      <c r="AD101" s="142" t="n">
        <v>4.46830064072754</v>
      </c>
      <c r="AE101" s="182" t="n">
        <v>3.343</v>
      </c>
      <c r="AF101" s="78" t="n">
        <v>3.323</v>
      </c>
      <c r="AG101" s="147" t="n">
        <v>3.363</v>
      </c>
      <c r="AH101" s="185" t="n">
        <v>-0.1</v>
      </c>
      <c r="AI101" s="223" t="n">
        <v>1.51455859375729</v>
      </c>
      <c r="AJ101" s="37" t="n">
        <v>0.0570290631596633</v>
      </c>
      <c r="AK101" s="37" t="n">
        <v>0.0573438993728339</v>
      </c>
      <c r="AL101" s="39" t="n">
        <v>0.743864389864808</v>
      </c>
      <c r="AM101" s="149" t="n">
        <v>0.742667240777698</v>
      </c>
      <c r="AN101" s="129" t="n">
        <v>0.125</v>
      </c>
      <c r="AO101" s="150" t="n">
        <v>0.12</v>
      </c>
      <c r="AP101" s="22"/>
      <c r="AQ101" s="129" t="n">
        <v>-3.55336816110338</v>
      </c>
      <c r="AR101" s="151" t="n">
        <v>-3.00336816110338</v>
      </c>
      <c r="AS101" s="22"/>
      <c r="AT101" s="5" t="n">
        <v>0.0075</v>
      </c>
      <c r="AU101" s="22"/>
      <c r="AV101" s="129" t="n">
        <v>0.0025</v>
      </c>
      <c r="AW101" s="187"/>
      <c r="AX101" s="39" t="n">
        <v>-0.105</v>
      </c>
      <c r="AY101" s="39"/>
      <c r="AZ101" s="243" t="n">
        <v>0.6</v>
      </c>
      <c r="BA101" s="243" t="n">
        <v>0.6</v>
      </c>
      <c r="BB101" s="194" t="n">
        <v>-0.55</v>
      </c>
      <c r="BC101" s="190"/>
      <c r="BD101" s="39"/>
      <c r="BE101" s="22"/>
      <c r="BF101" s="96"/>
      <c r="BG101" s="22"/>
      <c r="BH101" s="71"/>
      <c r="BI101" s="71"/>
      <c r="BJ101" s="22"/>
      <c r="BK101" s="96"/>
      <c r="BL101" s="22"/>
      <c r="BM101" s="22"/>
      <c r="BN101" s="39"/>
      <c r="BO101" s="39"/>
      <c r="BP101" s="71"/>
      <c r="BQ101" s="22"/>
      <c r="BR101" s="71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</row>
    <row r="102" customFormat="false" ht="12.75" hidden="false" customHeight="false" outlineLevel="0" collapsed="false">
      <c r="A102" s="216" t="n">
        <v>39022</v>
      </c>
      <c r="B102" s="217" t="n">
        <v>3.733</v>
      </c>
      <c r="C102" s="225" t="n">
        <v>-0.49</v>
      </c>
      <c r="D102" s="133" t="n">
        <v>-0.392449800743262</v>
      </c>
      <c r="E102" s="133" t="n">
        <v>-0.11</v>
      </c>
      <c r="F102" s="226" t="n">
        <v>0.23</v>
      </c>
      <c r="G102" s="227" t="n">
        <v>0.38</v>
      </c>
      <c r="H102" s="227" t="n">
        <v>0.38</v>
      </c>
      <c r="I102" s="228" t="n">
        <v>0.53</v>
      </c>
      <c r="J102" s="227" t="n">
        <v>0.14</v>
      </c>
      <c r="K102" s="227" t="n">
        <v>0.18</v>
      </c>
      <c r="L102" s="227" t="n">
        <v>0.73</v>
      </c>
      <c r="M102" s="226" t="n">
        <v>-0.15</v>
      </c>
      <c r="N102" s="227" t="n">
        <v>0.25</v>
      </c>
      <c r="O102" s="228" t="n">
        <v>0.17</v>
      </c>
      <c r="P102" s="183" t="n">
        <v>0.248</v>
      </c>
      <c r="Q102" s="160" t="n">
        <v>0.2675</v>
      </c>
      <c r="R102" s="232" t="n">
        <v>0.255</v>
      </c>
      <c r="S102" s="139" t="n">
        <v>0.255</v>
      </c>
      <c r="T102" s="56" t="n">
        <v>0.8</v>
      </c>
      <c r="U102" s="248" t="n">
        <v>0.255</v>
      </c>
      <c r="V102" s="12" t="n">
        <v>3.243</v>
      </c>
      <c r="W102" s="12" t="n">
        <v>3.34055019925674</v>
      </c>
      <c r="X102" s="142" t="n">
        <v>3.623</v>
      </c>
      <c r="Y102" s="180"/>
      <c r="Z102" s="221" t="n">
        <v>0.14</v>
      </c>
      <c r="AA102" s="237" t="n">
        <v>0.54536023919321</v>
      </c>
      <c r="AB102" s="242" t="n">
        <v>4.65421909395679</v>
      </c>
      <c r="AC102" s="90" t="n">
        <v>4.79421909395679</v>
      </c>
      <c r="AD102" s="142" t="n">
        <v>5.19957933315</v>
      </c>
      <c r="AE102" s="182" t="n">
        <v>3.981</v>
      </c>
      <c r="AF102" s="78" t="n">
        <v>3.583</v>
      </c>
      <c r="AG102" s="147" t="n">
        <v>3.903</v>
      </c>
      <c r="AH102" s="185" t="n">
        <v>-0.1</v>
      </c>
      <c r="AI102" s="223" t="n">
        <v>1.51417261190061</v>
      </c>
      <c r="AJ102" s="37" t="n">
        <v>0.0571056088379449</v>
      </c>
      <c r="AK102" s="37" t="n">
        <v>0.0574644955132833</v>
      </c>
      <c r="AL102" s="39" t="n">
        <v>0.740028193608498</v>
      </c>
      <c r="AM102" s="149" t="n">
        <v>0.738648927354165</v>
      </c>
      <c r="AN102" s="129" t="n">
        <v>0.38</v>
      </c>
      <c r="AO102" s="150" t="n">
        <v>0.124</v>
      </c>
      <c r="AP102" s="22"/>
      <c r="AQ102" s="129" t="n">
        <v>-3.38273984323715</v>
      </c>
      <c r="AR102" s="151" t="n">
        <v>-2.89273984323715</v>
      </c>
      <c r="AS102" s="22"/>
      <c r="AT102" s="5" t="n">
        <v>0.0075</v>
      </c>
      <c r="AU102" s="22"/>
      <c r="AV102" s="129" t="n">
        <v>0.008</v>
      </c>
      <c r="AW102" s="187"/>
      <c r="AX102" s="39" t="n">
        <v>0.005</v>
      </c>
      <c r="AY102" s="39"/>
      <c r="AZ102" s="243" t="n">
        <v>0.8</v>
      </c>
      <c r="BA102" s="243" t="n">
        <v>0.8</v>
      </c>
      <c r="BB102" s="194" t="n">
        <v>-0.49</v>
      </c>
      <c r="BC102" s="190"/>
      <c r="BD102" s="39"/>
      <c r="BE102" s="22"/>
      <c r="BF102" s="96"/>
      <c r="BG102" s="22"/>
      <c r="BH102" s="71"/>
      <c r="BI102" s="71"/>
      <c r="BJ102" s="22"/>
      <c r="BK102" s="96"/>
      <c r="BL102" s="22"/>
      <c r="BM102" s="22"/>
      <c r="BN102" s="39"/>
      <c r="BO102" s="39"/>
      <c r="BP102" s="71"/>
      <c r="BQ102" s="22"/>
      <c r="BR102" s="71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</row>
    <row r="103" customFormat="false" ht="12.75" hidden="false" customHeight="false" outlineLevel="0" collapsed="false">
      <c r="A103" s="224" t="n">
        <v>39052</v>
      </c>
      <c r="B103" s="217" t="n">
        <v>3.873</v>
      </c>
      <c r="C103" s="247" t="n">
        <v>-0.49</v>
      </c>
      <c r="D103" s="133" t="n">
        <v>-0.392425063169794</v>
      </c>
      <c r="E103" s="133" t="n">
        <v>-0.11</v>
      </c>
      <c r="F103" s="226" t="n">
        <v>0.23</v>
      </c>
      <c r="G103" s="227" t="n">
        <v>0.38</v>
      </c>
      <c r="H103" s="227" t="n">
        <v>0.38</v>
      </c>
      <c r="I103" s="228" t="n">
        <v>0.53</v>
      </c>
      <c r="J103" s="227" t="n">
        <v>0.14</v>
      </c>
      <c r="K103" s="227" t="n">
        <v>0.18</v>
      </c>
      <c r="L103" s="227" t="n">
        <v>1.14</v>
      </c>
      <c r="M103" s="226" t="n">
        <v>-0.15</v>
      </c>
      <c r="N103" s="227" t="n">
        <v>0.25</v>
      </c>
      <c r="O103" s="228" t="n">
        <v>0.17</v>
      </c>
      <c r="P103" s="183" t="n">
        <v>0.308</v>
      </c>
      <c r="Q103" s="160" t="n">
        <v>0.2725</v>
      </c>
      <c r="R103" s="232" t="n">
        <v>0.26</v>
      </c>
      <c r="S103" s="139" t="n">
        <v>0.26</v>
      </c>
      <c r="T103" s="56" t="n">
        <v>1</v>
      </c>
      <c r="U103" s="248" t="n">
        <v>0.26</v>
      </c>
      <c r="V103" s="12" t="n">
        <v>3.383</v>
      </c>
      <c r="W103" s="12" t="n">
        <v>3.48057493683021</v>
      </c>
      <c r="X103" s="142" t="n">
        <v>3.763</v>
      </c>
      <c r="Y103" s="62" t="s">
        <v>79</v>
      </c>
      <c r="Z103" s="221" t="n">
        <v>0.14</v>
      </c>
      <c r="AA103" s="237" t="n">
        <v>0.545221977366739</v>
      </c>
      <c r="AB103" s="242" t="n">
        <v>4.85391039324126</v>
      </c>
      <c r="AC103" s="90" t="n">
        <v>4.99391039324126</v>
      </c>
      <c r="AD103" s="142" t="n">
        <v>5.399132370608</v>
      </c>
      <c r="AE103" s="182" t="n">
        <v>4.181</v>
      </c>
      <c r="AF103" s="78" t="n">
        <v>3.723</v>
      </c>
      <c r="AG103" s="147" t="n">
        <v>4.043</v>
      </c>
      <c r="AH103" s="185" t="n">
        <v>-0.1</v>
      </c>
      <c r="AI103" s="223" t="n">
        <v>1.51378873303327</v>
      </c>
      <c r="AJ103" s="37" t="n">
        <v>0.0571796853026552</v>
      </c>
      <c r="AK103" s="37" t="n">
        <v>0.0575812014602604</v>
      </c>
      <c r="AL103" s="39" t="n">
        <v>0.736325737189734</v>
      </c>
      <c r="AM103" s="149" t="n">
        <v>0.734767043375239</v>
      </c>
      <c r="AN103" s="129" t="n">
        <v>0.38</v>
      </c>
      <c r="AO103" s="150" t="n">
        <v>0.12</v>
      </c>
      <c r="AP103" s="22"/>
      <c r="AQ103" s="129" t="n">
        <v>-3.52274007188486</v>
      </c>
      <c r="AR103" s="151" t="n">
        <v>-3.03274007188486</v>
      </c>
      <c r="AS103" s="22"/>
      <c r="AT103" s="5" t="n">
        <v>0.0075</v>
      </c>
      <c r="AU103" s="22"/>
      <c r="AV103" s="129" t="n">
        <v>0.008</v>
      </c>
      <c r="AW103" s="187"/>
      <c r="AX103" s="39" t="n">
        <v>0.01</v>
      </c>
      <c r="AY103" s="39"/>
      <c r="AZ103" s="243" t="n">
        <v>1</v>
      </c>
      <c r="BA103" s="243" t="n">
        <v>1</v>
      </c>
      <c r="BB103" s="194" t="n">
        <v>-0.49</v>
      </c>
      <c r="BC103" s="190"/>
      <c r="BD103" s="39"/>
      <c r="BE103" s="22"/>
      <c r="BF103" s="96"/>
      <c r="BG103" s="22"/>
      <c r="BH103" s="71"/>
      <c r="BI103" s="71"/>
      <c r="BJ103" s="22"/>
      <c r="BK103" s="96"/>
      <c r="BL103" s="22"/>
      <c r="BM103" s="22"/>
      <c r="BN103" s="39"/>
      <c r="BO103" s="39"/>
      <c r="BP103" s="71"/>
      <c r="BQ103" s="22"/>
      <c r="BR103" s="71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</row>
    <row r="104" customFormat="false" ht="12.75" hidden="false" customHeight="false" outlineLevel="0" collapsed="false">
      <c r="A104" s="224" t="n">
        <v>39083</v>
      </c>
      <c r="B104" s="217" t="n">
        <v>3.953</v>
      </c>
      <c r="C104" s="247" t="n">
        <v>-0.49</v>
      </c>
      <c r="D104" s="133" t="n">
        <v>-0.392398798856934</v>
      </c>
      <c r="E104" s="133" t="n">
        <v>-0.110000000000001</v>
      </c>
      <c r="F104" s="226" t="n">
        <v>0.23</v>
      </c>
      <c r="G104" s="227" t="n">
        <v>0.38</v>
      </c>
      <c r="H104" s="227" t="n">
        <v>0.38</v>
      </c>
      <c r="I104" s="228" t="n">
        <v>0.53</v>
      </c>
      <c r="J104" s="227" t="n">
        <v>0.14</v>
      </c>
      <c r="K104" s="227" t="n">
        <v>0.18</v>
      </c>
      <c r="L104" s="227" t="n">
        <v>1.63</v>
      </c>
      <c r="M104" s="226" t="n">
        <v>-0.15</v>
      </c>
      <c r="N104" s="227" t="n">
        <v>0.25</v>
      </c>
      <c r="O104" s="228" t="n">
        <v>0.17</v>
      </c>
      <c r="P104" s="183" t="n">
        <v>0.378</v>
      </c>
      <c r="Q104" s="160" t="n">
        <v>0.275</v>
      </c>
      <c r="R104" s="232" t="n">
        <v>0.2625</v>
      </c>
      <c r="S104" s="139" t="n">
        <v>0.2625</v>
      </c>
      <c r="T104" s="56" t="n">
        <v>1</v>
      </c>
      <c r="U104" s="248" t="n">
        <v>0.2625</v>
      </c>
      <c r="V104" s="12" t="n">
        <v>3.463</v>
      </c>
      <c r="W104" s="12" t="n">
        <v>3.56060120114307</v>
      </c>
      <c r="X104" s="142" t="n">
        <v>3.843</v>
      </c>
      <c r="Y104" s="180"/>
      <c r="Z104" s="221" t="n">
        <v>0.14</v>
      </c>
      <c r="AA104" s="237" t="n">
        <v>0.545075259084343</v>
      </c>
      <c r="AB104" s="242" t="n">
        <v>4.96735690055022</v>
      </c>
      <c r="AC104" s="90" t="n">
        <v>5.10735690055022</v>
      </c>
      <c r="AD104" s="142" t="n">
        <v>5.51243215963456</v>
      </c>
      <c r="AE104" s="182" t="n">
        <v>4.331</v>
      </c>
      <c r="AF104" s="78" t="n">
        <v>3.803</v>
      </c>
      <c r="AG104" s="147" t="n">
        <v>4.123</v>
      </c>
      <c r="AH104" s="185" t="n">
        <v>-0.1</v>
      </c>
      <c r="AI104" s="223" t="n">
        <v>1.51338137512761</v>
      </c>
      <c r="AJ104" s="37" t="n">
        <v>0.0572562309847733</v>
      </c>
      <c r="AK104" s="37" t="n">
        <v>0.0577017976102296</v>
      </c>
      <c r="AL104" s="39" t="n">
        <v>0.732510231611124</v>
      </c>
      <c r="AM104" s="149" t="n">
        <v>0.73076291470711</v>
      </c>
      <c r="AN104" s="129" t="n">
        <v>0.38</v>
      </c>
      <c r="AO104" s="150" t="n">
        <v>0.12</v>
      </c>
      <c r="AP104" s="22"/>
      <c r="AQ104" s="129" t="n">
        <v>-3.60274054134108</v>
      </c>
      <c r="AR104" s="151" t="n">
        <v>-3.11274054134108</v>
      </c>
      <c r="AS104" s="22"/>
      <c r="AT104" s="5" t="n">
        <v>0.0075</v>
      </c>
      <c r="AU104" s="22"/>
      <c r="AV104" s="129" t="n">
        <v>0.008</v>
      </c>
      <c r="AW104" s="187"/>
      <c r="AX104" s="39" t="n">
        <v>0.03</v>
      </c>
      <c r="AY104" s="39"/>
      <c r="AZ104" s="243" t="n">
        <v>1</v>
      </c>
      <c r="BA104" s="243" t="n">
        <v>1</v>
      </c>
      <c r="BB104" s="194" t="n">
        <v>-0.49</v>
      </c>
      <c r="BC104" s="190"/>
      <c r="BD104" s="39"/>
      <c r="BE104" s="22"/>
      <c r="BF104" s="96"/>
      <c r="BG104" s="22"/>
      <c r="BH104" s="71"/>
      <c r="BI104" s="71"/>
      <c r="BJ104" s="22"/>
      <c r="BK104" s="96"/>
      <c r="BL104" s="22"/>
      <c r="BM104" s="22"/>
      <c r="BN104" s="39"/>
      <c r="BO104" s="39"/>
      <c r="BP104" s="71"/>
      <c r="BQ104" s="22"/>
      <c r="BR104" s="71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</row>
    <row r="105" customFormat="false" ht="12.75" hidden="false" customHeight="false" outlineLevel="0" collapsed="false">
      <c r="A105" s="224" t="n">
        <v>39114</v>
      </c>
      <c r="B105" s="217" t="n">
        <v>3.835</v>
      </c>
      <c r="C105" s="247" t="n">
        <v>-0.49</v>
      </c>
      <c r="D105" s="133" t="n">
        <v>-0.39237182041361</v>
      </c>
      <c r="E105" s="133" t="n">
        <v>-0.11</v>
      </c>
      <c r="F105" s="226" t="n">
        <v>0.23</v>
      </c>
      <c r="G105" s="227" t="n">
        <v>0.38</v>
      </c>
      <c r="H105" s="227" t="n">
        <v>0.38</v>
      </c>
      <c r="I105" s="228" t="n">
        <v>0.53</v>
      </c>
      <c r="J105" s="227" t="n">
        <v>0.14</v>
      </c>
      <c r="K105" s="227" t="n">
        <v>0.18</v>
      </c>
      <c r="L105" s="227" t="n">
        <v>1.63</v>
      </c>
      <c r="M105" s="226" t="n">
        <v>-0.15</v>
      </c>
      <c r="N105" s="227" t="n">
        <v>0.25</v>
      </c>
      <c r="O105" s="228" t="n">
        <v>0.17</v>
      </c>
      <c r="P105" s="183" t="n">
        <v>0.248</v>
      </c>
      <c r="Q105" s="160" t="n">
        <v>0.2625</v>
      </c>
      <c r="R105" s="232" t="n">
        <v>0.25</v>
      </c>
      <c r="S105" s="139" t="n">
        <v>0.25</v>
      </c>
      <c r="T105" s="56" t="n">
        <v>1</v>
      </c>
      <c r="U105" s="248" t="n">
        <v>0.25</v>
      </c>
      <c r="V105" s="12" t="n">
        <v>3.345</v>
      </c>
      <c r="W105" s="12" t="n">
        <v>3.44262817958639</v>
      </c>
      <c r="X105" s="142" t="n">
        <v>3.725</v>
      </c>
      <c r="Y105" s="13"/>
      <c r="Z105" s="221" t="n">
        <v>0.14</v>
      </c>
      <c r="AA105" s="237" t="n">
        <v>0.544924633700907</v>
      </c>
      <c r="AB105" s="242" t="n">
        <v>4.79677078876192</v>
      </c>
      <c r="AC105" s="90" t="n">
        <v>4.93677078876192</v>
      </c>
      <c r="AD105" s="142" t="n">
        <v>5.34169542246283</v>
      </c>
      <c r="AE105" s="182" t="n">
        <v>4.083</v>
      </c>
      <c r="AF105" s="78" t="n">
        <v>3.685</v>
      </c>
      <c r="AG105" s="147" t="n">
        <v>4.005</v>
      </c>
      <c r="AH105" s="185" t="n">
        <v>-0.1</v>
      </c>
      <c r="AI105" s="223" t="n">
        <v>1.51296316929985</v>
      </c>
      <c r="AJ105" s="37" t="n">
        <v>0.0573327766688414</v>
      </c>
      <c r="AK105" s="37" t="n">
        <v>0.0578223937650368</v>
      </c>
      <c r="AL105" s="39" t="n">
        <v>0.728705303517186</v>
      </c>
      <c r="AM105" s="149" t="n">
        <v>0.726766173694774</v>
      </c>
      <c r="AN105" s="129" t="n">
        <v>0.38</v>
      </c>
      <c r="AO105" s="150" t="n">
        <v>0.133</v>
      </c>
      <c r="AP105" s="22"/>
      <c r="AQ105" s="129" t="n">
        <v>-3.48474124772184</v>
      </c>
      <c r="AR105" s="151" t="n">
        <v>-2.99474124772184</v>
      </c>
      <c r="AS105" s="22"/>
      <c r="AT105" s="5" t="n">
        <v>0.0075</v>
      </c>
      <c r="AU105" s="22"/>
      <c r="AV105" s="129" t="n">
        <v>0.008</v>
      </c>
      <c r="AW105" s="187"/>
      <c r="AX105" s="39" t="n">
        <v>0.025</v>
      </c>
      <c r="AY105" s="39"/>
      <c r="AZ105" s="243" t="n">
        <v>1</v>
      </c>
      <c r="BA105" s="243" t="n">
        <v>1</v>
      </c>
      <c r="BB105" s="194" t="n">
        <v>-0.49</v>
      </c>
      <c r="BC105" s="190"/>
      <c r="BD105" s="39"/>
      <c r="BE105" s="22"/>
      <c r="BF105" s="96"/>
      <c r="BG105" s="22"/>
      <c r="BH105" s="71"/>
      <c r="BI105" s="71"/>
      <c r="BJ105" s="22"/>
      <c r="BK105" s="96"/>
      <c r="BL105" s="22"/>
      <c r="BM105" s="22"/>
      <c r="BN105" s="39"/>
      <c r="BO105" s="39"/>
      <c r="BP105" s="71"/>
      <c r="BQ105" s="22"/>
      <c r="BR105" s="71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</row>
    <row r="106" customFormat="false" ht="12.75" hidden="false" customHeight="false" outlineLevel="0" collapsed="false">
      <c r="A106" s="224" t="n">
        <v>39142</v>
      </c>
      <c r="B106" s="217" t="n">
        <v>3.702</v>
      </c>
      <c r="C106" s="247" t="n">
        <v>-0.49</v>
      </c>
      <c r="D106" s="133" t="n">
        <v>-0.392346838572522</v>
      </c>
      <c r="E106" s="133" t="n">
        <v>-0.109999999999999</v>
      </c>
      <c r="F106" s="226" t="n">
        <v>0.23</v>
      </c>
      <c r="G106" s="227" t="n">
        <v>0.38</v>
      </c>
      <c r="H106" s="227" t="n">
        <v>0.38</v>
      </c>
      <c r="I106" s="228" t="n">
        <v>0.53</v>
      </c>
      <c r="J106" s="227" t="n">
        <v>0.14</v>
      </c>
      <c r="K106" s="227" t="n">
        <v>0.18</v>
      </c>
      <c r="L106" s="227" t="n">
        <v>0.72</v>
      </c>
      <c r="M106" s="226" t="n">
        <v>-0.15</v>
      </c>
      <c r="N106" s="227" t="n">
        <v>0.25</v>
      </c>
      <c r="O106" s="228" t="n">
        <v>0.17</v>
      </c>
      <c r="P106" s="183" t="n">
        <v>0.068</v>
      </c>
      <c r="Q106" s="160" t="n">
        <v>0.255</v>
      </c>
      <c r="R106" s="232" t="n">
        <v>0.2425</v>
      </c>
      <c r="S106" s="139" t="n">
        <v>0.2425</v>
      </c>
      <c r="T106" s="56" t="n">
        <v>0.75</v>
      </c>
      <c r="U106" s="248" t="n">
        <v>0.2425</v>
      </c>
      <c r="V106" s="12" t="n">
        <v>3.212</v>
      </c>
      <c r="W106" s="12" t="n">
        <v>3.30965316142748</v>
      </c>
      <c r="X106" s="142" t="n">
        <v>3.592</v>
      </c>
      <c r="Y106" s="13"/>
      <c r="Z106" s="221" t="n">
        <v>0.14</v>
      </c>
      <c r="AA106" s="237" t="n">
        <v>0.544785229913002</v>
      </c>
      <c r="AB106" s="242" t="n">
        <v>4.60486883810673</v>
      </c>
      <c r="AC106" s="90" t="n">
        <v>4.74486883810673</v>
      </c>
      <c r="AD106" s="142" t="n">
        <v>5.14965406801973</v>
      </c>
      <c r="AE106" s="182" t="n">
        <v>3.77</v>
      </c>
      <c r="AF106" s="78" t="n">
        <v>3.552</v>
      </c>
      <c r="AG106" s="147" t="n">
        <v>3.872</v>
      </c>
      <c r="AH106" s="185" t="n">
        <v>-0.1</v>
      </c>
      <c r="AI106" s="223" t="n">
        <v>1.51257611981866</v>
      </c>
      <c r="AJ106" s="37" t="n">
        <v>0.0574019147077389</v>
      </c>
      <c r="AK106" s="37" t="n">
        <v>0.0579313193283748</v>
      </c>
      <c r="AL106" s="39" t="n">
        <v>0.725277720232333</v>
      </c>
      <c r="AM106" s="149" t="n">
        <v>0.723162663058635</v>
      </c>
      <c r="AN106" s="129" t="n">
        <v>0.38</v>
      </c>
      <c r="AO106" s="150" t="n">
        <v>0.12</v>
      </c>
      <c r="AP106" s="22"/>
      <c r="AQ106" s="129" t="n">
        <v>-3.35174208931301</v>
      </c>
      <c r="AR106" s="151" t="n">
        <v>-2.86174208931301</v>
      </c>
      <c r="AS106" s="22"/>
      <c r="AT106" s="5" t="n">
        <v>0.0075</v>
      </c>
      <c r="AU106" s="22"/>
      <c r="AV106" s="129" t="n">
        <v>0.008</v>
      </c>
      <c r="AW106" s="187"/>
      <c r="AX106" s="39" t="n">
        <v>0.005</v>
      </c>
      <c r="AY106" s="39"/>
      <c r="AZ106" s="243" t="n">
        <v>0.75</v>
      </c>
      <c r="BA106" s="243" t="n">
        <v>0.75</v>
      </c>
      <c r="BB106" s="194" t="n">
        <v>-0.49</v>
      </c>
      <c r="BC106" s="190"/>
      <c r="BD106" s="39"/>
      <c r="BE106" s="22"/>
      <c r="BF106" s="96"/>
      <c r="BG106" s="22"/>
      <c r="BH106" s="71"/>
      <c r="BI106" s="71"/>
      <c r="BJ106" s="22"/>
      <c r="BK106" s="96"/>
      <c r="BL106" s="22"/>
      <c r="BM106" s="22"/>
      <c r="BN106" s="39"/>
      <c r="BO106" s="39"/>
      <c r="BP106" s="71"/>
      <c r="BQ106" s="22"/>
      <c r="BR106" s="71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</row>
    <row r="107" customFormat="false" ht="12.75" hidden="false" customHeight="false" outlineLevel="0" collapsed="false">
      <c r="A107" s="224" t="n">
        <v>39173</v>
      </c>
      <c r="B107" s="217" t="n">
        <v>3.482</v>
      </c>
      <c r="C107" s="239" t="n">
        <v>-0.55</v>
      </c>
      <c r="D107" s="133" t="n">
        <v>-0.452318499620164</v>
      </c>
      <c r="E107" s="133" t="n">
        <v>-0.480227499728688</v>
      </c>
      <c r="F107" s="226" t="n">
        <v>0.135</v>
      </c>
      <c r="G107" s="227" t="n">
        <v>0.135</v>
      </c>
      <c r="H107" s="227" t="n">
        <v>0.17</v>
      </c>
      <c r="I107" s="228" t="n">
        <v>0.13</v>
      </c>
      <c r="J107" s="227" t="n">
        <v>0.04</v>
      </c>
      <c r="K107" s="227" t="n">
        <v>0.105</v>
      </c>
      <c r="L107" s="227" t="n">
        <v>0.48</v>
      </c>
      <c r="M107" s="226" t="n">
        <v>-0.22</v>
      </c>
      <c r="N107" s="227" t="n">
        <v>0.25</v>
      </c>
      <c r="O107" s="228" t="n">
        <v>-0.23</v>
      </c>
      <c r="P107" s="240" t="n">
        <v>-0.25</v>
      </c>
      <c r="Q107" s="160" t="n">
        <v>0.255</v>
      </c>
      <c r="R107" s="232" t="n">
        <v>0.2425</v>
      </c>
      <c r="S107" s="139" t="n">
        <v>0.2425</v>
      </c>
      <c r="T107" s="56" t="n">
        <v>0.4</v>
      </c>
      <c r="U107" s="248" t="n">
        <v>0.2425</v>
      </c>
      <c r="V107" s="12" t="n">
        <v>2.932</v>
      </c>
      <c r="W107" s="12" t="n">
        <v>3.02968150037984</v>
      </c>
      <c r="X107" s="142" t="n">
        <v>3.00177250027131</v>
      </c>
      <c r="Y107" s="13"/>
      <c r="Z107" s="221" t="n">
        <v>0.14</v>
      </c>
      <c r="AA107" s="237" t="n">
        <v>0.1</v>
      </c>
      <c r="AB107" s="242" t="n">
        <v>4.2022286554142</v>
      </c>
      <c r="AC107" s="90" t="n">
        <v>4.3422286554142</v>
      </c>
      <c r="AD107" s="142" t="n">
        <v>4.3022286554142</v>
      </c>
      <c r="AE107" s="182" t="n">
        <v>3.232</v>
      </c>
      <c r="AF107" s="78" t="n">
        <v>3.262</v>
      </c>
      <c r="AG107" s="147" t="n">
        <v>3.252</v>
      </c>
      <c r="AH107" s="185" t="n">
        <v>-0.1</v>
      </c>
      <c r="AI107" s="223" t="n">
        <v>1.51213729749887</v>
      </c>
      <c r="AJ107" s="37" t="n">
        <v>0.057478460395517</v>
      </c>
      <c r="AK107" s="37" t="n">
        <v>0.0580519154923884</v>
      </c>
      <c r="AL107" s="39" t="n">
        <v>0.721493037135411</v>
      </c>
      <c r="AM107" s="149" t="n">
        <v>0.719180310704148</v>
      </c>
      <c r="AN107" s="129" t="n">
        <v>0.135</v>
      </c>
      <c r="AO107" s="150" t="n">
        <v>0.124</v>
      </c>
      <c r="AP107" s="22"/>
      <c r="AQ107" s="129" t="n">
        <v>-3.44225666374711</v>
      </c>
      <c r="AR107" s="151" t="n">
        <v>-2.89225666374711</v>
      </c>
      <c r="AS107" s="22"/>
      <c r="AT107" s="5" t="n">
        <v>0.0075</v>
      </c>
      <c r="AU107" s="22"/>
      <c r="AV107" s="129" t="n">
        <v>0.0025</v>
      </c>
      <c r="AW107" s="187"/>
      <c r="AX107" s="39" t="n">
        <v>-0.105</v>
      </c>
      <c r="AY107" s="39"/>
      <c r="AZ107" s="243" t="n">
        <v>0.4</v>
      </c>
      <c r="BA107" s="243" t="n">
        <v>0.4</v>
      </c>
      <c r="BB107" s="194" t="n">
        <v>-0.55</v>
      </c>
      <c r="BC107" s="190"/>
      <c r="BD107" s="39"/>
      <c r="BE107" s="22"/>
      <c r="BF107" s="96"/>
      <c r="BG107" s="22"/>
      <c r="BH107" s="71"/>
      <c r="BI107" s="71"/>
      <c r="BJ107" s="22"/>
      <c r="BK107" s="96"/>
      <c r="BL107" s="22"/>
      <c r="BM107" s="22"/>
      <c r="BN107" s="39"/>
      <c r="BO107" s="39"/>
      <c r="BP107" s="71"/>
      <c r="BQ107" s="22"/>
      <c r="BR107" s="71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</row>
    <row r="108" customFormat="false" ht="12.75" hidden="false" customHeight="false" outlineLevel="0" collapsed="false">
      <c r="A108" s="224" t="n">
        <v>39203</v>
      </c>
      <c r="B108" s="217" t="n">
        <v>3.472</v>
      </c>
      <c r="C108" s="244" t="n">
        <v>-0.55</v>
      </c>
      <c r="D108" s="133" t="n">
        <v>-0.452290393499336</v>
      </c>
      <c r="E108" s="133" t="n">
        <v>-0.480207423928098</v>
      </c>
      <c r="F108" s="226" t="n">
        <v>0.135</v>
      </c>
      <c r="G108" s="227" t="n">
        <v>0.135</v>
      </c>
      <c r="H108" s="227" t="n">
        <v>0.17</v>
      </c>
      <c r="I108" s="228" t="n">
        <v>0.13</v>
      </c>
      <c r="J108" s="227" t="n">
        <v>0.04</v>
      </c>
      <c r="K108" s="227" t="n">
        <v>0.105</v>
      </c>
      <c r="L108" s="227" t="n">
        <v>0.42</v>
      </c>
      <c r="M108" s="226" t="n">
        <v>-0.27</v>
      </c>
      <c r="N108" s="227" t="n">
        <v>0.25</v>
      </c>
      <c r="O108" s="228" t="n">
        <v>-0.23</v>
      </c>
      <c r="P108" s="183" t="n">
        <v>-0.25</v>
      </c>
      <c r="Q108" s="160" t="n">
        <v>0.255</v>
      </c>
      <c r="R108" s="232" t="n">
        <v>0.2425</v>
      </c>
      <c r="S108" s="139" t="n">
        <v>0.2425</v>
      </c>
      <c r="T108" s="56" t="n">
        <v>0.45</v>
      </c>
      <c r="U108" s="248" t="n">
        <v>0.2425</v>
      </c>
      <c r="V108" s="12" t="n">
        <v>2.922</v>
      </c>
      <c r="W108" s="12" t="n">
        <v>3.01970960650066</v>
      </c>
      <c r="X108" s="142" t="n">
        <v>2.9917925760719</v>
      </c>
      <c r="Y108" s="13"/>
      <c r="Z108" s="221" t="n">
        <v>0.14</v>
      </c>
      <c r="AA108" s="237" t="n">
        <v>0.1</v>
      </c>
      <c r="AB108" s="242" t="n">
        <v>4.18669171487474</v>
      </c>
      <c r="AC108" s="90" t="n">
        <v>4.32669171487474</v>
      </c>
      <c r="AD108" s="142" t="n">
        <v>4.28669171487474</v>
      </c>
      <c r="AE108" s="182" t="n">
        <v>3.222</v>
      </c>
      <c r="AF108" s="78" t="n">
        <v>3.202</v>
      </c>
      <c r="AG108" s="147" t="n">
        <v>3.242</v>
      </c>
      <c r="AH108" s="185" t="n">
        <v>-0.1</v>
      </c>
      <c r="AI108" s="223" t="n">
        <v>1.51170233194007</v>
      </c>
      <c r="AJ108" s="37" t="n">
        <v>0.0575525368694154</v>
      </c>
      <c r="AK108" s="37" t="n">
        <v>0.0581686214621682</v>
      </c>
      <c r="AL108" s="39" t="n">
        <v>0.71784062395464</v>
      </c>
      <c r="AM108" s="149" t="n">
        <v>0.715333780615386</v>
      </c>
      <c r="AN108" s="129" t="n">
        <v>0.135</v>
      </c>
      <c r="AO108" s="150" t="n">
        <v>0.12</v>
      </c>
      <c r="AP108" s="22"/>
      <c r="AQ108" s="129" t="n">
        <v>-3.43223659633795</v>
      </c>
      <c r="AR108" s="151" t="n">
        <v>-2.88223659633795</v>
      </c>
      <c r="AS108" s="22"/>
      <c r="AT108" s="5" t="n">
        <v>0.0075</v>
      </c>
      <c r="AU108" s="22"/>
      <c r="AV108" s="129" t="n">
        <v>0.0025</v>
      </c>
      <c r="AW108" s="187"/>
      <c r="AX108" s="39" t="n">
        <v>-0.105</v>
      </c>
      <c r="AY108" s="39"/>
      <c r="AZ108" s="243" t="n">
        <v>0.45</v>
      </c>
      <c r="BA108" s="243" t="n">
        <v>0.45</v>
      </c>
      <c r="BB108" s="194" t="n">
        <v>-0.55</v>
      </c>
      <c r="BC108" s="190"/>
      <c r="BD108" s="39"/>
      <c r="BE108" s="22"/>
      <c r="BF108" s="96"/>
      <c r="BG108" s="22"/>
      <c r="BH108" s="71"/>
      <c r="BI108" s="71"/>
      <c r="BJ108" s="22"/>
      <c r="BK108" s="96"/>
      <c r="BL108" s="22"/>
      <c r="BM108" s="22"/>
      <c r="BN108" s="39"/>
      <c r="BO108" s="39"/>
      <c r="BP108" s="71"/>
      <c r="BQ108" s="22"/>
      <c r="BR108" s="71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</row>
    <row r="109" customFormat="false" ht="12.75" hidden="false" customHeight="false" outlineLevel="0" collapsed="false">
      <c r="A109" s="224" t="n">
        <v>39234</v>
      </c>
      <c r="B109" s="217" t="n">
        <v>3.508</v>
      </c>
      <c r="C109" s="244" t="n">
        <v>-0.55</v>
      </c>
      <c r="D109" s="133" t="n">
        <v>-0.452260645951117</v>
      </c>
      <c r="E109" s="133" t="n">
        <v>-0.480186175679369</v>
      </c>
      <c r="F109" s="226" t="n">
        <v>0.135</v>
      </c>
      <c r="G109" s="227" t="n">
        <v>0.135</v>
      </c>
      <c r="H109" s="227" t="n">
        <v>0.17</v>
      </c>
      <c r="I109" s="228" t="n">
        <v>0.13</v>
      </c>
      <c r="J109" s="227" t="n">
        <v>0.04</v>
      </c>
      <c r="K109" s="227" t="n">
        <v>0.105</v>
      </c>
      <c r="L109" s="227" t="n">
        <v>0.42</v>
      </c>
      <c r="M109" s="226" t="n">
        <v>-0.27</v>
      </c>
      <c r="N109" s="227" t="n">
        <v>0.25</v>
      </c>
      <c r="O109" s="228" t="n">
        <v>-0.23</v>
      </c>
      <c r="P109" s="183" t="n">
        <v>-0.25</v>
      </c>
      <c r="Q109" s="160" t="n">
        <v>0.245</v>
      </c>
      <c r="R109" s="232" t="n">
        <v>0.2325</v>
      </c>
      <c r="S109" s="139" t="n">
        <v>0.2325</v>
      </c>
      <c r="T109" s="56" t="n">
        <v>0.45</v>
      </c>
      <c r="U109" s="248" t="n">
        <v>0.2325</v>
      </c>
      <c r="V109" s="12" t="n">
        <v>2.958</v>
      </c>
      <c r="W109" s="12" t="n">
        <v>3.05573935404888</v>
      </c>
      <c r="X109" s="142" t="n">
        <v>3.02781382432063</v>
      </c>
      <c r="Y109" s="62" t="s">
        <v>88</v>
      </c>
      <c r="Z109" s="221" t="n">
        <v>0.14</v>
      </c>
      <c r="AA109" s="237" t="n">
        <v>0.1</v>
      </c>
      <c r="AB109" s="242" t="n">
        <v>4.23698318890956</v>
      </c>
      <c r="AC109" s="90" t="n">
        <v>4.37698318890956</v>
      </c>
      <c r="AD109" s="142" t="n">
        <v>4.33698318890956</v>
      </c>
      <c r="AE109" s="182" t="n">
        <v>3.258</v>
      </c>
      <c r="AF109" s="78" t="n">
        <v>3.238</v>
      </c>
      <c r="AG109" s="147" t="n">
        <v>3.278</v>
      </c>
      <c r="AH109" s="185" t="n">
        <v>-0.1</v>
      </c>
      <c r="AI109" s="223" t="n">
        <v>1.5112422364294</v>
      </c>
      <c r="AJ109" s="37" t="n">
        <v>0.0576290825610286</v>
      </c>
      <c r="AK109" s="37" t="n">
        <v>0.058289217635699</v>
      </c>
      <c r="AL109" s="39" t="n">
        <v>0.714077024950926</v>
      </c>
      <c r="AM109" s="149" t="n">
        <v>0.711366750276654</v>
      </c>
      <c r="AN109" s="129" t="n">
        <v>0.135</v>
      </c>
      <c r="AO109" s="150" t="n">
        <v>0.124</v>
      </c>
      <c r="AP109" s="22"/>
      <c r="AQ109" s="129" t="n">
        <v>-3.46821535697072</v>
      </c>
      <c r="AR109" s="151" t="n">
        <v>-2.91821535697072</v>
      </c>
      <c r="AS109" s="22"/>
      <c r="AT109" s="5" t="n">
        <v>0.0075</v>
      </c>
      <c r="AU109" s="22"/>
      <c r="AV109" s="129" t="n">
        <v>0.0025</v>
      </c>
      <c r="AW109" s="187"/>
      <c r="AX109" s="39" t="n">
        <v>-0.105</v>
      </c>
      <c r="AY109" s="39"/>
      <c r="AZ109" s="243" t="n">
        <v>0.45</v>
      </c>
      <c r="BA109" s="243" t="n">
        <v>0.45</v>
      </c>
      <c r="BB109" s="194" t="n">
        <v>-0.55</v>
      </c>
      <c r="BC109" s="190"/>
      <c r="BD109" s="39"/>
      <c r="BE109" s="22"/>
      <c r="BF109" s="96"/>
      <c r="BG109" s="22"/>
      <c r="BH109" s="71"/>
      <c r="BI109" s="71"/>
      <c r="BJ109" s="22"/>
      <c r="BK109" s="96"/>
      <c r="BL109" s="22"/>
      <c r="BM109" s="22"/>
      <c r="BN109" s="39"/>
      <c r="BO109" s="39"/>
      <c r="BP109" s="71"/>
      <c r="BQ109" s="22"/>
      <c r="BR109" s="71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</row>
    <row r="110" customFormat="false" ht="12.75" hidden="false" customHeight="false" outlineLevel="0" collapsed="false">
      <c r="A110" s="224" t="n">
        <v>39264</v>
      </c>
      <c r="B110" s="217" t="n">
        <v>3.55</v>
      </c>
      <c r="C110" s="244" t="n">
        <v>-0.55</v>
      </c>
      <c r="D110" s="133" t="n">
        <v>-0.45223117566243</v>
      </c>
      <c r="E110" s="133" t="n">
        <v>-0.480165125473164</v>
      </c>
      <c r="F110" s="226" t="n">
        <v>0.135</v>
      </c>
      <c r="G110" s="227" t="n">
        <v>0.135</v>
      </c>
      <c r="H110" s="227" t="n">
        <v>0.17</v>
      </c>
      <c r="I110" s="228" t="n">
        <v>0.13</v>
      </c>
      <c r="J110" s="227" t="n">
        <v>0.04</v>
      </c>
      <c r="K110" s="227" t="n">
        <v>0.105</v>
      </c>
      <c r="L110" s="227" t="n">
        <v>0.48</v>
      </c>
      <c r="M110" s="226" t="n">
        <v>-0.27</v>
      </c>
      <c r="N110" s="227" t="n">
        <v>0.25</v>
      </c>
      <c r="O110" s="228" t="n">
        <v>-0.23</v>
      </c>
      <c r="P110" s="183" t="n">
        <v>-0.25</v>
      </c>
      <c r="Q110" s="160" t="n">
        <v>0.245</v>
      </c>
      <c r="R110" s="232" t="n">
        <v>0.2325</v>
      </c>
      <c r="S110" s="139" t="n">
        <v>0.2325</v>
      </c>
      <c r="T110" s="56" t="n">
        <v>0.5</v>
      </c>
      <c r="U110" s="248" t="n">
        <v>0.2325</v>
      </c>
      <c r="V110" s="12" t="n">
        <v>3</v>
      </c>
      <c r="W110" s="12" t="n">
        <v>3.09776882433757</v>
      </c>
      <c r="X110" s="142" t="n">
        <v>3.06983487452684</v>
      </c>
      <c r="Y110" s="180" t="n">
        <v>4.48606933438833</v>
      </c>
      <c r="Z110" s="221" t="n">
        <v>0.14</v>
      </c>
      <c r="AA110" s="237" t="n">
        <v>0.1</v>
      </c>
      <c r="AB110" s="242" t="n">
        <v>4.29584791313282</v>
      </c>
      <c r="AC110" s="90" t="n">
        <v>4.43584791313282</v>
      </c>
      <c r="AD110" s="142" t="n">
        <v>4.39584791313282</v>
      </c>
      <c r="AE110" s="182" t="n">
        <v>3.3</v>
      </c>
      <c r="AF110" s="78" t="n">
        <v>3.28</v>
      </c>
      <c r="AG110" s="147" t="n">
        <v>3.32</v>
      </c>
      <c r="AH110" s="185" t="n">
        <v>-0.1</v>
      </c>
      <c r="AI110" s="223" t="n">
        <v>1.51078670527942</v>
      </c>
      <c r="AJ110" s="37" t="n">
        <v>0.0577031590386388</v>
      </c>
      <c r="AK110" s="37" t="n">
        <v>0.0584059236146883</v>
      </c>
      <c r="AL110" s="39" t="n">
        <v>0.710445089221983</v>
      </c>
      <c r="AM110" s="149" t="n">
        <v>0.707535264092039</v>
      </c>
      <c r="AN110" s="129" t="n">
        <v>0.135</v>
      </c>
      <c r="AO110" s="150" t="n">
        <v>0.12</v>
      </c>
      <c r="AP110" s="22"/>
      <c r="AQ110" s="129" t="n">
        <v>-3.51019431556323</v>
      </c>
      <c r="AR110" s="151" t="n">
        <v>-2.96019431556323</v>
      </c>
      <c r="AS110" s="22"/>
      <c r="AT110" s="5" t="n">
        <v>0.0075</v>
      </c>
      <c r="AU110" s="22"/>
      <c r="AV110" s="129" t="n">
        <v>0.0025</v>
      </c>
      <c r="AW110" s="187"/>
      <c r="AX110" s="39" t="n">
        <v>-0.105</v>
      </c>
      <c r="AY110" s="39"/>
      <c r="AZ110" s="243" t="n">
        <v>0.5</v>
      </c>
      <c r="BA110" s="243" t="n">
        <v>0.5</v>
      </c>
      <c r="BB110" s="194" t="n">
        <v>-0.55</v>
      </c>
      <c r="BC110" s="190"/>
      <c r="BD110" s="39"/>
      <c r="BE110" s="22"/>
      <c r="BF110" s="96"/>
      <c r="BG110" s="22"/>
      <c r="BH110" s="71"/>
      <c r="BI110" s="71"/>
      <c r="BJ110" s="22"/>
      <c r="BK110" s="96"/>
      <c r="BL110" s="22"/>
      <c r="BM110" s="22"/>
      <c r="BN110" s="39"/>
      <c r="BO110" s="39"/>
      <c r="BP110" s="71"/>
      <c r="BQ110" s="22"/>
      <c r="BR110" s="71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</row>
    <row r="111" customFormat="false" ht="12.75" hidden="false" customHeight="false" outlineLevel="0" collapsed="false">
      <c r="A111" s="224" t="n">
        <v>39295</v>
      </c>
      <c r="B111" s="217" t="n">
        <v>3.599</v>
      </c>
      <c r="C111" s="244" t="n">
        <v>-0.55</v>
      </c>
      <c r="D111" s="133" t="n">
        <v>-0.452200017399862</v>
      </c>
      <c r="E111" s="133" t="n">
        <v>-0.48014286957133</v>
      </c>
      <c r="F111" s="226" t="n">
        <v>0.135</v>
      </c>
      <c r="G111" s="227" t="n">
        <v>0.135</v>
      </c>
      <c r="H111" s="227" t="n">
        <v>0.17</v>
      </c>
      <c r="I111" s="228" t="n">
        <v>0.13</v>
      </c>
      <c r="J111" s="227" t="n">
        <v>0.04</v>
      </c>
      <c r="K111" s="227" t="n">
        <v>0.105</v>
      </c>
      <c r="L111" s="227" t="n">
        <v>0.48</v>
      </c>
      <c r="M111" s="226" t="n">
        <v>-0.27</v>
      </c>
      <c r="N111" s="227" t="n">
        <v>0.25</v>
      </c>
      <c r="O111" s="228" t="n">
        <v>-0.23</v>
      </c>
      <c r="P111" s="183" t="n">
        <v>-0.25</v>
      </c>
      <c r="Q111" s="160" t="n">
        <v>0.245</v>
      </c>
      <c r="R111" s="232" t="n">
        <v>0.2325</v>
      </c>
      <c r="S111" s="139" t="n">
        <v>0.2325</v>
      </c>
      <c r="T111" s="56" t="n">
        <v>0.55</v>
      </c>
      <c r="U111" s="248" t="n">
        <v>0.2325</v>
      </c>
      <c r="V111" s="12" t="n">
        <v>3.049</v>
      </c>
      <c r="W111" s="12" t="n">
        <v>3.14679998260014</v>
      </c>
      <c r="X111" s="142" t="n">
        <v>3.11885713042867</v>
      </c>
      <c r="Y111" s="180" t="n">
        <v>4.84060813307477</v>
      </c>
      <c r="Z111" s="221" t="n">
        <v>0.14</v>
      </c>
      <c r="AA111" s="237" t="n">
        <v>0.1</v>
      </c>
      <c r="AB111" s="242" t="n">
        <v>4.36462245341336</v>
      </c>
      <c r="AC111" s="90" t="n">
        <v>4.50462245341336</v>
      </c>
      <c r="AD111" s="142" t="n">
        <v>4.46462245341336</v>
      </c>
      <c r="AE111" s="182" t="n">
        <v>3.349</v>
      </c>
      <c r="AF111" s="78" t="n">
        <v>3.329</v>
      </c>
      <c r="AG111" s="147" t="n">
        <v>3.369</v>
      </c>
      <c r="AH111" s="185" t="n">
        <v>-0.1</v>
      </c>
      <c r="AI111" s="223" t="n">
        <v>1.51030538117694</v>
      </c>
      <c r="AJ111" s="37" t="n">
        <v>0.0577797047340876</v>
      </c>
      <c r="AK111" s="37" t="n">
        <v>0.0585265197977352</v>
      </c>
      <c r="AL111" s="39" t="n">
        <v>0.70670272500575</v>
      </c>
      <c r="AM111" s="149" t="n">
        <v>0.703584000308893</v>
      </c>
      <c r="AN111" s="129" t="n">
        <v>0.135</v>
      </c>
      <c r="AO111" s="150" t="n">
        <v>0.12</v>
      </c>
      <c r="AP111" s="22"/>
      <c r="AQ111" s="129" t="n">
        <v>-3.55917206896408</v>
      </c>
      <c r="AR111" s="151" t="n">
        <v>-3.00917206896408</v>
      </c>
      <c r="AS111" s="22"/>
      <c r="AT111" s="5" t="n">
        <v>0.0075</v>
      </c>
      <c r="AU111" s="22"/>
      <c r="AV111" s="129" t="n">
        <v>0.0025</v>
      </c>
      <c r="AW111" s="187"/>
      <c r="AX111" s="39" t="n">
        <v>-0.105</v>
      </c>
      <c r="AY111" s="39"/>
      <c r="AZ111" s="243" t="n">
        <v>0.55</v>
      </c>
      <c r="BA111" s="243" t="n">
        <v>0.55</v>
      </c>
      <c r="BB111" s="194" t="n">
        <v>-0.55</v>
      </c>
      <c r="BC111" s="190"/>
      <c r="BD111" s="39"/>
      <c r="BE111" s="22"/>
      <c r="BF111" s="96"/>
      <c r="BG111" s="22"/>
      <c r="BH111" s="71"/>
      <c r="BI111" s="71"/>
      <c r="BJ111" s="22"/>
      <c r="BK111" s="96"/>
      <c r="BL111" s="22"/>
      <c r="BM111" s="22"/>
      <c r="BN111" s="39"/>
      <c r="BO111" s="39"/>
      <c r="BP111" s="71"/>
      <c r="BQ111" s="22"/>
      <c r="BR111" s="71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</row>
    <row r="112" customFormat="false" ht="12.75" hidden="false" customHeight="false" outlineLevel="0" collapsed="false">
      <c r="A112" s="224" t="n">
        <v>39326</v>
      </c>
      <c r="B112" s="217" t="n">
        <v>3.614</v>
      </c>
      <c r="C112" s="244" t="n">
        <v>-0.55</v>
      </c>
      <c r="D112" s="133" t="n">
        <v>-0.452168141366787</v>
      </c>
      <c r="E112" s="133" t="n">
        <v>-0.480120100976277</v>
      </c>
      <c r="F112" s="226" t="n">
        <v>0.135</v>
      </c>
      <c r="G112" s="227" t="n">
        <v>0.135</v>
      </c>
      <c r="H112" s="227" t="n">
        <v>0.17</v>
      </c>
      <c r="I112" s="228" t="n">
        <v>0.13</v>
      </c>
      <c r="J112" s="227" t="n">
        <v>0.04</v>
      </c>
      <c r="K112" s="227" t="n">
        <v>0.105</v>
      </c>
      <c r="L112" s="227" t="n">
        <v>0.44</v>
      </c>
      <c r="M112" s="226" t="n">
        <v>-0.27</v>
      </c>
      <c r="N112" s="227" t="n">
        <v>0.25</v>
      </c>
      <c r="O112" s="228" t="n">
        <v>-0.23</v>
      </c>
      <c r="P112" s="183" t="n">
        <v>-0.25</v>
      </c>
      <c r="Q112" s="160" t="n">
        <v>0.245</v>
      </c>
      <c r="R112" s="232" t="n">
        <v>0.2325</v>
      </c>
      <c r="S112" s="139" t="n">
        <v>0.2325</v>
      </c>
      <c r="T112" s="56" t="n">
        <v>0.55</v>
      </c>
      <c r="U112" s="248" t="n">
        <v>0.2325</v>
      </c>
      <c r="V112" s="12" t="n">
        <v>3.064</v>
      </c>
      <c r="W112" s="12" t="n">
        <v>3.16183185863321</v>
      </c>
      <c r="X112" s="142" t="n">
        <v>3.13387989902372</v>
      </c>
      <c r="Y112" s="180" t="n">
        <v>4.23282733532658</v>
      </c>
      <c r="Z112" s="221" t="n">
        <v>0.14</v>
      </c>
      <c r="AA112" s="237" t="n">
        <v>0.1</v>
      </c>
      <c r="AB112" s="242" t="n">
        <v>4.38466575196364</v>
      </c>
      <c r="AC112" s="90" t="n">
        <v>4.52466575196364</v>
      </c>
      <c r="AD112" s="142" t="n">
        <v>4.48466575196364</v>
      </c>
      <c r="AE112" s="182" t="n">
        <v>3.364</v>
      </c>
      <c r="AF112" s="78" t="n">
        <v>3.344</v>
      </c>
      <c r="AG112" s="147" t="n">
        <v>3.384</v>
      </c>
      <c r="AH112" s="185" t="n">
        <v>-0.1</v>
      </c>
      <c r="AI112" s="223" t="n">
        <v>1.5098132864242</v>
      </c>
      <c r="AJ112" s="37" t="n">
        <v>0.0578562504314846</v>
      </c>
      <c r="AK112" s="37" t="n">
        <v>0.0586471159856177</v>
      </c>
      <c r="AL112" s="39" t="n">
        <v>0.702971208479686</v>
      </c>
      <c r="AM112" s="149" t="n">
        <v>0.699640916635668</v>
      </c>
      <c r="AN112" s="129" t="n">
        <v>0.135</v>
      </c>
      <c r="AO112" s="150" t="n">
        <v>0.124</v>
      </c>
      <c r="AP112" s="22"/>
      <c r="AQ112" s="129" t="n">
        <v>-3.57414930988601</v>
      </c>
      <c r="AR112" s="151" t="n">
        <v>-3.02414930988601</v>
      </c>
      <c r="AS112" s="22"/>
      <c r="AT112" s="5" t="n">
        <v>0.0075</v>
      </c>
      <c r="AU112" s="22"/>
      <c r="AV112" s="129" t="n">
        <v>0.0025</v>
      </c>
      <c r="AW112" s="187"/>
      <c r="AX112" s="39" t="n">
        <v>-0.105</v>
      </c>
      <c r="AY112" s="39"/>
      <c r="AZ112" s="243" t="n">
        <v>0.55</v>
      </c>
      <c r="BA112" s="243" t="n">
        <v>0.55</v>
      </c>
      <c r="BB112" s="194" t="n">
        <v>-0.55</v>
      </c>
      <c r="BC112" s="190"/>
      <c r="BD112" s="39"/>
      <c r="BE112" s="22"/>
      <c r="BF112" s="96"/>
      <c r="BG112" s="22"/>
      <c r="BH112" s="71"/>
      <c r="BI112" s="71"/>
      <c r="BJ112" s="22"/>
      <c r="BK112" s="96"/>
      <c r="BL112" s="22"/>
      <c r="BM112" s="22"/>
      <c r="BN112" s="39"/>
      <c r="BO112" s="39"/>
      <c r="BP112" s="71"/>
      <c r="BQ112" s="22"/>
      <c r="BR112" s="71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</row>
    <row r="113" customFormat="false" ht="12.75" hidden="false" customHeight="false" outlineLevel="0" collapsed="false">
      <c r="A113" s="224" t="n">
        <v>39356</v>
      </c>
      <c r="B113" s="217" t="n">
        <v>3.643</v>
      </c>
      <c r="C113" s="244" t="n">
        <v>-0.55</v>
      </c>
      <c r="D113" s="133" t="n">
        <v>-0.452136609620691</v>
      </c>
      <c r="E113" s="133" t="n">
        <v>-0.480097578300494</v>
      </c>
      <c r="F113" s="226" t="n">
        <v>0.135</v>
      </c>
      <c r="G113" s="227" t="n">
        <v>0.135</v>
      </c>
      <c r="H113" s="227" t="n">
        <v>0.17</v>
      </c>
      <c r="I113" s="228" t="n">
        <v>0.13</v>
      </c>
      <c r="J113" s="227" t="n">
        <v>0.04</v>
      </c>
      <c r="K113" s="227" t="n">
        <v>0.105</v>
      </c>
      <c r="L113" s="227" t="n">
        <v>0.45</v>
      </c>
      <c r="M113" s="226" t="n">
        <v>-0.27</v>
      </c>
      <c r="N113" s="227" t="n">
        <v>0.25</v>
      </c>
      <c r="O113" s="228" t="n">
        <v>-0.23</v>
      </c>
      <c r="P113" s="183" t="n">
        <v>-0.25</v>
      </c>
      <c r="Q113" s="160" t="n">
        <v>0.245</v>
      </c>
      <c r="R113" s="232" t="n">
        <v>0.2325</v>
      </c>
      <c r="S113" s="139" t="n">
        <v>0.2325</v>
      </c>
      <c r="T113" s="56" t="n">
        <v>0.6</v>
      </c>
      <c r="U113" s="248" t="n">
        <v>0.2325</v>
      </c>
      <c r="V113" s="12" t="n">
        <v>3.093</v>
      </c>
      <c r="W113" s="12" t="n">
        <v>3.19086339037931</v>
      </c>
      <c r="X113" s="142" t="n">
        <v>3.16290242169951</v>
      </c>
      <c r="Y113" s="62" t="s">
        <v>81</v>
      </c>
      <c r="Z113" s="221" t="n">
        <v>0.14</v>
      </c>
      <c r="AA113" s="237" t="n">
        <v>0.1</v>
      </c>
      <c r="AB113" s="242" t="n">
        <v>4.42473940787925</v>
      </c>
      <c r="AC113" s="90" t="n">
        <v>4.56473940787925</v>
      </c>
      <c r="AD113" s="142" t="n">
        <v>4.52473940787925</v>
      </c>
      <c r="AE113" s="182" t="n">
        <v>3.393</v>
      </c>
      <c r="AF113" s="78" t="n">
        <v>3.373</v>
      </c>
      <c r="AG113" s="147" t="n">
        <v>3.413</v>
      </c>
      <c r="AH113" s="185" t="n">
        <v>-0.1</v>
      </c>
      <c r="AI113" s="223" t="n">
        <v>1.50932682208841</v>
      </c>
      <c r="AJ113" s="37" t="n">
        <v>0.057930326914692</v>
      </c>
      <c r="AK113" s="37" t="n">
        <v>0.0587638219784949</v>
      </c>
      <c r="AL113" s="39" t="n">
        <v>0.699370426836278</v>
      </c>
      <c r="AM113" s="149" t="n">
        <v>0.695832922741867</v>
      </c>
      <c r="AN113" s="129" t="n">
        <v>0.135</v>
      </c>
      <c r="AO113" s="150" t="n">
        <v>0.12</v>
      </c>
      <c r="AP113" s="22"/>
      <c r="AQ113" s="129" t="n">
        <v>-3.60312679662442</v>
      </c>
      <c r="AR113" s="151" t="n">
        <v>-3.05312679662442</v>
      </c>
      <c r="AS113" s="22"/>
      <c r="AT113" s="5" t="n">
        <v>0.0075</v>
      </c>
      <c r="AU113" s="22"/>
      <c r="AV113" s="129" t="n">
        <v>0.0025</v>
      </c>
      <c r="AW113" s="187"/>
      <c r="AX113" s="39" t="n">
        <v>-0.105</v>
      </c>
      <c r="AY113" s="39"/>
      <c r="AZ113" s="243" t="n">
        <v>0.6</v>
      </c>
      <c r="BA113" s="243" t="n">
        <v>0.6</v>
      </c>
      <c r="BB113" s="194" t="n">
        <v>-0.55</v>
      </c>
      <c r="BC113" s="190"/>
      <c r="BD113" s="39"/>
      <c r="BE113" s="22"/>
      <c r="BF113" s="96"/>
      <c r="BG113" s="22"/>
      <c r="BH113" s="71"/>
      <c r="BI113" s="71"/>
      <c r="BJ113" s="22"/>
      <c r="BK113" s="96"/>
      <c r="BL113" s="22"/>
      <c r="BM113" s="22"/>
      <c r="BN113" s="39"/>
      <c r="BO113" s="39"/>
      <c r="BP113" s="71"/>
      <c r="BQ113" s="22"/>
      <c r="BR113" s="71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</row>
    <row r="114" customFormat="false" ht="12.75" hidden="false" customHeight="false" outlineLevel="0" collapsed="false">
      <c r="A114" s="216" t="n">
        <v>39387</v>
      </c>
      <c r="B114" s="217" t="n">
        <v>3.783</v>
      </c>
      <c r="C114" s="225" t="n">
        <v>-0.485</v>
      </c>
      <c r="D114" s="133" t="n">
        <v>-0.39409593949146</v>
      </c>
      <c r="E114" s="133" t="n">
        <v>-0.11</v>
      </c>
      <c r="F114" s="226" t="n">
        <v>0.23</v>
      </c>
      <c r="G114" s="227" t="n">
        <v>0.38</v>
      </c>
      <c r="H114" s="227" t="n">
        <v>0.38</v>
      </c>
      <c r="I114" s="228" t="n">
        <v>0.5</v>
      </c>
      <c r="J114" s="227" t="n">
        <v>0.14</v>
      </c>
      <c r="K114" s="227" t="n">
        <v>0.18</v>
      </c>
      <c r="L114" s="227" t="n">
        <v>0.73</v>
      </c>
      <c r="M114" s="226" t="n">
        <v>-0.15</v>
      </c>
      <c r="N114" s="227" t="n">
        <v>0.25</v>
      </c>
      <c r="O114" s="228" t="n">
        <v>0.17</v>
      </c>
      <c r="P114" s="183" t="n">
        <v>0.248</v>
      </c>
      <c r="Q114" s="160" t="n">
        <v>0.245</v>
      </c>
      <c r="R114" s="232" t="n">
        <v>0.2325</v>
      </c>
      <c r="S114" s="139" t="n">
        <v>0.2325</v>
      </c>
      <c r="T114" s="56" t="n">
        <v>0.8</v>
      </c>
      <c r="U114" s="248" t="n">
        <v>0.2325</v>
      </c>
      <c r="V114" s="12" t="n">
        <v>3.298</v>
      </c>
      <c r="W114" s="12" t="n">
        <v>3.38890406050854</v>
      </c>
      <c r="X114" s="142" t="n">
        <v>3.673</v>
      </c>
      <c r="Y114" s="180"/>
      <c r="Z114" s="221" t="n">
        <v>0.13</v>
      </c>
      <c r="AA114" s="237" t="n">
        <v>0.536279674717284</v>
      </c>
      <c r="AB114" s="242" t="n">
        <v>4.71640097924695</v>
      </c>
      <c r="AC114" s="90" t="n">
        <v>4.84640097924695</v>
      </c>
      <c r="AD114" s="142" t="n">
        <v>5.25268065396424</v>
      </c>
      <c r="AE114" s="182" t="n">
        <v>4.031</v>
      </c>
      <c r="AF114" s="78" t="n">
        <v>3.633</v>
      </c>
      <c r="AG114" s="147" t="n">
        <v>3.953</v>
      </c>
      <c r="AH114" s="185" t="n">
        <v>-0.1</v>
      </c>
      <c r="AI114" s="223" t="n">
        <v>1.50881356930272</v>
      </c>
      <c r="AJ114" s="37" t="n">
        <v>0.0580068726159242</v>
      </c>
      <c r="AK114" s="37" t="n">
        <v>0.0588844181758925</v>
      </c>
      <c r="AL114" s="39" t="n">
        <v>0.695660363472989</v>
      </c>
      <c r="AM114" s="149" t="n">
        <v>0.69190625974562</v>
      </c>
      <c r="AN114" s="129" t="n">
        <v>0.38</v>
      </c>
      <c r="AO114" s="150" t="n">
        <v>0.124</v>
      </c>
      <c r="AP114" s="22"/>
      <c r="AQ114" s="129" t="n">
        <v>-3.43776087362059</v>
      </c>
      <c r="AR114" s="151" t="n">
        <v>-2.95276087362059</v>
      </c>
      <c r="AS114" s="22"/>
      <c r="AT114" s="5" t="n">
        <v>0.0075</v>
      </c>
      <c r="AU114" s="22"/>
      <c r="AV114" s="129" t="n">
        <v>0.008</v>
      </c>
      <c r="AW114" s="187"/>
      <c r="AX114" s="39" t="n">
        <v>0.005</v>
      </c>
      <c r="AY114" s="39"/>
      <c r="AZ114" s="243" t="n">
        <v>0.8</v>
      </c>
      <c r="BA114" s="243" t="n">
        <v>0.8</v>
      </c>
      <c r="BB114" s="194" t="n">
        <v>-0.485</v>
      </c>
      <c r="BC114" s="190"/>
      <c r="BD114" s="39"/>
      <c r="BE114" s="22"/>
      <c r="BF114" s="96"/>
      <c r="BG114" s="22"/>
      <c r="BH114" s="71"/>
      <c r="BI114" s="71"/>
      <c r="BJ114" s="22"/>
      <c r="BK114" s="96"/>
      <c r="BL114" s="22"/>
      <c r="BM114" s="22"/>
      <c r="BN114" s="39"/>
      <c r="BO114" s="39"/>
      <c r="BP114" s="71"/>
      <c r="BQ114" s="22"/>
      <c r="BR114" s="71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</row>
    <row r="115" customFormat="false" ht="12.75" hidden="false" customHeight="false" outlineLevel="0" collapsed="false">
      <c r="A115" s="224" t="n">
        <v>39417</v>
      </c>
      <c r="B115" s="217" t="n">
        <v>3.923</v>
      </c>
      <c r="C115" s="247" t="n">
        <v>-0.485</v>
      </c>
      <c r="D115" s="133" t="n">
        <v>-0.394065388173178</v>
      </c>
      <c r="E115" s="133" t="n">
        <v>-0.110000000000001</v>
      </c>
      <c r="F115" s="226" t="n">
        <v>0.23</v>
      </c>
      <c r="G115" s="227" t="n">
        <v>0.38</v>
      </c>
      <c r="H115" s="227" t="n">
        <v>0.38</v>
      </c>
      <c r="I115" s="228" t="n">
        <v>0.5</v>
      </c>
      <c r="J115" s="227" t="n">
        <v>0.14</v>
      </c>
      <c r="K115" s="227" t="n">
        <v>0.18</v>
      </c>
      <c r="L115" s="227" t="n">
        <v>1.14</v>
      </c>
      <c r="M115" s="226" t="n">
        <v>-0.15</v>
      </c>
      <c r="N115" s="227" t="n">
        <v>0.25</v>
      </c>
      <c r="O115" s="228" t="n">
        <v>0.17</v>
      </c>
      <c r="P115" s="183" t="n">
        <v>0.308</v>
      </c>
      <c r="Q115" s="160" t="n">
        <v>0.245</v>
      </c>
      <c r="R115" s="232" t="n">
        <v>0.2325</v>
      </c>
      <c r="S115" s="139" t="n">
        <v>0.2325</v>
      </c>
      <c r="T115" s="56" t="n">
        <v>1</v>
      </c>
      <c r="U115" s="248" t="n">
        <v>0.2325</v>
      </c>
      <c r="V115" s="12" t="n">
        <v>3.438</v>
      </c>
      <c r="W115" s="12" t="n">
        <v>3.52893461182682</v>
      </c>
      <c r="X115" s="142" t="n">
        <v>3.813</v>
      </c>
      <c r="Y115" s="62" t="s">
        <v>79</v>
      </c>
      <c r="Z115" s="221" t="n">
        <v>0.13</v>
      </c>
      <c r="AA115" s="237" t="n">
        <v>0.536099500736208</v>
      </c>
      <c r="AB115" s="242" t="n">
        <v>4.91496022274957</v>
      </c>
      <c r="AC115" s="90" t="n">
        <v>5.04496022274957</v>
      </c>
      <c r="AD115" s="142" t="n">
        <v>5.45105972348578</v>
      </c>
      <c r="AE115" s="182" t="n">
        <v>4.231</v>
      </c>
      <c r="AF115" s="78" t="n">
        <v>3.773</v>
      </c>
      <c r="AG115" s="147" t="n">
        <v>4.093</v>
      </c>
      <c r="AH115" s="185" t="n">
        <v>-0.1</v>
      </c>
      <c r="AI115" s="223" t="n">
        <v>1.50830665292998</v>
      </c>
      <c r="AJ115" s="37" t="n">
        <v>0.0580809491028424</v>
      </c>
      <c r="AK115" s="37" t="n">
        <v>0.0590011241779775</v>
      </c>
      <c r="AL115" s="39" t="n">
        <v>0.692080410742533</v>
      </c>
      <c r="AM115" s="149" t="n">
        <v>0.688114362482187</v>
      </c>
      <c r="AN115" s="129" t="n">
        <v>0.38</v>
      </c>
      <c r="AO115" s="150" t="n">
        <v>0.12</v>
      </c>
      <c r="AP115" s="22"/>
      <c r="AQ115" s="129" t="n">
        <v>-3.57776375900669</v>
      </c>
      <c r="AR115" s="151" t="n">
        <v>-3.09276375900669</v>
      </c>
      <c r="AS115" s="22"/>
      <c r="AT115" s="5" t="n">
        <v>0.0075</v>
      </c>
      <c r="AU115" s="22"/>
      <c r="AV115" s="129" t="n">
        <v>0.008</v>
      </c>
      <c r="AW115" s="187"/>
      <c r="AX115" s="39" t="n">
        <v>0.01</v>
      </c>
      <c r="AY115" s="39"/>
      <c r="AZ115" s="243" t="n">
        <v>1</v>
      </c>
      <c r="BA115" s="243" t="n">
        <v>1</v>
      </c>
      <c r="BB115" s="194" t="n">
        <v>-0.485</v>
      </c>
      <c r="BC115" s="190"/>
      <c r="BD115" s="39"/>
      <c r="BE115" s="22"/>
      <c r="BF115" s="96"/>
      <c r="BG115" s="22"/>
      <c r="BH115" s="71"/>
      <c r="BI115" s="71"/>
      <c r="BJ115" s="22"/>
      <c r="BK115" s="96"/>
      <c r="BL115" s="22"/>
      <c r="BM115" s="22"/>
      <c r="BN115" s="39"/>
      <c r="BO115" s="39"/>
      <c r="BP115" s="71"/>
      <c r="BQ115" s="22"/>
      <c r="BR115" s="71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</row>
    <row r="116" customFormat="false" ht="12.75" hidden="false" customHeight="false" outlineLevel="0" collapsed="false">
      <c r="A116" s="224" t="n">
        <v>39448</v>
      </c>
      <c r="B116" s="217" t="n">
        <v>4.008</v>
      </c>
      <c r="C116" s="247" t="n">
        <v>-0.485</v>
      </c>
      <c r="D116" s="133" t="n">
        <v>-0.394033160502781</v>
      </c>
      <c r="E116" s="133" t="n">
        <v>-0.11</v>
      </c>
      <c r="F116" s="226" t="n">
        <v>0.23</v>
      </c>
      <c r="G116" s="227" t="n">
        <v>0.38</v>
      </c>
      <c r="H116" s="227" t="n">
        <v>0.38</v>
      </c>
      <c r="I116" s="228" t="n">
        <v>0.5</v>
      </c>
      <c r="J116" s="227" t="n">
        <v>0.14</v>
      </c>
      <c r="K116" s="227" t="n">
        <v>0.18</v>
      </c>
      <c r="L116" s="227" t="n">
        <v>1.63</v>
      </c>
      <c r="M116" s="226" t="n">
        <v>-0.15</v>
      </c>
      <c r="N116" s="227" t="n">
        <v>0.25</v>
      </c>
      <c r="O116" s="228" t="n">
        <v>0.17</v>
      </c>
      <c r="P116" s="183" t="n">
        <v>0.378</v>
      </c>
      <c r="Q116" s="160" t="n">
        <v>0.245</v>
      </c>
      <c r="R116" s="232" t="n">
        <v>0.2325</v>
      </c>
      <c r="S116" s="139" t="n">
        <v>0.2325</v>
      </c>
      <c r="T116" s="56" t="n">
        <v>1</v>
      </c>
      <c r="U116" s="248" t="n">
        <v>0.2325</v>
      </c>
      <c r="V116" s="12" t="n">
        <v>3.523</v>
      </c>
      <c r="W116" s="12" t="n">
        <v>3.61396683949722</v>
      </c>
      <c r="X116" s="142" t="n">
        <v>3.898</v>
      </c>
      <c r="Y116" s="180"/>
      <c r="Z116" s="221" t="n">
        <v>0.13</v>
      </c>
      <c r="AA116" s="237" t="n">
        <v>0.535909571767525</v>
      </c>
      <c r="AB116" s="242" t="n">
        <v>5.03469179023198</v>
      </c>
      <c r="AC116" s="90" t="n">
        <v>5.16469179023198</v>
      </c>
      <c r="AD116" s="142" t="n">
        <v>5.57060136199951</v>
      </c>
      <c r="AE116" s="182" t="n">
        <v>4.386</v>
      </c>
      <c r="AF116" s="78" t="n">
        <v>3.858</v>
      </c>
      <c r="AG116" s="147" t="n">
        <v>4.178</v>
      </c>
      <c r="AH116" s="185" t="n">
        <v>-0.1</v>
      </c>
      <c r="AI116" s="223" t="n">
        <v>1.50777229106869</v>
      </c>
      <c r="AJ116" s="37" t="n">
        <v>0.0581574948079093</v>
      </c>
      <c r="AK116" s="37" t="n">
        <v>0.0591217203848884</v>
      </c>
      <c r="AL116" s="39" t="n">
        <v>0.688391939463547</v>
      </c>
      <c r="AM116" s="149" t="n">
        <v>0.684204542991542</v>
      </c>
      <c r="AN116" s="129" t="n">
        <v>0.38</v>
      </c>
      <c r="AO116" s="150" t="n">
        <v>0.12</v>
      </c>
      <c r="AP116" s="22"/>
      <c r="AQ116" s="129" t="n">
        <v>-3.66276696968225</v>
      </c>
      <c r="AR116" s="151" t="n">
        <v>-3.17776696968225</v>
      </c>
      <c r="AS116" s="22"/>
      <c r="AT116" s="5" t="n">
        <v>0.0075</v>
      </c>
      <c r="AU116" s="22"/>
      <c r="AV116" s="129" t="n">
        <v>0.008</v>
      </c>
      <c r="AW116" s="187"/>
      <c r="AX116" s="39" t="n">
        <v>0.03</v>
      </c>
      <c r="AY116" s="39"/>
      <c r="AZ116" s="243" t="n">
        <v>1</v>
      </c>
      <c r="BA116" s="243" t="n">
        <v>1</v>
      </c>
      <c r="BB116" s="194" t="n">
        <v>-0.485</v>
      </c>
      <c r="BC116" s="190"/>
      <c r="BD116" s="39"/>
      <c r="BE116" s="22"/>
      <c r="BF116" s="96"/>
      <c r="BG116" s="22"/>
      <c r="BH116" s="71"/>
      <c r="BI116" s="71"/>
      <c r="BJ116" s="22"/>
      <c r="BK116" s="96"/>
      <c r="BL116" s="22"/>
      <c r="BM116" s="22"/>
      <c r="BN116" s="39"/>
      <c r="BO116" s="39"/>
      <c r="BP116" s="71"/>
      <c r="BQ116" s="22"/>
      <c r="BR116" s="71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</row>
    <row r="117" customFormat="false" ht="12.75" hidden="false" customHeight="false" outlineLevel="0" collapsed="false">
      <c r="A117" s="224" t="n">
        <v>39479</v>
      </c>
      <c r="B117" s="217" t="n">
        <v>3.89</v>
      </c>
      <c r="C117" s="247" t="n">
        <v>-0.485</v>
      </c>
      <c r="D117" s="133" t="n">
        <v>-0.394000263468757</v>
      </c>
      <c r="E117" s="133" t="n">
        <v>-0.109999999999999</v>
      </c>
      <c r="F117" s="226" t="n">
        <v>0.23</v>
      </c>
      <c r="G117" s="227" t="n">
        <v>0.38</v>
      </c>
      <c r="H117" s="227" t="n">
        <v>0.38</v>
      </c>
      <c r="I117" s="228" t="n">
        <v>0.5</v>
      </c>
      <c r="J117" s="227" t="n">
        <v>0.14</v>
      </c>
      <c r="K117" s="227" t="n">
        <v>0.18</v>
      </c>
      <c r="L117" s="227" t="n">
        <v>1.63</v>
      </c>
      <c r="M117" s="226" t="n">
        <v>-0.15</v>
      </c>
      <c r="N117" s="227" t="n">
        <v>0.25</v>
      </c>
      <c r="O117" s="228" t="n">
        <v>0.17</v>
      </c>
      <c r="P117" s="183" t="n">
        <v>0.248</v>
      </c>
      <c r="Q117" s="160" t="n">
        <v>0.245</v>
      </c>
      <c r="R117" s="232" t="n">
        <v>0.2325</v>
      </c>
      <c r="S117" s="139" t="n">
        <v>0.2325</v>
      </c>
      <c r="T117" s="56" t="n">
        <v>1</v>
      </c>
      <c r="U117" s="248" t="n">
        <v>0.2325</v>
      </c>
      <c r="V117" s="12" t="n">
        <v>3.405</v>
      </c>
      <c r="W117" s="12" t="n">
        <v>3.49599973653124</v>
      </c>
      <c r="X117" s="142" t="n">
        <v>3.78</v>
      </c>
      <c r="Y117" s="13"/>
      <c r="Z117" s="221" t="n">
        <v>0.13</v>
      </c>
      <c r="AA117" s="237" t="n">
        <v>0.535715836751488</v>
      </c>
      <c r="AB117" s="242" t="n">
        <v>4.86429979770351</v>
      </c>
      <c r="AC117" s="90" t="n">
        <v>4.99429979770351</v>
      </c>
      <c r="AD117" s="142" t="n">
        <v>5.400015634455</v>
      </c>
      <c r="AE117" s="182" t="n">
        <v>4.138</v>
      </c>
      <c r="AF117" s="78" t="n">
        <v>3.74</v>
      </c>
      <c r="AG117" s="147" t="n">
        <v>4.06</v>
      </c>
      <c r="AH117" s="185" t="n">
        <v>-0.1</v>
      </c>
      <c r="AI117" s="223" t="n">
        <v>1.50722722095914</v>
      </c>
      <c r="AJ117" s="37" t="n">
        <v>0.058234040514924</v>
      </c>
      <c r="AK117" s="37" t="n">
        <v>0.0592423165966332</v>
      </c>
      <c r="AL117" s="39" t="n">
        <v>0.684714492957492</v>
      </c>
      <c r="AM117" s="149" t="n">
        <v>0.680303442564778</v>
      </c>
      <c r="AN117" s="129" t="n">
        <v>0.38</v>
      </c>
      <c r="AO117" s="150" t="n">
        <v>0.133</v>
      </c>
      <c r="AP117" s="22"/>
      <c r="AQ117" s="129" t="n">
        <v>-3.54477041313492</v>
      </c>
      <c r="AR117" s="151" t="n">
        <v>-3.05977041313492</v>
      </c>
      <c r="AS117" s="22"/>
      <c r="AT117" s="5" t="n">
        <v>0.0075</v>
      </c>
      <c r="AU117" s="22"/>
      <c r="AV117" s="129" t="n">
        <v>0.008</v>
      </c>
      <c r="AW117" s="187"/>
      <c r="AX117" s="39" t="n">
        <v>0.025</v>
      </c>
      <c r="AY117" s="39"/>
      <c r="AZ117" s="243" t="n">
        <v>1</v>
      </c>
      <c r="BA117" s="243" t="n">
        <v>1</v>
      </c>
      <c r="BB117" s="194" t="n">
        <v>-0.485</v>
      </c>
      <c r="BC117" s="190"/>
      <c r="BD117" s="39"/>
      <c r="BE117" s="22"/>
      <c r="BF117" s="96"/>
      <c r="BG117" s="22"/>
      <c r="BH117" s="71"/>
      <c r="BI117" s="71"/>
      <c r="BJ117" s="22"/>
      <c r="BK117" s="96"/>
      <c r="BL117" s="22"/>
      <c r="BM117" s="22"/>
      <c r="BN117" s="39"/>
      <c r="BO117" s="39"/>
      <c r="BP117" s="71"/>
      <c r="BQ117" s="22"/>
      <c r="BR117" s="71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</row>
    <row r="118" customFormat="false" ht="12.75" hidden="false" customHeight="false" outlineLevel="0" collapsed="false">
      <c r="A118" s="224" t="n">
        <v>39508</v>
      </c>
      <c r="B118" s="217" t="n">
        <v>3.757</v>
      </c>
      <c r="C118" s="247" t="n">
        <v>-0.485</v>
      </c>
      <c r="D118" s="133" t="n">
        <v>-0.393968882292448</v>
      </c>
      <c r="E118" s="133" t="n">
        <v>-0.109999999999999</v>
      </c>
      <c r="F118" s="226" t="n">
        <v>0.23</v>
      </c>
      <c r="G118" s="227" t="n">
        <v>0.38</v>
      </c>
      <c r="H118" s="227" t="n">
        <v>0.38</v>
      </c>
      <c r="I118" s="228" t="n">
        <v>0.5</v>
      </c>
      <c r="J118" s="227" t="n">
        <v>0.14</v>
      </c>
      <c r="K118" s="227" t="n">
        <v>0.18</v>
      </c>
      <c r="L118" s="227" t="n">
        <v>0.72</v>
      </c>
      <c r="M118" s="226" t="n">
        <v>-0.15</v>
      </c>
      <c r="N118" s="227" t="n">
        <v>0.25</v>
      </c>
      <c r="O118" s="228" t="n">
        <v>0.17</v>
      </c>
      <c r="P118" s="183" t="n">
        <v>0.068</v>
      </c>
      <c r="Q118" s="160" t="n">
        <v>0.235</v>
      </c>
      <c r="R118" s="232" t="n">
        <v>0.2225</v>
      </c>
      <c r="S118" s="139" t="n">
        <v>0.2225</v>
      </c>
      <c r="T118" s="56" t="n">
        <v>0.75</v>
      </c>
      <c r="U118" s="248" t="n">
        <v>0.2225</v>
      </c>
      <c r="V118" s="12" t="n">
        <v>3.272</v>
      </c>
      <c r="W118" s="12" t="n">
        <v>3.36303111770755</v>
      </c>
      <c r="X118" s="142" t="n">
        <v>3.647</v>
      </c>
      <c r="Y118" s="13"/>
      <c r="Z118" s="221" t="n">
        <v>0.13</v>
      </c>
      <c r="AA118" s="237" t="n">
        <v>0.535531159318673</v>
      </c>
      <c r="AB118" s="242" t="n">
        <v>4.67268787544186</v>
      </c>
      <c r="AC118" s="90" t="n">
        <v>4.80268787544186</v>
      </c>
      <c r="AD118" s="142" t="n">
        <v>5.20821903476053</v>
      </c>
      <c r="AE118" s="182" t="n">
        <v>3.825</v>
      </c>
      <c r="AF118" s="78" t="n">
        <v>3.607</v>
      </c>
      <c r="AG118" s="147" t="n">
        <v>3.927</v>
      </c>
      <c r="AH118" s="185" t="n">
        <v>-0.1</v>
      </c>
      <c r="AI118" s="223" t="n">
        <v>1.50670763420299</v>
      </c>
      <c r="AJ118" s="37" t="n">
        <v>0.0583056477909927</v>
      </c>
      <c r="AK118" s="37" t="n">
        <v>0.059355132411997</v>
      </c>
      <c r="AL118" s="39" t="n">
        <v>0.681284312055107</v>
      </c>
      <c r="AM118" s="149" t="n">
        <v>0.676662013207756</v>
      </c>
      <c r="AN118" s="129" t="n">
        <v>0.38</v>
      </c>
      <c r="AO118" s="150" t="n">
        <v>0.12</v>
      </c>
      <c r="AP118" s="22"/>
      <c r="AQ118" s="129" t="n">
        <v>-3.4117738450843</v>
      </c>
      <c r="AR118" s="151" t="n">
        <v>-2.9267738450843</v>
      </c>
      <c r="AS118" s="22"/>
      <c r="AT118" s="5" t="n">
        <v>0.0075</v>
      </c>
      <c r="AU118" s="22"/>
      <c r="AV118" s="129" t="n">
        <v>0.008</v>
      </c>
      <c r="AW118" s="187"/>
      <c r="AX118" s="39" t="n">
        <v>0.005</v>
      </c>
      <c r="AY118" s="39"/>
      <c r="AZ118" s="243" t="n">
        <v>0.75</v>
      </c>
      <c r="BA118" s="243" t="n">
        <v>0.75</v>
      </c>
      <c r="BB118" s="194" t="n">
        <v>-0.485</v>
      </c>
      <c r="BC118" s="190"/>
      <c r="BD118" s="39"/>
      <c r="BE118" s="22"/>
      <c r="BF118" s="96"/>
      <c r="BG118" s="22"/>
      <c r="BH118" s="71"/>
      <c r="BI118" s="71"/>
      <c r="BJ118" s="22"/>
      <c r="BK118" s="96"/>
      <c r="BL118" s="22"/>
      <c r="BM118" s="22"/>
      <c r="BN118" s="39"/>
      <c r="BO118" s="39"/>
      <c r="BP118" s="71"/>
      <c r="BQ118" s="22"/>
      <c r="BR118" s="71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</row>
    <row r="119" customFormat="false" ht="12.75" hidden="false" customHeight="false" outlineLevel="0" collapsed="false">
      <c r="A119" s="224" t="n">
        <v>39539</v>
      </c>
      <c r="B119" s="217" t="n">
        <v>3.537</v>
      </c>
      <c r="C119" s="239" t="n">
        <v>-0.64</v>
      </c>
      <c r="D119" s="133" t="n">
        <v>-0.548934687931982</v>
      </c>
      <c r="E119" s="133" t="n">
        <v>-0.569949759947678</v>
      </c>
      <c r="F119" s="226" t="n">
        <v>0.135</v>
      </c>
      <c r="G119" s="227" t="n">
        <v>0.135</v>
      </c>
      <c r="H119" s="227" t="n">
        <v>0.17</v>
      </c>
      <c r="I119" s="228" t="n">
        <v>0.13</v>
      </c>
      <c r="J119" s="227" t="n">
        <v>0.04</v>
      </c>
      <c r="K119" s="227" t="n">
        <v>0.105</v>
      </c>
      <c r="L119" s="227" t="n">
        <v>0.48</v>
      </c>
      <c r="M119" s="226" t="n">
        <v>-0.22</v>
      </c>
      <c r="N119" s="227" t="n">
        <v>0.25</v>
      </c>
      <c r="O119" s="228" t="n">
        <v>-0.23</v>
      </c>
      <c r="P119" s="183" t="n">
        <v>-0.25</v>
      </c>
      <c r="Q119" s="160" t="n">
        <v>0.235</v>
      </c>
      <c r="R119" s="232" t="n">
        <v>0.2225</v>
      </c>
      <c r="S119" s="139" t="n">
        <v>0.2225</v>
      </c>
      <c r="T119" s="56" t="n">
        <v>0.4</v>
      </c>
      <c r="U119" s="248" t="n">
        <v>0.2225</v>
      </c>
      <c r="V119" s="12" t="n">
        <v>2.897</v>
      </c>
      <c r="W119" s="12" t="n">
        <v>2.98806531206802</v>
      </c>
      <c r="X119" s="142" t="n">
        <v>2.96705024005232</v>
      </c>
      <c r="Y119" s="13"/>
      <c r="Z119" s="221" t="n">
        <v>0.13</v>
      </c>
      <c r="AA119" s="237" t="n">
        <v>0.1</v>
      </c>
      <c r="AB119" s="242" t="n">
        <v>4.13560324395201</v>
      </c>
      <c r="AC119" s="90" t="n">
        <v>4.26560324395201</v>
      </c>
      <c r="AD119" s="142" t="n">
        <v>4.23560324395201</v>
      </c>
      <c r="AE119" s="182" t="n">
        <v>3.287</v>
      </c>
      <c r="AF119" s="78" t="n">
        <v>3.317</v>
      </c>
      <c r="AG119" s="147" t="n">
        <v>3.307</v>
      </c>
      <c r="AH119" s="185" t="n">
        <v>-0.1</v>
      </c>
      <c r="AI119" s="223" t="n">
        <v>1.50614187647602</v>
      </c>
      <c r="AJ119" s="37" t="n">
        <v>0.0583821935017785</v>
      </c>
      <c r="AK119" s="37" t="n">
        <v>0.0594757286330978</v>
      </c>
      <c r="AL119" s="39" t="n">
        <v>0.67762830005882</v>
      </c>
      <c r="AM119" s="149" t="n">
        <v>0.672778087939254</v>
      </c>
      <c r="AN119" s="129" t="n">
        <v>0.135</v>
      </c>
      <c r="AO119" s="150" t="n">
        <v>0.124</v>
      </c>
      <c r="AP119" s="22"/>
      <c r="AQ119" s="129" t="n">
        <v>-3.4969790400578</v>
      </c>
      <c r="AR119" s="151" t="n">
        <v>-2.8569790400578</v>
      </c>
      <c r="AS119" s="22"/>
      <c r="AT119" s="5" t="n">
        <v>0.0075</v>
      </c>
      <c r="AU119" s="22"/>
      <c r="AV119" s="129" t="n">
        <v>0.0025</v>
      </c>
      <c r="AW119" s="187"/>
      <c r="AX119" s="39" t="n">
        <v>-0.105</v>
      </c>
      <c r="AY119" s="39"/>
      <c r="AZ119" s="243" t="n">
        <v>0.4</v>
      </c>
      <c r="BA119" s="243" t="n">
        <v>0.4</v>
      </c>
      <c r="BB119" s="194" t="n">
        <v>-0.64</v>
      </c>
      <c r="BC119" s="190"/>
      <c r="BD119" s="39"/>
      <c r="BE119" s="22"/>
      <c r="BF119" s="96"/>
      <c r="BG119" s="22"/>
      <c r="BH119" s="71"/>
      <c r="BI119" s="71"/>
      <c r="BJ119" s="22"/>
      <c r="BK119" s="96"/>
      <c r="BL119" s="22"/>
      <c r="BM119" s="22"/>
      <c r="BN119" s="39"/>
      <c r="BO119" s="39"/>
      <c r="BP119" s="71"/>
      <c r="BQ119" s="22"/>
      <c r="BR119" s="71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</row>
    <row r="120" customFormat="false" ht="12.75" hidden="false" customHeight="false" outlineLevel="0" collapsed="false">
      <c r="A120" s="224" t="n">
        <v>39569</v>
      </c>
      <c r="B120" s="217" t="n">
        <v>3.527</v>
      </c>
      <c r="C120" s="244" t="n">
        <v>-0.64</v>
      </c>
      <c r="D120" s="133" t="n">
        <v>-0.54890095751677</v>
      </c>
      <c r="E120" s="133" t="n">
        <v>-0.569923813474439</v>
      </c>
      <c r="F120" s="226" t="n">
        <v>0.135</v>
      </c>
      <c r="G120" s="227" t="n">
        <v>0.135</v>
      </c>
      <c r="H120" s="227" t="n">
        <v>0.17</v>
      </c>
      <c r="I120" s="228" t="n">
        <v>0.13</v>
      </c>
      <c r="J120" s="227" t="n">
        <v>0.04</v>
      </c>
      <c r="K120" s="227" t="n">
        <v>0.105</v>
      </c>
      <c r="L120" s="227" t="n">
        <v>0.42</v>
      </c>
      <c r="M120" s="226" t="n">
        <v>-0.27</v>
      </c>
      <c r="N120" s="227" t="n">
        <v>0.25</v>
      </c>
      <c r="O120" s="228" t="n">
        <v>-0.23</v>
      </c>
      <c r="P120" s="183" t="n">
        <v>-0.25</v>
      </c>
      <c r="Q120" s="160" t="n">
        <v>0.235</v>
      </c>
      <c r="R120" s="232" t="n">
        <v>0.2225</v>
      </c>
      <c r="S120" s="139" t="n">
        <v>0.2225</v>
      </c>
      <c r="T120" s="56" t="n">
        <v>0.45</v>
      </c>
      <c r="U120" s="248" t="n">
        <v>0.2225</v>
      </c>
      <c r="V120" s="12" t="n">
        <v>2.887</v>
      </c>
      <c r="W120" s="12" t="n">
        <v>2.97809904248323</v>
      </c>
      <c r="X120" s="142" t="n">
        <v>2.95707618652556</v>
      </c>
      <c r="Y120" s="13"/>
      <c r="Z120" s="221" t="n">
        <v>0.13</v>
      </c>
      <c r="AA120" s="237" t="n">
        <v>0.1</v>
      </c>
      <c r="AB120" s="242" t="n">
        <v>4.11980180877409</v>
      </c>
      <c r="AC120" s="90" t="n">
        <v>4.24980180877409</v>
      </c>
      <c r="AD120" s="142" t="n">
        <v>4.21980180877409</v>
      </c>
      <c r="AE120" s="182" t="n">
        <v>3.277</v>
      </c>
      <c r="AF120" s="78" t="n">
        <v>3.257</v>
      </c>
      <c r="AG120" s="147" t="n">
        <v>3.297</v>
      </c>
      <c r="AH120" s="185" t="n">
        <v>-0.1</v>
      </c>
      <c r="AI120" s="223" t="n">
        <v>1.50558421100033</v>
      </c>
      <c r="AJ120" s="37" t="n">
        <v>0.0584562699979432</v>
      </c>
      <c r="AK120" s="37" t="n">
        <v>0.0595924346581209</v>
      </c>
      <c r="AL120" s="39" t="n">
        <v>0.674100814229185</v>
      </c>
      <c r="AM120" s="149" t="n">
        <v>0.669028043853612</v>
      </c>
      <c r="AN120" s="129" t="n">
        <v>0.135</v>
      </c>
      <c r="AO120" s="150" t="n">
        <v>0.12</v>
      </c>
      <c r="AP120" s="22"/>
      <c r="AQ120" s="129" t="n">
        <v>-3.48695310442985</v>
      </c>
      <c r="AR120" s="151" t="n">
        <v>-2.84695310442985</v>
      </c>
      <c r="AS120" s="22"/>
      <c r="AT120" s="5" t="n">
        <v>0.0075</v>
      </c>
      <c r="AU120" s="22"/>
      <c r="AV120" s="129" t="n">
        <v>0.0025</v>
      </c>
      <c r="AW120" s="187"/>
      <c r="AX120" s="39" t="n">
        <v>-0.105</v>
      </c>
      <c r="AY120" s="39"/>
      <c r="AZ120" s="243" t="n">
        <v>0.45</v>
      </c>
      <c r="BA120" s="243" t="n">
        <v>0.45</v>
      </c>
      <c r="BB120" s="194" t="n">
        <v>-0.64</v>
      </c>
      <c r="BC120" s="190"/>
      <c r="BD120" s="39"/>
      <c r="BE120" s="22"/>
      <c r="BF120" s="96"/>
      <c r="BG120" s="22"/>
      <c r="BH120" s="71"/>
      <c r="BI120" s="71"/>
      <c r="BJ120" s="22"/>
      <c r="BK120" s="96"/>
      <c r="BL120" s="22"/>
      <c r="BM120" s="22"/>
      <c r="BN120" s="39"/>
      <c r="BO120" s="39"/>
      <c r="BP120" s="71"/>
      <c r="BQ120" s="22"/>
      <c r="BR120" s="71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</row>
    <row r="121" customFormat="false" ht="12.75" hidden="false" customHeight="false" outlineLevel="0" collapsed="false">
      <c r="A121" s="224" t="n">
        <v>39600</v>
      </c>
      <c r="B121" s="217" t="n">
        <v>3.563</v>
      </c>
      <c r="C121" s="244" t="n">
        <v>-0.64</v>
      </c>
      <c r="D121" s="133" t="n">
        <v>-0.548865441703965</v>
      </c>
      <c r="E121" s="133" t="n">
        <v>-0.569896493618435</v>
      </c>
      <c r="F121" s="226" t="n">
        <v>0.135</v>
      </c>
      <c r="G121" s="227" t="n">
        <v>0.135</v>
      </c>
      <c r="H121" s="227" t="n">
        <v>0.17</v>
      </c>
      <c r="I121" s="228" t="n">
        <v>0.13</v>
      </c>
      <c r="J121" s="227" t="n">
        <v>0.04</v>
      </c>
      <c r="K121" s="227" t="n">
        <v>0.105</v>
      </c>
      <c r="L121" s="227" t="n">
        <v>0.42</v>
      </c>
      <c r="M121" s="226" t="n">
        <v>-0.27</v>
      </c>
      <c r="N121" s="227" t="n">
        <v>0.25</v>
      </c>
      <c r="O121" s="228" t="n">
        <v>-0.23</v>
      </c>
      <c r="P121" s="183" t="n">
        <v>-0.25</v>
      </c>
      <c r="Q121" s="160" t="n">
        <v>0.2225</v>
      </c>
      <c r="R121" s="232" t="n">
        <v>0.2225</v>
      </c>
      <c r="S121" s="139" t="n">
        <v>0.2225</v>
      </c>
      <c r="T121" s="56" t="n">
        <v>0.45</v>
      </c>
      <c r="U121" s="248" t="n">
        <v>0.2225</v>
      </c>
      <c r="V121" s="12" t="n">
        <v>2.923</v>
      </c>
      <c r="W121" s="12" t="n">
        <v>3.01413455829604</v>
      </c>
      <c r="X121" s="142" t="n">
        <v>2.99310350638157</v>
      </c>
      <c r="Y121" s="62" t="s">
        <v>89</v>
      </c>
      <c r="Z121" s="221" t="n">
        <v>0.13</v>
      </c>
      <c r="AA121" s="237" t="n">
        <v>0.1</v>
      </c>
      <c r="AB121" s="242" t="n">
        <v>4.16954892967898</v>
      </c>
      <c r="AC121" s="90" t="n">
        <v>4.29954892967898</v>
      </c>
      <c r="AD121" s="142" t="n">
        <v>4.26954892967898</v>
      </c>
      <c r="AE121" s="182" t="n">
        <v>3.313</v>
      </c>
      <c r="AF121" s="78" t="n">
        <v>3.293</v>
      </c>
      <c r="AG121" s="147" t="n">
        <v>3.333</v>
      </c>
      <c r="AH121" s="185" t="n">
        <v>-0.1</v>
      </c>
      <c r="AI121" s="223" t="n">
        <v>1.50499747367478</v>
      </c>
      <c r="AJ121" s="37" t="n">
        <v>0.0585328157125629</v>
      </c>
      <c r="AK121" s="37" t="n">
        <v>0.0597130308887324</v>
      </c>
      <c r="AL121" s="39" t="n">
        <v>0.670466720280797</v>
      </c>
      <c r="AM121" s="149" t="n">
        <v>0.665161977722886</v>
      </c>
      <c r="AN121" s="129" t="n">
        <v>0.135</v>
      </c>
      <c r="AO121" s="150" t="n">
        <v>0.124</v>
      </c>
      <c r="AP121" s="22"/>
      <c r="AQ121" s="129" t="n">
        <v>-3.5229257959932</v>
      </c>
      <c r="AR121" s="151" t="n">
        <v>-2.8829257959932</v>
      </c>
      <c r="AS121" s="22"/>
      <c r="AT121" s="5" t="n">
        <v>0.0075</v>
      </c>
      <c r="AU121" s="22"/>
      <c r="AV121" s="129" t="n">
        <v>0.0025</v>
      </c>
      <c r="AW121" s="187"/>
      <c r="AX121" s="39" t="n">
        <v>-0.105</v>
      </c>
      <c r="AY121" s="39"/>
      <c r="AZ121" s="243" t="n">
        <v>0.45</v>
      </c>
      <c r="BA121" s="243" t="n">
        <v>0.45</v>
      </c>
      <c r="BB121" s="194" t="n">
        <v>-0.64</v>
      </c>
      <c r="BC121" s="190"/>
      <c r="BD121" s="39"/>
      <c r="BE121" s="22"/>
      <c r="BF121" s="96"/>
      <c r="BG121" s="22"/>
      <c r="BH121" s="71"/>
      <c r="BI121" s="71"/>
      <c r="BJ121" s="22"/>
      <c r="BK121" s="96"/>
      <c r="BL121" s="22"/>
      <c r="BM121" s="22"/>
      <c r="BN121" s="39"/>
      <c r="BO121" s="39"/>
      <c r="BP121" s="71"/>
      <c r="BQ121" s="22"/>
      <c r="BR121" s="71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</row>
    <row r="122" customFormat="false" ht="12.75" hidden="false" customHeight="false" outlineLevel="0" collapsed="false">
      <c r="A122" s="224" t="n">
        <v>39630</v>
      </c>
      <c r="B122" s="217" t="n">
        <v>3.605</v>
      </c>
      <c r="C122" s="244" t="n">
        <v>-0.64</v>
      </c>
      <c r="D122" s="133" t="n">
        <v>-0.548831549728161</v>
      </c>
      <c r="E122" s="133" t="n">
        <v>-0.569870422867816</v>
      </c>
      <c r="F122" s="226" t="n">
        <v>0.135</v>
      </c>
      <c r="G122" s="227" t="n">
        <v>0.135</v>
      </c>
      <c r="H122" s="227" t="n">
        <v>0.17</v>
      </c>
      <c r="I122" s="228" t="n">
        <v>0.13</v>
      </c>
      <c r="J122" s="227" t="n">
        <v>0.04</v>
      </c>
      <c r="K122" s="227" t="n">
        <v>0.105</v>
      </c>
      <c r="L122" s="227" t="n">
        <v>0.48</v>
      </c>
      <c r="M122" s="226" t="n">
        <v>-0.27</v>
      </c>
      <c r="N122" s="227" t="n">
        <v>0.25</v>
      </c>
      <c r="O122" s="228" t="n">
        <v>-0.23</v>
      </c>
      <c r="P122" s="183" t="n">
        <v>-0.25</v>
      </c>
      <c r="Q122" s="160" t="n">
        <v>0.22</v>
      </c>
      <c r="R122" s="232" t="n">
        <v>0.22</v>
      </c>
      <c r="S122" s="139" t="n">
        <v>0.22</v>
      </c>
      <c r="T122" s="56" t="n">
        <v>0.5</v>
      </c>
      <c r="U122" s="248" t="n">
        <v>0.22</v>
      </c>
      <c r="V122" s="12" t="n">
        <v>2.965</v>
      </c>
      <c r="W122" s="12" t="n">
        <v>3.05616845027184</v>
      </c>
      <c r="X122" s="142" t="n">
        <v>3.03512957713218</v>
      </c>
      <c r="Y122" s="180" t="n">
        <v>4.53631579196886</v>
      </c>
      <c r="Z122" s="221" t="n">
        <v>0.13</v>
      </c>
      <c r="AA122" s="237" t="n">
        <v>0.1</v>
      </c>
      <c r="AB122" s="242" t="n">
        <v>4.22788803419051</v>
      </c>
      <c r="AC122" s="90" t="n">
        <v>4.35788803419051</v>
      </c>
      <c r="AD122" s="142" t="n">
        <v>4.32788803419051</v>
      </c>
      <c r="AE122" s="182" t="n">
        <v>3.355</v>
      </c>
      <c r="AF122" s="78" t="n">
        <v>3.335</v>
      </c>
      <c r="AG122" s="147" t="n">
        <v>3.375</v>
      </c>
      <c r="AH122" s="185" t="n">
        <v>-0.1</v>
      </c>
      <c r="AI122" s="223" t="n">
        <v>1.50443798914027</v>
      </c>
      <c r="AJ122" s="37" t="n">
        <v>0.058606892212437</v>
      </c>
      <c r="AK122" s="37" t="n">
        <v>0.0598279348155617</v>
      </c>
      <c r="AL122" s="39" t="n">
        <v>0.666960505427424</v>
      </c>
      <c r="AM122" s="149" t="n">
        <v>0.66143752249256</v>
      </c>
      <c r="AN122" s="129" t="n">
        <v>0.135</v>
      </c>
      <c r="AO122" s="150" t="n">
        <v>0.12</v>
      </c>
      <c r="AP122" s="22"/>
      <c r="AQ122" s="129" t="n">
        <v>-3.56489973613983</v>
      </c>
      <c r="AR122" s="151" t="n">
        <v>-2.92489973613983</v>
      </c>
      <c r="AS122" s="22"/>
      <c r="AT122" s="5" t="n">
        <v>0.0075</v>
      </c>
      <c r="AU122" s="22"/>
      <c r="AV122" s="129" t="n">
        <v>0.0025</v>
      </c>
      <c r="AW122" s="187"/>
      <c r="AX122" s="39" t="n">
        <v>-0.105</v>
      </c>
      <c r="AY122" s="39"/>
      <c r="AZ122" s="243" t="n">
        <v>0.5</v>
      </c>
      <c r="BA122" s="243" t="n">
        <v>0.5</v>
      </c>
      <c r="BB122" s="194" t="n">
        <v>-0.64</v>
      </c>
      <c r="BC122" s="190"/>
      <c r="BD122" s="39"/>
      <c r="BE122" s="22"/>
      <c r="BF122" s="96"/>
      <c r="BG122" s="22"/>
      <c r="BH122" s="71"/>
      <c r="BI122" s="71"/>
      <c r="BJ122" s="22"/>
      <c r="BK122" s="96"/>
      <c r="BL122" s="22"/>
      <c r="BM122" s="22"/>
      <c r="BN122" s="39"/>
      <c r="BO122" s="39"/>
      <c r="BP122" s="71"/>
      <c r="BQ122" s="22"/>
      <c r="BR122" s="71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</row>
    <row r="123" customFormat="false" ht="12.75" hidden="false" customHeight="false" outlineLevel="0" collapsed="false">
      <c r="A123" s="224" t="n">
        <v>39661</v>
      </c>
      <c r="B123" s="217" t="n">
        <v>3.654</v>
      </c>
      <c r="C123" s="244" t="n">
        <v>-0.64</v>
      </c>
      <c r="D123" s="133" t="n">
        <v>-0.548829823428483</v>
      </c>
      <c r="E123" s="133" t="n">
        <v>-0.569869094944987</v>
      </c>
      <c r="F123" s="226" t="n">
        <v>0.135</v>
      </c>
      <c r="G123" s="227" t="n">
        <v>0.135</v>
      </c>
      <c r="H123" s="227" t="n">
        <v>0.17</v>
      </c>
      <c r="I123" s="228" t="n">
        <v>0.13</v>
      </c>
      <c r="J123" s="227" t="n">
        <v>0.04</v>
      </c>
      <c r="K123" s="227" t="n">
        <v>0.105</v>
      </c>
      <c r="L123" s="227" t="n">
        <v>0.48</v>
      </c>
      <c r="M123" s="226" t="n">
        <v>-0.27</v>
      </c>
      <c r="N123" s="227" t="n">
        <v>0.25</v>
      </c>
      <c r="O123" s="228" t="n">
        <v>-0.23</v>
      </c>
      <c r="P123" s="183" t="n">
        <v>-0.25</v>
      </c>
      <c r="Q123" s="160" t="n">
        <v>0.195</v>
      </c>
      <c r="R123" s="232" t="n">
        <v>0.22</v>
      </c>
      <c r="S123" s="139" t="n">
        <v>0.22</v>
      </c>
      <c r="T123" s="56" t="n">
        <v>0.55</v>
      </c>
      <c r="U123" s="248" t="n">
        <v>0.22</v>
      </c>
      <c r="V123" s="12" t="n">
        <v>3.014</v>
      </c>
      <c r="W123" s="12" t="n">
        <v>3.10517017657152</v>
      </c>
      <c r="X123" s="142" t="n">
        <v>3.08413090505501</v>
      </c>
      <c r="Y123" s="180" t="n">
        <v>4.88370190837193</v>
      </c>
      <c r="Z123" s="221" t="n">
        <v>0.13</v>
      </c>
      <c r="AA123" s="237" t="n">
        <v>0.1</v>
      </c>
      <c r="AB123" s="242" t="n">
        <v>4.29767731877371</v>
      </c>
      <c r="AC123" s="90" t="n">
        <v>4.42767731877371</v>
      </c>
      <c r="AD123" s="142" t="n">
        <v>4.39767731877371</v>
      </c>
      <c r="AE123" s="182" t="n">
        <v>3.404</v>
      </c>
      <c r="AF123" s="78" t="n">
        <v>3.384</v>
      </c>
      <c r="AG123" s="147" t="n">
        <v>3.424</v>
      </c>
      <c r="AH123" s="185" t="n">
        <v>-0.1</v>
      </c>
      <c r="AI123" s="223" t="n">
        <v>1.50440950273262</v>
      </c>
      <c r="AJ123" s="37" t="n">
        <v>0.0586834379308905</v>
      </c>
      <c r="AK123" s="37" t="n">
        <v>0.0598926657246102</v>
      </c>
      <c r="AL123" s="39" t="n">
        <v>0.663348452296763</v>
      </c>
      <c r="AM123" s="149" t="n">
        <v>0.657842923703513</v>
      </c>
      <c r="AN123" s="129" t="n">
        <v>0.135</v>
      </c>
      <c r="AO123" s="150" t="n">
        <v>0.12</v>
      </c>
      <c r="AP123" s="22"/>
      <c r="AQ123" s="129" t="n">
        <v>-3.61389840877205</v>
      </c>
      <c r="AR123" s="151" t="n">
        <v>-2.97389840877205</v>
      </c>
      <c r="AS123" s="22"/>
      <c r="AT123" s="5" t="n">
        <v>0.0075</v>
      </c>
      <c r="AU123" s="22"/>
      <c r="AV123" s="129" t="n">
        <v>0.0025</v>
      </c>
      <c r="AW123" s="187"/>
      <c r="AX123" s="39" t="n">
        <v>-0.105</v>
      </c>
      <c r="AY123" s="39"/>
      <c r="AZ123" s="243" t="n">
        <v>0.55</v>
      </c>
      <c r="BA123" s="243" t="n">
        <v>0.55</v>
      </c>
      <c r="BB123" s="194" t="n">
        <v>-0.64</v>
      </c>
      <c r="BC123" s="190"/>
      <c r="BD123" s="39"/>
      <c r="BE123" s="22"/>
      <c r="BF123" s="96"/>
      <c r="BG123" s="22"/>
      <c r="BH123" s="71"/>
      <c r="BI123" s="71"/>
      <c r="BJ123" s="22"/>
      <c r="BK123" s="96"/>
      <c r="BL123" s="22"/>
      <c r="BM123" s="22"/>
      <c r="BN123" s="39"/>
      <c r="BO123" s="39"/>
      <c r="BP123" s="71"/>
      <c r="BQ123" s="22"/>
      <c r="BR123" s="71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</row>
    <row r="124" customFormat="false" ht="12.75" hidden="false" customHeight="false" outlineLevel="0" collapsed="false">
      <c r="A124" s="224" t="n">
        <v>39692</v>
      </c>
      <c r="B124" s="217" t="n">
        <v>3.669</v>
      </c>
      <c r="C124" s="244" t="n">
        <v>-0.64</v>
      </c>
      <c r="D124" s="133" t="n">
        <v>-0.548828274791933</v>
      </c>
      <c r="E124" s="133" t="n">
        <v>-0.569867903686102</v>
      </c>
      <c r="F124" s="226" t="n">
        <v>0.135</v>
      </c>
      <c r="G124" s="227" t="n">
        <v>0.135</v>
      </c>
      <c r="H124" s="227" t="n">
        <v>0.17</v>
      </c>
      <c r="I124" s="228" t="n">
        <v>0.13</v>
      </c>
      <c r="J124" s="227" t="n">
        <v>0.04</v>
      </c>
      <c r="K124" s="227" t="n">
        <v>0.105</v>
      </c>
      <c r="L124" s="227" t="n">
        <v>0.44</v>
      </c>
      <c r="M124" s="226" t="n">
        <v>-0.27</v>
      </c>
      <c r="N124" s="227" t="n">
        <v>0.25</v>
      </c>
      <c r="O124" s="228" t="n">
        <v>-0.23</v>
      </c>
      <c r="P124" s="183" t="n">
        <v>-0.25</v>
      </c>
      <c r="Q124" s="160" t="n">
        <v>0.195</v>
      </c>
      <c r="R124" s="232" t="n">
        <v>0.22</v>
      </c>
      <c r="S124" s="139" t="n">
        <v>0.22</v>
      </c>
      <c r="T124" s="56" t="n">
        <v>0.55</v>
      </c>
      <c r="U124" s="248" t="n">
        <v>0.22</v>
      </c>
      <c r="V124" s="12" t="n">
        <v>3.029</v>
      </c>
      <c r="W124" s="12" t="n">
        <v>3.12017172520807</v>
      </c>
      <c r="X124" s="142" t="n">
        <v>3.0991320963139</v>
      </c>
      <c r="Y124" s="180" t="n">
        <v>4.28818285168095</v>
      </c>
      <c r="Z124" s="221" t="n">
        <v>0.13</v>
      </c>
      <c r="AA124" s="237" t="n">
        <v>0.1</v>
      </c>
      <c r="AB124" s="242" t="n">
        <v>4.31899252867444</v>
      </c>
      <c r="AC124" s="90" t="n">
        <v>4.44899252867444</v>
      </c>
      <c r="AD124" s="142" t="n">
        <v>4.41899252867444</v>
      </c>
      <c r="AE124" s="182" t="n">
        <v>3.419</v>
      </c>
      <c r="AF124" s="78" t="n">
        <v>3.399</v>
      </c>
      <c r="AG124" s="147" t="n">
        <v>3.439</v>
      </c>
      <c r="AH124" s="185" t="n">
        <v>-0.1</v>
      </c>
      <c r="AI124" s="223" t="n">
        <v>1.50438394893798</v>
      </c>
      <c r="AJ124" s="37" t="n">
        <v>0.0587599836512918</v>
      </c>
      <c r="AK124" s="37" t="n">
        <v>0.0599573966350513</v>
      </c>
      <c r="AL124" s="39" t="n">
        <v>0.65974764582126</v>
      </c>
      <c r="AM124" s="149" t="n">
        <v>0.654260889072593</v>
      </c>
      <c r="AN124" s="129" t="n">
        <v>0.135</v>
      </c>
      <c r="AO124" s="150" t="n">
        <v>0.124</v>
      </c>
      <c r="AP124" s="22"/>
      <c r="AQ124" s="129" t="n">
        <v>-3.6288972180111</v>
      </c>
      <c r="AR124" s="151" t="n">
        <v>-2.9888972180111</v>
      </c>
      <c r="AS124" s="22"/>
      <c r="AT124" s="5" t="n">
        <v>0.0075</v>
      </c>
      <c r="AU124" s="22"/>
      <c r="AV124" s="129" t="n">
        <v>0.0025</v>
      </c>
      <c r="AW124" s="187"/>
      <c r="AX124" s="39" t="n">
        <v>-0.105</v>
      </c>
      <c r="AY124" s="39"/>
      <c r="AZ124" s="243" t="n">
        <v>0.55</v>
      </c>
      <c r="BA124" s="243" t="n">
        <v>0.55</v>
      </c>
      <c r="BB124" s="194" t="n">
        <v>-0.64</v>
      </c>
      <c r="BC124" s="190"/>
      <c r="BD124" s="39"/>
      <c r="BE124" s="22"/>
      <c r="BF124" s="96"/>
      <c r="BG124" s="22"/>
      <c r="BH124" s="71"/>
      <c r="BI124" s="71"/>
      <c r="BJ124" s="22"/>
      <c r="BK124" s="96"/>
      <c r="BL124" s="22"/>
      <c r="BM124" s="22"/>
      <c r="BN124" s="39"/>
      <c r="BO124" s="39"/>
      <c r="BP124" s="71"/>
      <c r="BQ124" s="22"/>
      <c r="BR124" s="71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</row>
    <row r="125" customFormat="false" ht="12.75" hidden="false" customHeight="false" outlineLevel="0" collapsed="false">
      <c r="A125" s="224" t="n">
        <v>39722</v>
      </c>
      <c r="B125" s="217" t="n">
        <v>3.698</v>
      </c>
      <c r="C125" s="244" t="n">
        <v>-0.64</v>
      </c>
      <c r="D125" s="133" t="n">
        <v>-0.548826945261686</v>
      </c>
      <c r="E125" s="133" t="n">
        <v>-0.569866880970528</v>
      </c>
      <c r="F125" s="226" t="n">
        <v>0.135</v>
      </c>
      <c r="G125" s="227" t="n">
        <v>0.135</v>
      </c>
      <c r="H125" s="227" t="n">
        <v>0.17</v>
      </c>
      <c r="I125" s="228" t="n">
        <v>0.13</v>
      </c>
      <c r="J125" s="227" t="n">
        <v>0.04</v>
      </c>
      <c r="K125" s="227" t="n">
        <v>0.105</v>
      </c>
      <c r="L125" s="227" t="n">
        <v>0.45</v>
      </c>
      <c r="M125" s="226" t="n">
        <v>-0.27</v>
      </c>
      <c r="N125" s="227" t="n">
        <v>0.25</v>
      </c>
      <c r="O125" s="228" t="n">
        <v>-0.23</v>
      </c>
      <c r="P125" s="183" t="n">
        <v>-0.25</v>
      </c>
      <c r="Q125" s="160" t="n">
        <v>0.195</v>
      </c>
      <c r="R125" s="232" t="n">
        <v>0.22</v>
      </c>
      <c r="S125" s="139" t="n">
        <v>0.22</v>
      </c>
      <c r="T125" s="56" t="n">
        <v>0.6</v>
      </c>
      <c r="U125" s="248" t="n">
        <v>0.22</v>
      </c>
      <c r="V125" s="12" t="n">
        <v>3.058</v>
      </c>
      <c r="W125" s="12" t="n">
        <v>3.14917305473831</v>
      </c>
      <c r="X125" s="142" t="n">
        <v>3.12813311902947</v>
      </c>
      <c r="Y125" s="62" t="s">
        <v>81</v>
      </c>
      <c r="Z125" s="221" t="n">
        <v>0.13</v>
      </c>
      <c r="AA125" s="237" t="n">
        <v>0.1</v>
      </c>
      <c r="AB125" s="242" t="n">
        <v>4.36027948324231</v>
      </c>
      <c r="AC125" s="90" t="n">
        <v>4.49027948324231</v>
      </c>
      <c r="AD125" s="142" t="n">
        <v>4.46027948324231</v>
      </c>
      <c r="AE125" s="182" t="n">
        <v>3.448</v>
      </c>
      <c r="AF125" s="78" t="n">
        <v>3.428</v>
      </c>
      <c r="AG125" s="147" t="n">
        <v>3.468</v>
      </c>
      <c r="AH125" s="185" t="n">
        <v>-0.1</v>
      </c>
      <c r="AI125" s="223" t="n">
        <v>1.50436201127263</v>
      </c>
      <c r="AJ125" s="37" t="n">
        <v>0.058834060156761</v>
      </c>
      <c r="AK125" s="37" t="n">
        <v>0.0600200394529331</v>
      </c>
      <c r="AL125" s="39" t="n">
        <v>0.656273730901683</v>
      </c>
      <c r="AM125" s="149" t="n">
        <v>0.650806374268059</v>
      </c>
      <c r="AN125" s="129" t="n">
        <v>0.135</v>
      </c>
      <c r="AO125" s="150" t="n">
        <v>0.12</v>
      </c>
      <c r="AP125" s="22"/>
      <c r="AQ125" s="129" t="n">
        <v>-3.65789619572301</v>
      </c>
      <c r="AR125" s="151" t="n">
        <v>-3.01789619572301</v>
      </c>
      <c r="AS125" s="22"/>
      <c r="AT125" s="5" t="n">
        <v>0.0075</v>
      </c>
      <c r="AU125" s="22"/>
      <c r="AV125" s="129" t="n">
        <v>0.0025</v>
      </c>
      <c r="AW125" s="187"/>
      <c r="AX125" s="39" t="n">
        <v>-0.105</v>
      </c>
      <c r="AY125" s="39"/>
      <c r="AZ125" s="243" t="n">
        <v>0.6</v>
      </c>
      <c r="BA125" s="243" t="n">
        <v>0.6</v>
      </c>
      <c r="BB125" s="194" t="n">
        <v>-0.64</v>
      </c>
      <c r="BC125" s="190"/>
      <c r="BD125" s="39"/>
      <c r="BE125" s="22"/>
      <c r="BF125" s="96"/>
      <c r="BG125" s="22"/>
      <c r="BH125" s="71"/>
      <c r="BI125" s="71"/>
      <c r="BJ125" s="22"/>
      <c r="BK125" s="96"/>
      <c r="BL125" s="22"/>
      <c r="BM125" s="22"/>
      <c r="BN125" s="39"/>
      <c r="BO125" s="39"/>
      <c r="BP125" s="71"/>
      <c r="BQ125" s="22"/>
      <c r="BR125" s="71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</row>
    <row r="126" customFormat="false" ht="12.75" hidden="false" customHeight="false" outlineLevel="0" collapsed="false">
      <c r="A126" s="216" t="n">
        <v>39753</v>
      </c>
      <c r="B126" s="217" t="n">
        <v>3.838</v>
      </c>
      <c r="C126" s="225" t="n">
        <v>-0.505</v>
      </c>
      <c r="D126" s="133" t="n">
        <v>-0.413825746192426</v>
      </c>
      <c r="E126" s="133" t="n">
        <v>-0.11</v>
      </c>
      <c r="F126" s="226" t="n">
        <v>0.185</v>
      </c>
      <c r="G126" s="227" t="n">
        <v>0.375</v>
      </c>
      <c r="H126" s="227" t="n">
        <v>0.295</v>
      </c>
      <c r="I126" s="228" t="n">
        <v>0.395</v>
      </c>
      <c r="J126" s="227" t="n">
        <v>0.14</v>
      </c>
      <c r="K126" s="227" t="n">
        <v>0.17</v>
      </c>
      <c r="L126" s="227" t="n">
        <v>0.73</v>
      </c>
      <c r="M126" s="226" t="n">
        <v>-0.15</v>
      </c>
      <c r="N126" s="227" t="n">
        <v>0.25</v>
      </c>
      <c r="O126" s="228" t="n">
        <v>0</v>
      </c>
      <c r="P126" s="183" t="n">
        <v>0.248</v>
      </c>
      <c r="Q126" s="160" t="n">
        <v>0.195</v>
      </c>
      <c r="R126" s="232" t="n">
        <v>0.22</v>
      </c>
      <c r="S126" s="139" t="n">
        <v>0.22</v>
      </c>
      <c r="T126" s="56" t="n">
        <v>0.8</v>
      </c>
      <c r="U126" s="248" t="n">
        <v>0.22</v>
      </c>
      <c r="V126" s="12" t="n">
        <v>3.333</v>
      </c>
      <c r="W126" s="12" t="n">
        <v>3.42417425380757</v>
      </c>
      <c r="X126" s="142" t="n">
        <v>3.728</v>
      </c>
      <c r="Y126" s="180"/>
      <c r="Z126" s="221" t="n">
        <v>0.13</v>
      </c>
      <c r="AA126" s="237" t="n">
        <v>0.56320724168882</v>
      </c>
      <c r="AB126" s="242" t="n">
        <v>4.75232844695909</v>
      </c>
      <c r="AC126" s="90" t="n">
        <v>4.88232844695909</v>
      </c>
      <c r="AD126" s="142" t="n">
        <v>5.31553568864791</v>
      </c>
      <c r="AE126" s="182" t="n">
        <v>4.086</v>
      </c>
      <c r="AF126" s="78" t="n">
        <v>3.688</v>
      </c>
      <c r="AG126" s="147" t="n">
        <v>3.838</v>
      </c>
      <c r="AH126" s="185" t="n">
        <v>-0.1</v>
      </c>
      <c r="AI126" s="223" t="n">
        <v>1.50434222680314</v>
      </c>
      <c r="AJ126" s="37" t="n">
        <v>0.0589106058809952</v>
      </c>
      <c r="AK126" s="37" t="n">
        <v>0.0600847703661134</v>
      </c>
      <c r="AL126" s="39" t="n">
        <v>0.652695141769633</v>
      </c>
      <c r="AM126" s="149" t="n">
        <v>0.647249085691048</v>
      </c>
      <c r="AN126" s="129" t="n">
        <v>0.375</v>
      </c>
      <c r="AO126" s="150" t="n">
        <v>0.124</v>
      </c>
      <c r="AP126" s="22"/>
      <c r="AQ126" s="129" t="n">
        <v>-3.47282950193374</v>
      </c>
      <c r="AR126" s="151" t="n">
        <v>-2.96782950193374</v>
      </c>
      <c r="AS126" s="22"/>
      <c r="AT126" s="5" t="n">
        <v>0.0075</v>
      </c>
      <c r="AU126" s="22"/>
      <c r="AV126" s="129" t="n">
        <v>0.008</v>
      </c>
      <c r="AW126" s="187"/>
      <c r="AX126" s="39" t="n">
        <v>0.005</v>
      </c>
      <c r="AY126" s="39"/>
      <c r="AZ126" s="243" t="n">
        <v>0.8</v>
      </c>
      <c r="BA126" s="243" t="n">
        <v>0.8</v>
      </c>
      <c r="BB126" s="194" t="n">
        <v>-0.505</v>
      </c>
      <c r="BC126" s="190"/>
      <c r="BD126" s="39"/>
      <c r="BE126" s="22"/>
      <c r="BF126" s="96"/>
      <c r="BG126" s="22"/>
      <c r="BH126" s="71"/>
      <c r="BI126" s="71"/>
      <c r="BJ126" s="22"/>
      <c r="BK126" s="96"/>
      <c r="BL126" s="22"/>
      <c r="BM126" s="22"/>
      <c r="BN126" s="39"/>
      <c r="BO126" s="39"/>
      <c r="BP126" s="71"/>
      <c r="BQ126" s="22"/>
      <c r="BR126" s="71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</row>
    <row r="127" customFormat="false" ht="12.75" hidden="false" customHeight="false" outlineLevel="0" collapsed="false">
      <c r="A127" s="224" t="n">
        <v>39783</v>
      </c>
      <c r="B127" s="217" t="n">
        <v>3.978</v>
      </c>
      <c r="C127" s="247" t="n">
        <v>-0.505</v>
      </c>
      <c r="D127" s="133" t="n">
        <v>-0.413824754932973</v>
      </c>
      <c r="E127" s="133" t="n">
        <v>-0.11</v>
      </c>
      <c r="F127" s="226" t="n">
        <v>0.185</v>
      </c>
      <c r="G127" s="227" t="n">
        <v>0.375</v>
      </c>
      <c r="H127" s="227" t="n">
        <v>0.295</v>
      </c>
      <c r="I127" s="228" t="n">
        <v>0.395</v>
      </c>
      <c r="J127" s="227" t="n">
        <v>0.14</v>
      </c>
      <c r="K127" s="227" t="n">
        <v>0.17</v>
      </c>
      <c r="L127" s="227" t="n">
        <v>1.14</v>
      </c>
      <c r="M127" s="226" t="n">
        <v>-0.15</v>
      </c>
      <c r="N127" s="227" t="n">
        <v>0.25</v>
      </c>
      <c r="O127" s="228" t="n">
        <v>0</v>
      </c>
      <c r="P127" s="183" t="n">
        <v>0.308</v>
      </c>
      <c r="Q127" s="160" t="n">
        <v>0.1975</v>
      </c>
      <c r="R127" s="232" t="n">
        <v>0.2225</v>
      </c>
      <c r="S127" s="139" t="n">
        <v>0.2225</v>
      </c>
      <c r="T127" s="56" t="n">
        <v>1</v>
      </c>
      <c r="U127" s="248" t="n">
        <v>0.2225</v>
      </c>
      <c r="V127" s="12" t="n">
        <v>3.473</v>
      </c>
      <c r="W127" s="12" t="n">
        <v>3.56417524506703</v>
      </c>
      <c r="X127" s="142" t="n">
        <v>3.868</v>
      </c>
      <c r="Y127" s="62" t="s">
        <v>79</v>
      </c>
      <c r="Z127" s="221" t="n">
        <v>0.13</v>
      </c>
      <c r="AA127" s="237" t="n">
        <v>0.563201118486166</v>
      </c>
      <c r="AB127" s="242" t="n">
        <v>4.951892365829</v>
      </c>
      <c r="AC127" s="90" t="n">
        <v>5.081892365829</v>
      </c>
      <c r="AD127" s="142" t="n">
        <v>5.51509348431516</v>
      </c>
      <c r="AE127" s="182" t="n">
        <v>4.286</v>
      </c>
      <c r="AF127" s="78" t="n">
        <v>3.828</v>
      </c>
      <c r="AG127" s="147" t="n">
        <v>3.978</v>
      </c>
      <c r="AH127" s="185" t="n">
        <v>-0.1</v>
      </c>
      <c r="AI127" s="223" t="n">
        <v>1.50432587155833</v>
      </c>
      <c r="AJ127" s="37" t="n">
        <v>0.0589846823901738</v>
      </c>
      <c r="AK127" s="37" t="n">
        <v>0.060147413186646</v>
      </c>
      <c r="AL127" s="39" t="n">
        <v>0.649242781937012</v>
      </c>
      <c r="AM127" s="149" t="n">
        <v>0.64381853249199</v>
      </c>
      <c r="AN127" s="129" t="n">
        <v>0.375</v>
      </c>
      <c r="AO127" s="150" t="n">
        <v>0.12</v>
      </c>
      <c r="AP127" s="22"/>
      <c r="AQ127" s="129" t="n">
        <v>-3.61284266741258</v>
      </c>
      <c r="AR127" s="151" t="n">
        <v>-3.10784266741258</v>
      </c>
      <c r="AS127" s="22"/>
      <c r="AT127" s="5" t="n">
        <v>0.0075</v>
      </c>
      <c r="AU127" s="22"/>
      <c r="AV127" s="129" t="n">
        <v>0.008</v>
      </c>
      <c r="AW127" s="187"/>
      <c r="AX127" s="39" t="n">
        <v>0.01</v>
      </c>
      <c r="AY127" s="39"/>
      <c r="AZ127" s="243" t="n">
        <v>1</v>
      </c>
      <c r="BA127" s="243" t="n">
        <v>1</v>
      </c>
      <c r="BB127" s="194" t="n">
        <v>-0.505</v>
      </c>
      <c r="BC127" s="190"/>
      <c r="BD127" s="39"/>
      <c r="BE127" s="22"/>
      <c r="BF127" s="96"/>
      <c r="BG127" s="22"/>
      <c r="BH127" s="71"/>
      <c r="BI127" s="71"/>
      <c r="BJ127" s="22"/>
      <c r="BK127" s="96"/>
      <c r="BL127" s="22"/>
      <c r="BM127" s="22"/>
      <c r="BN127" s="39"/>
      <c r="BO127" s="39"/>
      <c r="BP127" s="71"/>
      <c r="BQ127" s="22"/>
      <c r="BR127" s="71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</row>
    <row r="128" customFormat="false" ht="12.75" hidden="false" customHeight="false" outlineLevel="0" collapsed="false">
      <c r="A128" s="224" t="n">
        <v>39814</v>
      </c>
      <c r="B128" s="217" t="n">
        <v>4.068</v>
      </c>
      <c r="C128" s="247" t="n">
        <v>-0.505</v>
      </c>
      <c r="D128" s="133" t="n">
        <v>-0.41382390538741</v>
      </c>
      <c r="E128" s="133" t="n">
        <v>-0.11</v>
      </c>
      <c r="F128" s="226" t="n">
        <v>0.185</v>
      </c>
      <c r="G128" s="227" t="n">
        <v>0.375</v>
      </c>
      <c r="H128" s="227" t="n">
        <v>0.295</v>
      </c>
      <c r="I128" s="228" t="n">
        <v>0.395</v>
      </c>
      <c r="J128" s="227" t="n">
        <v>0.14</v>
      </c>
      <c r="K128" s="227" t="n">
        <v>0.17</v>
      </c>
      <c r="L128" s="227" t="n">
        <v>1.63</v>
      </c>
      <c r="M128" s="226" t="n">
        <v>-0.15</v>
      </c>
      <c r="N128" s="227" t="n">
        <v>0.25</v>
      </c>
      <c r="O128" s="228" t="n">
        <v>0</v>
      </c>
      <c r="P128" s="183" t="n">
        <v>0.378</v>
      </c>
      <c r="Q128" s="160" t="n">
        <v>0.1975</v>
      </c>
      <c r="R128" s="232" t="n">
        <v>0.225</v>
      </c>
      <c r="S128" s="139" t="n">
        <v>0.225</v>
      </c>
      <c r="T128" s="56" t="n">
        <v>1</v>
      </c>
      <c r="U128" s="248" t="n">
        <v>0.225</v>
      </c>
      <c r="V128" s="12" t="n">
        <v>3.563</v>
      </c>
      <c r="W128" s="12" t="n">
        <v>3.65417609461259</v>
      </c>
      <c r="X128" s="142" t="n">
        <v>3.958</v>
      </c>
      <c r="Y128" s="180"/>
      <c r="Z128" s="221" t="n">
        <v>0.13</v>
      </c>
      <c r="AA128" s="237" t="n">
        <v>0.563195870783758</v>
      </c>
      <c r="AB128" s="242" t="n">
        <v>5.08016933570261</v>
      </c>
      <c r="AC128" s="90" t="n">
        <v>5.21016933570261</v>
      </c>
      <c r="AD128" s="142" t="n">
        <v>5.64336520648637</v>
      </c>
      <c r="AE128" s="182" t="n">
        <v>4.446</v>
      </c>
      <c r="AF128" s="78" t="n">
        <v>3.918</v>
      </c>
      <c r="AG128" s="147" t="n">
        <v>4.068</v>
      </c>
      <c r="AH128" s="185" t="n">
        <v>-0.1</v>
      </c>
      <c r="AI128" s="223" t="n">
        <v>1.50431185479906</v>
      </c>
      <c r="AJ128" s="37" t="n">
        <v>0.059061228118241</v>
      </c>
      <c r="AK128" s="37" t="n">
        <v>0.0602121441025658</v>
      </c>
      <c r="AL128" s="39" t="n">
        <v>0.645686521505987</v>
      </c>
      <c r="AM128" s="149" t="n">
        <v>0.640286017656838</v>
      </c>
      <c r="AN128" s="129" t="n">
        <v>0.375</v>
      </c>
      <c r="AO128" s="150" t="n">
        <v>0.12</v>
      </c>
      <c r="AP128" s="22"/>
      <c r="AQ128" s="129" t="n">
        <v>-3.70285667708816</v>
      </c>
      <c r="AR128" s="151" t="n">
        <v>-3.19785667708816</v>
      </c>
      <c r="AS128" s="22"/>
      <c r="AT128" s="5" t="n">
        <v>0.0075</v>
      </c>
      <c r="AU128" s="22"/>
      <c r="AV128" s="129" t="n">
        <v>0.008</v>
      </c>
      <c r="AW128" s="187"/>
      <c r="AX128" s="39" t="n">
        <v>0.03</v>
      </c>
      <c r="AY128" s="39"/>
      <c r="AZ128" s="243" t="n">
        <v>1</v>
      </c>
      <c r="BA128" s="243" t="n">
        <v>1</v>
      </c>
      <c r="BB128" s="194" t="n">
        <v>-0.505</v>
      </c>
      <c r="BC128" s="190"/>
      <c r="BD128" s="39"/>
      <c r="BE128" s="22"/>
      <c r="BF128" s="96"/>
      <c r="BG128" s="22"/>
      <c r="BH128" s="71"/>
      <c r="BI128" s="71"/>
      <c r="BJ128" s="22"/>
      <c r="BK128" s="96"/>
      <c r="BL128" s="22"/>
      <c r="BM128" s="22"/>
      <c r="BN128" s="39"/>
      <c r="BO128" s="39"/>
      <c r="BP128" s="71"/>
      <c r="BQ128" s="22"/>
      <c r="BR128" s="71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</row>
    <row r="129" customFormat="false" ht="12.75" hidden="false" customHeight="false" outlineLevel="0" collapsed="false">
      <c r="A129" s="224" t="n">
        <v>39845</v>
      </c>
      <c r="B129" s="217" t="n">
        <v>3.95</v>
      </c>
      <c r="C129" s="247" t="n">
        <v>-0.505</v>
      </c>
      <c r="D129" s="133" t="n">
        <v>-0.413823233449408</v>
      </c>
      <c r="E129" s="133" t="n">
        <v>-0.11</v>
      </c>
      <c r="F129" s="226" t="n">
        <v>0.185</v>
      </c>
      <c r="G129" s="227" t="n">
        <v>0.375</v>
      </c>
      <c r="H129" s="227" t="n">
        <v>0.295</v>
      </c>
      <c r="I129" s="228" t="n">
        <v>0.395</v>
      </c>
      <c r="J129" s="227" t="n">
        <v>0.14</v>
      </c>
      <c r="K129" s="227" t="n">
        <v>0.17</v>
      </c>
      <c r="L129" s="227" t="n">
        <v>1.63</v>
      </c>
      <c r="M129" s="226" t="n">
        <v>-0.15</v>
      </c>
      <c r="N129" s="227" t="n">
        <v>0.25</v>
      </c>
      <c r="O129" s="228" t="n">
        <v>0</v>
      </c>
      <c r="P129" s="183" t="n">
        <v>0.248</v>
      </c>
      <c r="Q129" s="160" t="n">
        <v>0.1925</v>
      </c>
      <c r="R129" s="232" t="n">
        <v>0.22</v>
      </c>
      <c r="S129" s="139" t="n">
        <v>0.22</v>
      </c>
      <c r="T129" s="56" t="n">
        <v>1</v>
      </c>
      <c r="U129" s="248" t="n">
        <v>0.22</v>
      </c>
      <c r="V129" s="12" t="n">
        <v>3.445</v>
      </c>
      <c r="W129" s="12" t="n">
        <v>3.53617676655059</v>
      </c>
      <c r="X129" s="142" t="n">
        <v>3.84</v>
      </c>
      <c r="Y129" s="13"/>
      <c r="Z129" s="221" t="n">
        <v>0.13</v>
      </c>
      <c r="AA129" s="237" t="n">
        <v>0.563191720244943</v>
      </c>
      <c r="AB129" s="242" t="n">
        <v>4.91188728162995</v>
      </c>
      <c r="AC129" s="90" t="n">
        <v>5.04188728162995</v>
      </c>
      <c r="AD129" s="142" t="n">
        <v>5.47507900187489</v>
      </c>
      <c r="AE129" s="182" t="n">
        <v>4.198</v>
      </c>
      <c r="AF129" s="78" t="n">
        <v>3.8</v>
      </c>
      <c r="AG129" s="147" t="n">
        <v>3.95</v>
      </c>
      <c r="AH129" s="185" t="n">
        <v>-0.1</v>
      </c>
      <c r="AI129" s="223" t="n">
        <v>1.5043007685943</v>
      </c>
      <c r="AJ129" s="37" t="n">
        <v>0.0591377738482564</v>
      </c>
      <c r="AK129" s="37" t="n">
        <v>0.0602768750198779</v>
      </c>
      <c r="AL129" s="39" t="n">
        <v>0.642141649679528</v>
      </c>
      <c r="AM129" s="149" t="n">
        <v>0.636766102280371</v>
      </c>
      <c r="AN129" s="129" t="n">
        <v>0.375</v>
      </c>
      <c r="AO129" s="150" t="n">
        <v>0.133</v>
      </c>
      <c r="AP129" s="22"/>
      <c r="AQ129" s="129" t="n">
        <v>-3.58487109867758</v>
      </c>
      <c r="AR129" s="151" t="n">
        <v>-3.07987109867758</v>
      </c>
      <c r="AS129" s="22"/>
      <c r="AT129" s="5" t="n">
        <v>0.0075</v>
      </c>
      <c r="AU129" s="22"/>
      <c r="AV129" s="129" t="n">
        <v>0.008</v>
      </c>
      <c r="AW129" s="187"/>
      <c r="AX129" s="39" t="n">
        <v>0.025</v>
      </c>
      <c r="AY129" s="39"/>
      <c r="AZ129" s="243" t="n">
        <v>1</v>
      </c>
      <c r="BA129" s="243" t="n">
        <v>1</v>
      </c>
      <c r="BB129" s="194" t="n">
        <v>-0.505</v>
      </c>
      <c r="BC129" s="190"/>
      <c r="BD129" s="39"/>
      <c r="BE129" s="22"/>
      <c r="BF129" s="96"/>
      <c r="BG129" s="22"/>
      <c r="BH129" s="71"/>
      <c r="BI129" s="71"/>
      <c r="BJ129" s="22"/>
      <c r="BK129" s="96"/>
      <c r="BL129" s="22"/>
      <c r="BM129" s="22"/>
      <c r="BN129" s="39"/>
      <c r="BO129" s="39"/>
      <c r="BP129" s="71"/>
      <c r="BQ129" s="22"/>
      <c r="BR129" s="71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</row>
    <row r="130" customFormat="false" ht="12.75" hidden="false" customHeight="false" outlineLevel="0" collapsed="false">
      <c r="A130" s="224" t="n">
        <v>39873</v>
      </c>
      <c r="B130" s="217" t="n">
        <v>3.817</v>
      </c>
      <c r="C130" s="247" t="n">
        <v>-0.505</v>
      </c>
      <c r="D130" s="133" t="n">
        <v>-0.413822779183245</v>
      </c>
      <c r="E130" s="133" t="n">
        <v>-0.11</v>
      </c>
      <c r="F130" s="226" t="n">
        <v>0.185</v>
      </c>
      <c r="G130" s="227" t="n">
        <v>0.375</v>
      </c>
      <c r="H130" s="227" t="n">
        <v>0.295</v>
      </c>
      <c r="I130" s="228" t="n">
        <v>0.395</v>
      </c>
      <c r="J130" s="227" t="n">
        <v>0.14</v>
      </c>
      <c r="K130" s="227" t="n">
        <v>0.17</v>
      </c>
      <c r="L130" s="227" t="n">
        <v>0.72</v>
      </c>
      <c r="M130" s="226" t="n">
        <v>-0.15</v>
      </c>
      <c r="N130" s="227" t="n">
        <v>0.25</v>
      </c>
      <c r="O130" s="228" t="n">
        <v>0</v>
      </c>
      <c r="P130" s="183" t="n">
        <v>0.068</v>
      </c>
      <c r="Q130" s="160" t="n">
        <v>0.1825</v>
      </c>
      <c r="R130" s="232" t="n">
        <v>0.205</v>
      </c>
      <c r="S130" s="139" t="n">
        <v>0.205</v>
      </c>
      <c r="T130" s="56" t="n">
        <v>0.75</v>
      </c>
      <c r="U130" s="248" t="n">
        <v>0.205</v>
      </c>
      <c r="V130" s="12" t="n">
        <v>3.312</v>
      </c>
      <c r="W130" s="12" t="n">
        <v>3.40317722081676</v>
      </c>
      <c r="X130" s="142" t="n">
        <v>3.707</v>
      </c>
      <c r="Y130" s="13"/>
      <c r="Z130" s="221" t="n">
        <v>0.13</v>
      </c>
      <c r="AA130" s="237" t="n">
        <v>0.563188914292547</v>
      </c>
      <c r="AB130" s="242" t="n">
        <v>4.72223211173903</v>
      </c>
      <c r="AC130" s="90" t="n">
        <v>4.85223211173903</v>
      </c>
      <c r="AD130" s="142" t="n">
        <v>5.28542102603157</v>
      </c>
      <c r="AE130" s="182" t="n">
        <v>3.885</v>
      </c>
      <c r="AF130" s="78" t="n">
        <v>3.667</v>
      </c>
      <c r="AG130" s="147" t="n">
        <v>3.817</v>
      </c>
      <c r="AH130" s="185" t="n">
        <v>-0.1</v>
      </c>
      <c r="AI130" s="223" t="n">
        <v>1.50429327381731</v>
      </c>
      <c r="AJ130" s="37" t="n">
        <v>0.0592069119286531</v>
      </c>
      <c r="AK130" s="37" t="n">
        <v>0.0603353416560655</v>
      </c>
      <c r="AL130" s="39" t="n">
        <v>0.638949641191023</v>
      </c>
      <c r="AM130" s="149" t="n">
        <v>0.633597658241029</v>
      </c>
      <c r="AN130" s="129" t="n">
        <v>0.375</v>
      </c>
      <c r="AO130" s="150" t="n">
        <v>0.12</v>
      </c>
      <c r="AP130" s="22"/>
      <c r="AQ130" s="129" t="n">
        <v>-3.45188447861086</v>
      </c>
      <c r="AR130" s="151" t="n">
        <v>-2.94688447861086</v>
      </c>
      <c r="AS130" s="22"/>
      <c r="AT130" s="5" t="n">
        <v>0.0075</v>
      </c>
      <c r="AU130" s="22"/>
      <c r="AV130" s="129" t="n">
        <v>0.008</v>
      </c>
      <c r="AW130" s="187"/>
      <c r="AX130" s="39" t="n">
        <v>0.005</v>
      </c>
      <c r="AY130" s="39"/>
      <c r="AZ130" s="243" t="n">
        <v>0.75</v>
      </c>
      <c r="BA130" s="243" t="n">
        <v>0.75</v>
      </c>
      <c r="BB130" s="194" t="n">
        <v>-0.505</v>
      </c>
      <c r="BC130" s="190"/>
      <c r="BD130" s="39"/>
      <c r="BE130" s="22"/>
      <c r="BF130" s="96"/>
      <c r="BG130" s="22"/>
      <c r="BH130" s="71"/>
      <c r="BI130" s="71"/>
      <c r="BJ130" s="22"/>
      <c r="BK130" s="96"/>
      <c r="BL130" s="22"/>
      <c r="BM130" s="22"/>
      <c r="BN130" s="39"/>
      <c r="BO130" s="39"/>
      <c r="BP130" s="71"/>
      <c r="BQ130" s="22"/>
      <c r="BR130" s="71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</row>
    <row r="131" customFormat="false" ht="12.75" hidden="false" customHeight="false" outlineLevel="0" collapsed="false">
      <c r="A131" s="224" t="n">
        <v>39904</v>
      </c>
      <c r="B131" s="217" t="n">
        <v>3.597</v>
      </c>
      <c r="C131" s="239" t="n">
        <v>-0.66</v>
      </c>
      <c r="D131" s="133" t="n">
        <v>-0.568822445232069</v>
      </c>
      <c r="E131" s="133" t="n">
        <v>-0.589863419409284</v>
      </c>
      <c r="F131" s="226" t="n">
        <v>0.125</v>
      </c>
      <c r="G131" s="227" t="n">
        <v>0.125</v>
      </c>
      <c r="H131" s="227" t="n">
        <v>0.16</v>
      </c>
      <c r="I131" s="228" t="n">
        <v>0.12</v>
      </c>
      <c r="J131" s="227" t="n">
        <v>0.04</v>
      </c>
      <c r="K131" s="227" t="n">
        <v>0.11</v>
      </c>
      <c r="L131" s="227" t="n">
        <v>0.48</v>
      </c>
      <c r="M131" s="226" t="n">
        <v>-0.22</v>
      </c>
      <c r="N131" s="227" t="n">
        <v>0.25</v>
      </c>
      <c r="O131" s="228" t="n">
        <v>0</v>
      </c>
      <c r="P131" s="183" t="n">
        <v>-0.25</v>
      </c>
      <c r="Q131" s="160" t="n">
        <v>0.1825</v>
      </c>
      <c r="R131" s="232" t="n">
        <v>0.195</v>
      </c>
      <c r="S131" s="139" t="n">
        <v>0.195</v>
      </c>
      <c r="T131" s="56" t="n">
        <v>0.4</v>
      </c>
      <c r="U131" s="248" t="n">
        <v>0.195</v>
      </c>
      <c r="V131" s="12" t="n">
        <v>2.937</v>
      </c>
      <c r="W131" s="12" t="n">
        <v>3.02817755476793</v>
      </c>
      <c r="X131" s="142" t="n">
        <v>3.00713658059072</v>
      </c>
      <c r="Y131" s="13"/>
      <c r="Z131" s="221" t="n">
        <v>0.13</v>
      </c>
      <c r="AA131" s="237" t="n">
        <v>0.1</v>
      </c>
      <c r="AB131" s="242" t="n">
        <v>4.18754375429123</v>
      </c>
      <c r="AC131" s="90" t="n">
        <v>4.31754375429123</v>
      </c>
      <c r="AD131" s="142" t="n">
        <v>4.28754375429123</v>
      </c>
      <c r="AE131" s="182" t="n">
        <v>3.347</v>
      </c>
      <c r="AF131" s="78" t="n">
        <v>3.377</v>
      </c>
      <c r="AG131" s="147" t="n">
        <v>3.597</v>
      </c>
      <c r="AH131" s="185" t="n">
        <v>-0.1</v>
      </c>
      <c r="AI131" s="223" t="n">
        <v>1.5042877641224</v>
      </c>
      <c r="AJ131" s="37" t="n">
        <v>0.0592834576623753</v>
      </c>
      <c r="AK131" s="37" t="n">
        <v>0.060400072576027</v>
      </c>
      <c r="AL131" s="39" t="n">
        <v>0.635426518580045</v>
      </c>
      <c r="AM131" s="149" t="n">
        <v>0.630101738232602</v>
      </c>
      <c r="AN131" s="129" t="n">
        <v>0.125</v>
      </c>
      <c r="AO131" s="150" t="n">
        <v>0.124</v>
      </c>
      <c r="AP131" s="22"/>
      <c r="AQ131" s="129" t="n">
        <v>-3.55689273560865</v>
      </c>
      <c r="AR131" s="151" t="n">
        <v>-2.89689273560865</v>
      </c>
      <c r="AS131" s="22"/>
      <c r="AT131" s="5" t="n">
        <v>0.0075</v>
      </c>
      <c r="AU131" s="22"/>
      <c r="AV131" s="129" t="n">
        <v>0.0025</v>
      </c>
      <c r="AW131" s="187"/>
      <c r="AX131" s="39" t="n">
        <v>-0.105</v>
      </c>
      <c r="AY131" s="39"/>
      <c r="AZ131" s="243" t="n">
        <v>0.4</v>
      </c>
      <c r="BA131" s="243" t="n">
        <v>0.4</v>
      </c>
      <c r="BB131" s="194" t="n">
        <v>-0.66</v>
      </c>
      <c r="BC131" s="190"/>
      <c r="BD131" s="39"/>
      <c r="BE131" s="22"/>
      <c r="BF131" s="96"/>
      <c r="BG131" s="22"/>
      <c r="BH131" s="71"/>
      <c r="BI131" s="71"/>
      <c r="BJ131" s="22"/>
      <c r="BK131" s="96"/>
      <c r="BL131" s="22"/>
      <c r="BM131" s="22"/>
      <c r="BN131" s="39"/>
      <c r="BO131" s="39"/>
      <c r="BP131" s="71"/>
      <c r="BQ131" s="22"/>
      <c r="BR131" s="71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</row>
    <row r="132" customFormat="false" ht="12.75" hidden="false" customHeight="false" outlineLevel="0" collapsed="false">
      <c r="A132" s="224" t="n">
        <v>39934</v>
      </c>
      <c r="B132" s="217" t="n">
        <v>3.587</v>
      </c>
      <c r="C132" s="244" t="n">
        <v>-0.66</v>
      </c>
      <c r="D132" s="133" t="n">
        <v>-0.568822291117389</v>
      </c>
      <c r="E132" s="133" t="n">
        <v>-0.58986330085953</v>
      </c>
      <c r="F132" s="226" t="n">
        <v>0.125</v>
      </c>
      <c r="G132" s="227" t="n">
        <v>0.125</v>
      </c>
      <c r="H132" s="227" t="n">
        <v>0.16</v>
      </c>
      <c r="I132" s="228" t="n">
        <v>0.12</v>
      </c>
      <c r="J132" s="227" t="n">
        <v>0.04</v>
      </c>
      <c r="K132" s="227" t="n">
        <v>0.11</v>
      </c>
      <c r="L132" s="227" t="n">
        <v>0.42</v>
      </c>
      <c r="M132" s="226" t="n">
        <v>-0.27</v>
      </c>
      <c r="N132" s="227" t="n">
        <v>0.25</v>
      </c>
      <c r="O132" s="228" t="n">
        <v>0</v>
      </c>
      <c r="P132" s="183" t="n">
        <v>-0.25</v>
      </c>
      <c r="Q132" s="160" t="n">
        <v>0.1825</v>
      </c>
      <c r="R132" s="232" t="n">
        <v>0.195</v>
      </c>
      <c r="S132" s="139" t="n">
        <v>0.195</v>
      </c>
      <c r="T132" s="56" t="n">
        <v>0.45</v>
      </c>
      <c r="U132" s="248" t="n">
        <v>0.195</v>
      </c>
      <c r="V132" s="12" t="n">
        <v>2.927</v>
      </c>
      <c r="W132" s="12" t="n">
        <v>3.01817770888261</v>
      </c>
      <c r="X132" s="142" t="n">
        <v>2.99713669914047</v>
      </c>
      <c r="Y132" s="13"/>
      <c r="Z132" s="221" t="n">
        <v>0.13</v>
      </c>
      <c r="AA132" s="237" t="n">
        <v>0.1</v>
      </c>
      <c r="AB132" s="242" t="n">
        <v>4.17327880534809</v>
      </c>
      <c r="AC132" s="90" t="n">
        <v>4.30327880534809</v>
      </c>
      <c r="AD132" s="142" t="n">
        <v>4.27327880534809</v>
      </c>
      <c r="AE132" s="182" t="n">
        <v>3.337</v>
      </c>
      <c r="AF132" s="78" t="n">
        <v>3.317</v>
      </c>
      <c r="AG132" s="147" t="n">
        <v>3.587</v>
      </c>
      <c r="AH132" s="185" t="n">
        <v>-0.1</v>
      </c>
      <c r="AI132" s="223" t="n">
        <v>1.50428522147432</v>
      </c>
      <c r="AJ132" s="37" t="n">
        <v>0.0593575341807342</v>
      </c>
      <c r="AK132" s="37" t="n">
        <v>0.0604627154031214</v>
      </c>
      <c r="AL132" s="39" t="n">
        <v>0.632027961410638</v>
      </c>
      <c r="AM132" s="149" t="n">
        <v>0.626730601126277</v>
      </c>
      <c r="AN132" s="129" t="n">
        <v>0.125</v>
      </c>
      <c r="AO132" s="150" t="n">
        <v>0.12</v>
      </c>
      <c r="AP132" s="22"/>
      <c r="AQ132" s="129" t="n">
        <v>-3.54689261710845</v>
      </c>
      <c r="AR132" s="151" t="n">
        <v>-2.88689261710845</v>
      </c>
      <c r="AS132" s="22"/>
      <c r="AT132" s="5" t="n">
        <v>0.0075</v>
      </c>
      <c r="AU132" s="22"/>
      <c r="AV132" s="129" t="n">
        <v>0.0025</v>
      </c>
      <c r="AW132" s="187"/>
      <c r="AX132" s="39" t="n">
        <v>-0.105</v>
      </c>
      <c r="AY132" s="39"/>
      <c r="AZ132" s="243" t="n">
        <v>0.45</v>
      </c>
      <c r="BA132" s="243" t="n">
        <v>0.45</v>
      </c>
      <c r="BB132" s="194" t="n">
        <v>-0.66</v>
      </c>
      <c r="BC132" s="190"/>
      <c r="BD132" s="39"/>
      <c r="BE132" s="22"/>
      <c r="BF132" s="96"/>
      <c r="BG132" s="22"/>
      <c r="BH132" s="71"/>
      <c r="BI132" s="71"/>
      <c r="BJ132" s="22"/>
      <c r="BK132" s="96"/>
      <c r="BL132" s="22"/>
      <c r="BM132" s="22"/>
      <c r="BN132" s="39"/>
      <c r="BO132" s="39"/>
      <c r="BP132" s="71"/>
      <c r="BQ132" s="22"/>
      <c r="BR132" s="71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</row>
    <row r="133" customFormat="false" ht="12.75" hidden="false" customHeight="false" outlineLevel="0" collapsed="false">
      <c r="A133" s="224" t="n">
        <v>39965</v>
      </c>
      <c r="B133" s="217" t="n">
        <v>3.623</v>
      </c>
      <c r="C133" s="244" t="n">
        <v>-0.66</v>
      </c>
      <c r="D133" s="133" t="n">
        <v>-0.568822306548035</v>
      </c>
      <c r="E133" s="133" t="n">
        <v>-0.589863312729257</v>
      </c>
      <c r="F133" s="226" t="n">
        <v>0.125</v>
      </c>
      <c r="G133" s="227" t="n">
        <v>0.125</v>
      </c>
      <c r="H133" s="227" t="n">
        <v>0.16</v>
      </c>
      <c r="I133" s="228" t="n">
        <v>0.12</v>
      </c>
      <c r="J133" s="227" t="n">
        <v>0.04</v>
      </c>
      <c r="K133" s="227" t="n">
        <v>0.11</v>
      </c>
      <c r="L133" s="227" t="n">
        <v>0.42</v>
      </c>
      <c r="M133" s="226" t="n">
        <v>-0.27</v>
      </c>
      <c r="N133" s="227" t="n">
        <v>0.25</v>
      </c>
      <c r="O133" s="228" t="n">
        <v>0</v>
      </c>
      <c r="P133" s="183" t="n">
        <v>-0.25</v>
      </c>
      <c r="Q133" s="160" t="n">
        <v>0.1825</v>
      </c>
      <c r="R133" s="232" t="n">
        <v>0.195</v>
      </c>
      <c r="S133" s="139" t="n">
        <v>0.195</v>
      </c>
      <c r="T133" s="56" t="n">
        <v>0.45</v>
      </c>
      <c r="U133" s="248" t="n">
        <v>0.195</v>
      </c>
      <c r="V133" s="12" t="n">
        <v>2.963</v>
      </c>
      <c r="W133" s="12" t="n">
        <v>3.05417769345197</v>
      </c>
      <c r="X133" s="142" t="n">
        <v>3.03313668727074</v>
      </c>
      <c r="Y133" s="13"/>
      <c r="Z133" s="221" t="n">
        <v>0.13</v>
      </c>
      <c r="AA133" s="237" t="n">
        <v>0.1</v>
      </c>
      <c r="AB133" s="242" t="n">
        <v>4.22460785546111</v>
      </c>
      <c r="AC133" s="90" t="n">
        <v>4.35460785546111</v>
      </c>
      <c r="AD133" s="142" t="n">
        <v>4.32460785546111</v>
      </c>
      <c r="AE133" s="182" t="n">
        <v>3.373</v>
      </c>
      <c r="AF133" s="78" t="n">
        <v>3.353</v>
      </c>
      <c r="AG133" s="147" t="n">
        <v>3.623</v>
      </c>
      <c r="AH133" s="185" t="n">
        <v>-0.1</v>
      </c>
      <c r="AI133" s="223" t="n">
        <v>1.50428547605514</v>
      </c>
      <c r="AJ133" s="37" t="n">
        <v>0.0594340799182884</v>
      </c>
      <c r="AK133" s="37" t="n">
        <v>0.0605274463258212</v>
      </c>
      <c r="AL133" s="39" t="n">
        <v>0.628527423849681</v>
      </c>
      <c r="AM133" s="149" t="n">
        <v>0.623259508898767</v>
      </c>
      <c r="AN133" s="129" t="n">
        <v>0.125</v>
      </c>
      <c r="AO133" s="150" t="n">
        <v>0.124</v>
      </c>
      <c r="AP133" s="22"/>
      <c r="AQ133" s="129" t="n">
        <v>-3.58289262897322</v>
      </c>
      <c r="AR133" s="151" t="n">
        <v>-2.92289262897322</v>
      </c>
      <c r="AS133" s="22"/>
      <c r="AT133" s="5" t="n">
        <v>0.0075</v>
      </c>
      <c r="AU133" s="22"/>
      <c r="AV133" s="129" t="n">
        <v>0.0025</v>
      </c>
      <c r="AW133" s="187"/>
      <c r="AX133" s="39" t="n">
        <v>-0.105</v>
      </c>
      <c r="AY133" s="39"/>
      <c r="AZ133" s="243" t="n">
        <v>0.45</v>
      </c>
      <c r="BA133" s="243" t="n">
        <v>0.45</v>
      </c>
      <c r="BB133" s="194" t="n">
        <v>-0.66</v>
      </c>
      <c r="BC133" s="190"/>
      <c r="BD133" s="39"/>
      <c r="BE133" s="22"/>
      <c r="BF133" s="96"/>
      <c r="BG133" s="22"/>
      <c r="BH133" s="71"/>
      <c r="BI133" s="71"/>
      <c r="BJ133" s="22"/>
      <c r="BK133" s="96"/>
      <c r="BL133" s="22"/>
      <c r="BM133" s="22"/>
      <c r="BN133" s="39"/>
      <c r="BO133" s="39"/>
      <c r="BP133" s="71"/>
      <c r="BQ133" s="22"/>
      <c r="BR133" s="71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</row>
    <row r="134" customFormat="false" ht="12.75" hidden="false" customHeight="false" outlineLevel="0" collapsed="false">
      <c r="A134" s="224" t="n">
        <v>39995</v>
      </c>
      <c r="B134" s="217" t="n">
        <v>3.665</v>
      </c>
      <c r="C134" s="244" t="n">
        <v>-0.66</v>
      </c>
      <c r="D134" s="133" t="n">
        <v>-0.568822490511391</v>
      </c>
      <c r="E134" s="133" t="n">
        <v>-0.589863454239531</v>
      </c>
      <c r="F134" s="226" t="n">
        <v>0.125</v>
      </c>
      <c r="G134" s="227" t="n">
        <v>0.125</v>
      </c>
      <c r="H134" s="227" t="n">
        <v>0.16</v>
      </c>
      <c r="I134" s="228" t="n">
        <v>0.12</v>
      </c>
      <c r="J134" s="227" t="n">
        <v>0.04</v>
      </c>
      <c r="K134" s="227" t="n">
        <v>0.11</v>
      </c>
      <c r="L134" s="227" t="n">
        <v>0.48</v>
      </c>
      <c r="M134" s="226" t="n">
        <v>-0.27</v>
      </c>
      <c r="N134" s="227" t="n">
        <v>0.25</v>
      </c>
      <c r="O134" s="228" t="n">
        <v>0</v>
      </c>
      <c r="P134" s="183" t="n">
        <v>-0.25</v>
      </c>
      <c r="Q134" s="160" t="n">
        <v>0.1825</v>
      </c>
      <c r="R134" s="232" t="n">
        <v>0.195</v>
      </c>
      <c r="S134" s="139" t="n">
        <v>0.195</v>
      </c>
      <c r="T134" s="56" t="n">
        <v>0.5</v>
      </c>
      <c r="U134" s="248" t="n">
        <v>0.195</v>
      </c>
      <c r="V134" s="12" t="n">
        <v>3.005</v>
      </c>
      <c r="W134" s="12" t="n">
        <v>3.09617750948861</v>
      </c>
      <c r="X134" s="142" t="n">
        <v>3.07513654576047</v>
      </c>
      <c r="Y134" s="13"/>
      <c r="Z134" s="221" t="n">
        <v>0.13</v>
      </c>
      <c r="AA134" s="237" t="n">
        <v>0.1</v>
      </c>
      <c r="AB134" s="242" t="n">
        <v>4.28449956783258</v>
      </c>
      <c r="AC134" s="90" t="n">
        <v>4.41449956783258</v>
      </c>
      <c r="AD134" s="142" t="n">
        <v>4.38449956783258</v>
      </c>
      <c r="AE134" s="182" t="n">
        <v>3.415</v>
      </c>
      <c r="AF134" s="78" t="n">
        <v>3.395</v>
      </c>
      <c r="AG134" s="147" t="n">
        <v>3.665</v>
      </c>
      <c r="AH134" s="185" t="n">
        <v>-0.1</v>
      </c>
      <c r="AI134" s="223" t="n">
        <v>1.50428851116112</v>
      </c>
      <c r="AJ134" s="37" t="n">
        <v>0.0595081564403559</v>
      </c>
      <c r="AK134" s="37" t="n">
        <v>0.0605900891555664</v>
      </c>
      <c r="AL134" s="39" t="n">
        <v>0.625150770088611</v>
      </c>
      <c r="AM134" s="149" t="n">
        <v>0.619912406847611</v>
      </c>
      <c r="AN134" s="129" t="n">
        <v>0.125</v>
      </c>
      <c r="AO134" s="150" t="n">
        <v>0.12</v>
      </c>
      <c r="AP134" s="22"/>
      <c r="AQ134" s="129" t="n">
        <v>-3.62489277042434</v>
      </c>
      <c r="AR134" s="151" t="n">
        <v>-2.96489277042434</v>
      </c>
      <c r="AS134" s="22"/>
      <c r="AT134" s="5" t="n">
        <v>0.0075</v>
      </c>
      <c r="AU134" s="22"/>
      <c r="AV134" s="129" t="n">
        <v>0.0025</v>
      </c>
      <c r="AW134" s="187"/>
      <c r="AX134" s="39" t="n">
        <v>-0.105</v>
      </c>
      <c r="AY134" s="39"/>
      <c r="AZ134" s="243" t="n">
        <v>0.5</v>
      </c>
      <c r="BA134" s="243" t="n">
        <v>0.5</v>
      </c>
      <c r="BB134" s="194" t="n">
        <v>-0.66</v>
      </c>
      <c r="BC134" s="190"/>
      <c r="BD134" s="39"/>
      <c r="BE134" s="22"/>
      <c r="BF134" s="96"/>
      <c r="BG134" s="22"/>
      <c r="BH134" s="71"/>
      <c r="BI134" s="71"/>
      <c r="BJ134" s="22"/>
      <c r="BK134" s="96"/>
      <c r="BL134" s="22"/>
      <c r="BM134" s="22"/>
      <c r="BN134" s="39"/>
      <c r="BO134" s="39"/>
      <c r="BP134" s="71"/>
      <c r="BQ134" s="22"/>
      <c r="BR134" s="71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</row>
    <row r="135" customFormat="false" ht="12.75" hidden="false" customHeight="false" outlineLevel="0" collapsed="false">
      <c r="A135" s="224" t="n">
        <v>40026</v>
      </c>
      <c r="B135" s="217" t="n">
        <v>3.714</v>
      </c>
      <c r="C135" s="244" t="n">
        <v>-0.66</v>
      </c>
      <c r="D135" s="133" t="n">
        <v>-0.568822855252838</v>
      </c>
      <c r="E135" s="133" t="n">
        <v>-0.589863734809876</v>
      </c>
      <c r="F135" s="226" t="n">
        <v>0.125</v>
      </c>
      <c r="G135" s="227" t="n">
        <v>0.125</v>
      </c>
      <c r="H135" s="227" t="n">
        <v>0.16</v>
      </c>
      <c r="I135" s="228" t="n">
        <v>0.12</v>
      </c>
      <c r="J135" s="227" t="n">
        <v>0.04</v>
      </c>
      <c r="K135" s="227" t="n">
        <v>0.11</v>
      </c>
      <c r="L135" s="227" t="n">
        <v>0.48</v>
      </c>
      <c r="M135" s="226" t="n">
        <v>-0.27</v>
      </c>
      <c r="N135" s="227" t="n">
        <v>0.25</v>
      </c>
      <c r="O135" s="228" t="n">
        <v>0</v>
      </c>
      <c r="P135" s="183" t="n">
        <v>-0.25</v>
      </c>
      <c r="Q135" s="160" t="n">
        <v>0.1825</v>
      </c>
      <c r="R135" s="232" t="n">
        <v>0.195</v>
      </c>
      <c r="S135" s="139" t="n">
        <v>0.195</v>
      </c>
      <c r="T135" s="56" t="n">
        <v>0.55</v>
      </c>
      <c r="U135" s="248" t="n">
        <v>0.195</v>
      </c>
      <c r="V135" s="12" t="n">
        <v>3.054</v>
      </c>
      <c r="W135" s="12" t="n">
        <v>3.14517714474716</v>
      </c>
      <c r="X135" s="142" t="n">
        <v>3.12413626519012</v>
      </c>
      <c r="Y135" s="13"/>
      <c r="Z135" s="221" t="n">
        <v>0.13</v>
      </c>
      <c r="AA135" s="237" t="n">
        <v>0.1</v>
      </c>
      <c r="AB135" s="242" t="n">
        <v>4.35438070692995</v>
      </c>
      <c r="AC135" s="90" t="n">
        <v>4.48438070692995</v>
      </c>
      <c r="AD135" s="142" t="n">
        <v>4.45438070692995</v>
      </c>
      <c r="AE135" s="182" t="n">
        <v>3.464</v>
      </c>
      <c r="AF135" s="78" t="n">
        <v>3.444</v>
      </c>
      <c r="AG135" s="147" t="n">
        <v>3.714</v>
      </c>
      <c r="AH135" s="185" t="n">
        <v>-0.1</v>
      </c>
      <c r="AI135" s="223" t="n">
        <v>1.50429452885746</v>
      </c>
      <c r="AJ135" s="37" t="n">
        <v>0.0595847021817417</v>
      </c>
      <c r="AK135" s="37" t="n">
        <v>0.0606548200810053</v>
      </c>
      <c r="AL135" s="39" t="n">
        <v>0.621672913411595</v>
      </c>
      <c r="AM135" s="149" t="n">
        <v>0.616466158460082</v>
      </c>
      <c r="AN135" s="129" t="n">
        <v>0.125</v>
      </c>
      <c r="AO135" s="150" t="n">
        <v>0.12</v>
      </c>
      <c r="AP135" s="22"/>
      <c r="AQ135" s="129" t="n">
        <v>-3.67389305087741</v>
      </c>
      <c r="AR135" s="151" t="n">
        <v>-3.01389305087741</v>
      </c>
      <c r="AS135" s="22"/>
      <c r="AT135" s="5" t="n">
        <v>0.0075</v>
      </c>
      <c r="AU135" s="22"/>
      <c r="AV135" s="129" t="n">
        <v>0.0025</v>
      </c>
      <c r="AW135" s="187"/>
      <c r="AX135" s="39" t="n">
        <v>-0.105</v>
      </c>
      <c r="AY135" s="39"/>
      <c r="AZ135" s="243" t="n">
        <v>0.55</v>
      </c>
      <c r="BA135" s="243" t="n">
        <v>0.55</v>
      </c>
      <c r="BB135" s="194" t="n">
        <v>-0.66</v>
      </c>
      <c r="BC135" s="190"/>
      <c r="BD135" s="39"/>
      <c r="BE135" s="22"/>
      <c r="BF135" s="96"/>
      <c r="BG135" s="22"/>
      <c r="BH135" s="71"/>
      <c r="BI135" s="71"/>
      <c r="BJ135" s="22"/>
      <c r="BK135" s="96"/>
      <c r="BL135" s="22"/>
      <c r="BM135" s="22"/>
      <c r="BN135" s="39"/>
      <c r="BO135" s="39"/>
      <c r="BP135" s="71"/>
      <c r="BQ135" s="22"/>
      <c r="BR135" s="71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</row>
    <row r="136" customFormat="false" ht="12.75" hidden="false" customHeight="false" outlineLevel="0" collapsed="false">
      <c r="A136" s="224" t="n">
        <v>40057</v>
      </c>
      <c r="B136" s="217" t="n">
        <v>3.729</v>
      </c>
      <c r="C136" s="244" t="n">
        <v>-0.66</v>
      </c>
      <c r="D136" s="133" t="n">
        <v>-0.568823397483151</v>
      </c>
      <c r="E136" s="133" t="n">
        <v>-0.589864151910116</v>
      </c>
      <c r="F136" s="226" t="n">
        <v>0.125</v>
      </c>
      <c r="G136" s="227" t="n">
        <v>0.125</v>
      </c>
      <c r="H136" s="227" t="n">
        <v>0.16</v>
      </c>
      <c r="I136" s="228" t="n">
        <v>0.12</v>
      </c>
      <c r="J136" s="227" t="n">
        <v>0.04</v>
      </c>
      <c r="K136" s="227" t="n">
        <v>0.11</v>
      </c>
      <c r="L136" s="227" t="n">
        <v>0.44</v>
      </c>
      <c r="M136" s="226" t="n">
        <v>-0.27</v>
      </c>
      <c r="N136" s="227" t="n">
        <v>0.25</v>
      </c>
      <c r="O136" s="228" t="n">
        <v>0</v>
      </c>
      <c r="P136" s="183" t="n">
        <v>-0.25</v>
      </c>
      <c r="Q136" s="160" t="n">
        <v>0.1825</v>
      </c>
      <c r="R136" s="232" t="n">
        <v>0.195</v>
      </c>
      <c r="S136" s="139" t="n">
        <v>0.195</v>
      </c>
      <c r="T136" s="56" t="n">
        <v>0.55</v>
      </c>
      <c r="U136" s="248" t="n">
        <v>0.195</v>
      </c>
      <c r="V136" s="12" t="n">
        <v>3.069</v>
      </c>
      <c r="W136" s="12" t="n">
        <v>3.16017660251685</v>
      </c>
      <c r="X136" s="142" t="n">
        <v>3.13913584808988</v>
      </c>
      <c r="Y136" s="13"/>
      <c r="Z136" s="221" t="n">
        <v>0.13</v>
      </c>
      <c r="AA136" s="237" t="n">
        <v>0.1</v>
      </c>
      <c r="AB136" s="242" t="n">
        <v>4.37579366840597</v>
      </c>
      <c r="AC136" s="90" t="n">
        <v>4.50579366840597</v>
      </c>
      <c r="AD136" s="142" t="n">
        <v>4.47579366840597</v>
      </c>
      <c r="AE136" s="182" t="n">
        <v>3.479</v>
      </c>
      <c r="AF136" s="78" t="n">
        <v>3.459</v>
      </c>
      <c r="AG136" s="147" t="n">
        <v>3.729</v>
      </c>
      <c r="AH136" s="185" t="n">
        <v>-0.1</v>
      </c>
      <c r="AI136" s="223" t="n">
        <v>1.50430347494745</v>
      </c>
      <c r="AJ136" s="37" t="n">
        <v>0.0596612479250744</v>
      </c>
      <c r="AK136" s="37" t="n">
        <v>0.060719551007836</v>
      </c>
      <c r="AL136" s="39" t="n">
        <v>0.618206618400797</v>
      </c>
      <c r="AM136" s="149" t="n">
        <v>0.613032540735551</v>
      </c>
      <c r="AN136" s="129" t="n">
        <v>0.125</v>
      </c>
      <c r="AO136" s="150" t="n">
        <v>0.124</v>
      </c>
      <c r="AP136" s="22"/>
      <c r="AQ136" s="129" t="n">
        <v>-3.68889346780331</v>
      </c>
      <c r="AR136" s="151" t="n">
        <v>-3.02889346780331</v>
      </c>
      <c r="AS136" s="22"/>
      <c r="AT136" s="5" t="n">
        <v>0.0075</v>
      </c>
      <c r="AU136" s="22"/>
      <c r="AV136" s="129" t="n">
        <v>0.0025</v>
      </c>
      <c r="AW136" s="187"/>
      <c r="AX136" s="39" t="n">
        <v>-0.105</v>
      </c>
      <c r="AY136" s="39"/>
      <c r="AZ136" s="243" t="n">
        <v>0.55</v>
      </c>
      <c r="BA136" s="243" t="n">
        <v>0.55</v>
      </c>
      <c r="BB136" s="194" t="n">
        <v>-0.66</v>
      </c>
      <c r="BC136" s="190"/>
      <c r="BD136" s="39"/>
      <c r="BE136" s="22"/>
      <c r="BF136" s="96"/>
      <c r="BG136" s="22"/>
      <c r="BH136" s="71"/>
      <c r="BI136" s="71"/>
      <c r="BJ136" s="22"/>
      <c r="BK136" s="96"/>
      <c r="BL136" s="22"/>
      <c r="BM136" s="22"/>
      <c r="BN136" s="39"/>
      <c r="BO136" s="39"/>
      <c r="BP136" s="71"/>
      <c r="BQ136" s="22"/>
      <c r="BR136" s="71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</row>
    <row r="137" customFormat="false" ht="12.75" hidden="false" customHeight="false" outlineLevel="0" collapsed="false">
      <c r="A137" s="224" t="n">
        <v>40087</v>
      </c>
      <c r="B137" s="217" t="n">
        <v>3.758</v>
      </c>
      <c r="C137" s="244" t="n">
        <v>-0.66</v>
      </c>
      <c r="D137" s="133" t="n">
        <v>-0.56882409119504</v>
      </c>
      <c r="E137" s="133" t="n">
        <v>-0.589864685534646</v>
      </c>
      <c r="F137" s="226" t="n">
        <v>0.125</v>
      </c>
      <c r="G137" s="227" t="n">
        <v>0.125</v>
      </c>
      <c r="H137" s="227" t="n">
        <v>0.16</v>
      </c>
      <c r="I137" s="228" t="n">
        <v>0.12</v>
      </c>
      <c r="J137" s="227" t="n">
        <v>0.04</v>
      </c>
      <c r="K137" s="227" t="n">
        <v>0.11</v>
      </c>
      <c r="L137" s="227" t="n">
        <v>0.45</v>
      </c>
      <c r="M137" s="226" t="n">
        <v>-0.27</v>
      </c>
      <c r="N137" s="227" t="n">
        <v>0.25</v>
      </c>
      <c r="O137" s="228" t="n">
        <v>0</v>
      </c>
      <c r="P137" s="183" t="n">
        <v>-0.25</v>
      </c>
      <c r="Q137" s="160" t="n">
        <v>0.1825</v>
      </c>
      <c r="R137" s="232" t="n">
        <v>0.195</v>
      </c>
      <c r="S137" s="139" t="n">
        <v>0.195</v>
      </c>
      <c r="T137" s="56" t="n">
        <v>0.6</v>
      </c>
      <c r="U137" s="248" t="n">
        <v>0.195</v>
      </c>
      <c r="V137" s="12" t="n">
        <v>3.098</v>
      </c>
      <c r="W137" s="12" t="n">
        <v>3.18917590880496</v>
      </c>
      <c r="X137" s="142" t="n">
        <v>3.16813531446535</v>
      </c>
      <c r="Y137" s="13"/>
      <c r="Z137" s="221" t="n">
        <v>0.13</v>
      </c>
      <c r="AA137" s="237" t="n">
        <v>0.1</v>
      </c>
      <c r="AB137" s="242" t="n">
        <v>4.4171756034977</v>
      </c>
      <c r="AC137" s="90" t="n">
        <v>4.5471756034977</v>
      </c>
      <c r="AD137" s="142" t="n">
        <v>4.51717560349769</v>
      </c>
      <c r="AE137" s="182" t="n">
        <v>3.508</v>
      </c>
      <c r="AF137" s="78" t="n">
        <v>3.488</v>
      </c>
      <c r="AG137" s="147" t="n">
        <v>3.758</v>
      </c>
      <c r="AH137" s="185" t="n">
        <v>-0.1</v>
      </c>
      <c r="AI137" s="223" t="n">
        <v>1.50431492044024</v>
      </c>
      <c r="AJ137" s="37" t="n">
        <v>0.0597353244527343</v>
      </c>
      <c r="AK137" s="37" t="n">
        <v>0.060782193841578</v>
      </c>
      <c r="AL137" s="39" t="n">
        <v>0.61486316930897</v>
      </c>
      <c r="AM137" s="149" t="n">
        <v>0.609721713658972</v>
      </c>
      <c r="AN137" s="129" t="n">
        <v>0.125</v>
      </c>
      <c r="AO137" s="150" t="n">
        <v>0.12</v>
      </c>
      <c r="AP137" s="22"/>
      <c r="AQ137" s="129" t="n">
        <v>-3.71789400120479</v>
      </c>
      <c r="AR137" s="151" t="n">
        <v>-3.05789400120479</v>
      </c>
      <c r="AS137" s="22"/>
      <c r="AT137" s="5" t="n">
        <v>0.0075</v>
      </c>
      <c r="AU137" s="22"/>
      <c r="AV137" s="129" t="n">
        <v>0.0025</v>
      </c>
      <c r="AW137" s="187"/>
      <c r="AX137" s="39" t="n">
        <v>-0.105</v>
      </c>
      <c r="AY137" s="39"/>
      <c r="AZ137" s="243" t="n">
        <v>0.6</v>
      </c>
      <c r="BA137" s="243" t="n">
        <v>0.6</v>
      </c>
      <c r="BB137" s="194" t="n">
        <v>-0.66</v>
      </c>
      <c r="BC137" s="190"/>
      <c r="BD137" s="39"/>
      <c r="BE137" s="22"/>
      <c r="BF137" s="96"/>
      <c r="BG137" s="22"/>
      <c r="BH137" s="71"/>
      <c r="BI137" s="71"/>
      <c r="BJ137" s="22"/>
      <c r="BK137" s="96"/>
      <c r="BL137" s="22"/>
      <c r="BM137" s="22"/>
      <c r="BN137" s="39"/>
      <c r="BO137" s="39"/>
      <c r="BP137" s="71"/>
      <c r="BQ137" s="22"/>
      <c r="BR137" s="71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</row>
    <row r="138" customFormat="false" ht="12.75" hidden="false" customHeight="false" outlineLevel="0" collapsed="false">
      <c r="A138" s="216" t="n">
        <v>40118</v>
      </c>
      <c r="B138" s="217" t="n">
        <v>3.898</v>
      </c>
      <c r="C138" s="250" t="n">
        <v>-0.62</v>
      </c>
      <c r="D138" s="133" t="n">
        <v>-0.528824982614141</v>
      </c>
      <c r="E138" s="133" t="n">
        <v>-0.109999999999999</v>
      </c>
      <c r="F138" s="226" t="n">
        <v>0.185</v>
      </c>
      <c r="G138" s="227" t="n">
        <v>0.37</v>
      </c>
      <c r="H138" s="227" t="n">
        <v>0.305</v>
      </c>
      <c r="I138" s="228" t="n">
        <v>0.405</v>
      </c>
      <c r="J138" s="227" t="n">
        <v>0.14</v>
      </c>
      <c r="K138" s="227" t="n">
        <v>0.17</v>
      </c>
      <c r="L138" s="227" t="n">
        <v>0.73</v>
      </c>
      <c r="M138" s="226" t="n">
        <v>-0.15</v>
      </c>
      <c r="N138" s="227" t="n">
        <v>0.25</v>
      </c>
      <c r="O138" s="228" t="n">
        <v>0</v>
      </c>
      <c r="P138" s="183" t="n">
        <v>0.248</v>
      </c>
      <c r="Q138" s="160" t="n">
        <v>0.1825</v>
      </c>
      <c r="R138" s="232" t="n">
        <v>0.195</v>
      </c>
      <c r="S138" s="139" t="n">
        <v>0.195</v>
      </c>
      <c r="T138" s="56" t="n">
        <v>0.8</v>
      </c>
      <c r="U138" s="248" t="n">
        <v>0.195</v>
      </c>
      <c r="V138" s="12" t="n">
        <v>3.278</v>
      </c>
      <c r="W138" s="12" t="n">
        <v>3.36917501738586</v>
      </c>
      <c r="X138" s="142" t="n">
        <v>3.788</v>
      </c>
      <c r="Y138" s="13"/>
      <c r="Z138" s="221" t="n">
        <v>0.13</v>
      </c>
      <c r="AA138" s="237" t="n">
        <v>0.727172880257471</v>
      </c>
      <c r="AB138" s="242" t="n">
        <v>4.67386804212546</v>
      </c>
      <c r="AC138" s="90" t="n">
        <v>4.80386804212546</v>
      </c>
      <c r="AD138" s="142" t="n">
        <v>5.40104092238293</v>
      </c>
      <c r="AE138" s="182" t="n">
        <v>4.146</v>
      </c>
      <c r="AF138" s="78" t="n">
        <v>3.748</v>
      </c>
      <c r="AG138" s="147" t="n">
        <v>3.898</v>
      </c>
      <c r="AH138" s="185" t="n">
        <v>-0.1</v>
      </c>
      <c r="AI138" s="223" t="n">
        <v>1.50432962814299</v>
      </c>
      <c r="AJ138" s="37" t="n">
        <v>0.0598118701998986</v>
      </c>
      <c r="AK138" s="37" t="n">
        <v>0.060846924771147</v>
      </c>
      <c r="AL138" s="39" t="n">
        <v>0.61141969140554</v>
      </c>
      <c r="AM138" s="149" t="n">
        <v>0.606312957818986</v>
      </c>
      <c r="AN138" s="129" t="n">
        <v>0.37</v>
      </c>
      <c r="AO138" s="150" t="n">
        <v>0.124</v>
      </c>
      <c r="AP138" s="22"/>
      <c r="AQ138" s="129" t="n">
        <v>-3.41802049709575</v>
      </c>
      <c r="AR138" s="151" t="n">
        <v>-2.79802049709575</v>
      </c>
      <c r="AS138" s="22"/>
      <c r="AT138" s="5" t="n">
        <v>0.0075</v>
      </c>
      <c r="AU138" s="22"/>
      <c r="AV138" s="129" t="n">
        <v>0.008</v>
      </c>
      <c r="AW138" s="22"/>
      <c r="AX138" s="22" t="n">
        <v>0.005</v>
      </c>
      <c r="AY138" s="39"/>
      <c r="AZ138" s="243" t="n">
        <v>0.8</v>
      </c>
      <c r="BA138" s="243" t="n">
        <v>0.8</v>
      </c>
      <c r="BB138" s="194" t="n">
        <v>-0.62</v>
      </c>
      <c r="BC138" s="96"/>
      <c r="BD138" s="39"/>
      <c r="BE138" s="22"/>
      <c r="BF138" s="96"/>
      <c r="BG138" s="22"/>
      <c r="BH138" s="71"/>
      <c r="BI138" s="71"/>
      <c r="BJ138" s="22"/>
      <c r="BK138" s="96"/>
      <c r="BL138" s="22"/>
      <c r="BM138" s="22"/>
      <c r="BN138" s="39"/>
      <c r="BO138" s="39"/>
      <c r="BP138" s="71"/>
      <c r="BQ138" s="22"/>
      <c r="BR138" s="71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</row>
    <row r="139" customFormat="false" ht="12.75" hidden="false" customHeight="false" outlineLevel="0" collapsed="false">
      <c r="A139" s="224" t="n">
        <v>40148</v>
      </c>
      <c r="B139" s="217" t="n">
        <v>4.038</v>
      </c>
      <c r="C139" s="251" t="n">
        <v>-0.62</v>
      </c>
      <c r="D139" s="133" t="n">
        <v>-0.528826014207701</v>
      </c>
      <c r="E139" s="133" t="n">
        <v>-0.11</v>
      </c>
      <c r="F139" s="226" t="n">
        <v>0.185</v>
      </c>
      <c r="G139" s="227" t="n">
        <v>0.37</v>
      </c>
      <c r="H139" s="227" t="n">
        <v>0.305</v>
      </c>
      <c r="I139" s="228" t="n">
        <v>0.405</v>
      </c>
      <c r="J139" s="227" t="n">
        <v>0.14</v>
      </c>
      <c r="K139" s="227" t="n">
        <v>0.17</v>
      </c>
      <c r="L139" s="227" t="n">
        <v>1.14</v>
      </c>
      <c r="M139" s="226" t="n">
        <v>-0.15</v>
      </c>
      <c r="N139" s="227" t="n">
        <v>0.25</v>
      </c>
      <c r="O139" s="228" t="n">
        <v>0</v>
      </c>
      <c r="P139" s="183" t="n">
        <v>0.308</v>
      </c>
      <c r="Q139" s="160" t="n">
        <v>0.185</v>
      </c>
      <c r="R139" s="232" t="n">
        <v>0.195</v>
      </c>
      <c r="S139" s="139" t="n">
        <v>0.195</v>
      </c>
      <c r="T139" s="56" t="n">
        <v>1</v>
      </c>
      <c r="U139" s="248" t="n">
        <v>0.195</v>
      </c>
      <c r="V139" s="12" t="n">
        <v>3.418</v>
      </c>
      <c r="W139" s="12" t="n">
        <v>3.5091739857923</v>
      </c>
      <c r="X139" s="142" t="n">
        <v>3.928</v>
      </c>
      <c r="Y139" s="13"/>
      <c r="Z139" s="221" t="n">
        <v>0.13</v>
      </c>
      <c r="AA139" s="237" t="n">
        <v>0.727181107898872</v>
      </c>
      <c r="AB139" s="242" t="n">
        <v>4.87353926823205</v>
      </c>
      <c r="AC139" s="90" t="n">
        <v>5.00353926823205</v>
      </c>
      <c r="AD139" s="142" t="n">
        <v>5.60072037613092</v>
      </c>
      <c r="AE139" s="182" t="n">
        <v>4.346</v>
      </c>
      <c r="AF139" s="78" t="n">
        <v>3.888</v>
      </c>
      <c r="AG139" s="147" t="n">
        <v>4.038</v>
      </c>
      <c r="AH139" s="185" t="n">
        <v>-0.1</v>
      </c>
      <c r="AI139" s="223" t="n">
        <v>1.50434664897128</v>
      </c>
      <c r="AJ139" s="37" t="n">
        <v>0.0598859467312662</v>
      </c>
      <c r="AK139" s="37" t="n">
        <v>0.0609095676075393</v>
      </c>
      <c r="AL139" s="39" t="n">
        <v>0.608098364972247</v>
      </c>
      <c r="AM139" s="149" t="n">
        <v>0.603026194852285</v>
      </c>
      <c r="AN139" s="129" t="n">
        <v>0.37</v>
      </c>
      <c r="AO139" s="150" t="n">
        <v>0.12</v>
      </c>
      <c r="AP139" s="22"/>
      <c r="AQ139" s="129" t="n">
        <v>-3.55804355004644</v>
      </c>
      <c r="AR139" s="151" t="n">
        <v>-2.93804355004644</v>
      </c>
      <c r="AS139" s="22"/>
      <c r="AT139" s="5" t="n">
        <v>0.0075</v>
      </c>
      <c r="AU139" s="22"/>
      <c r="AV139" s="129" t="n">
        <v>0.008</v>
      </c>
      <c r="AW139" s="22"/>
      <c r="AX139" s="22" t="n">
        <v>0.01</v>
      </c>
      <c r="AY139" s="39"/>
      <c r="AZ139" s="243" t="n">
        <v>1</v>
      </c>
      <c r="BA139" s="243" t="n">
        <v>1</v>
      </c>
      <c r="BB139" s="194" t="n">
        <v>-0.62</v>
      </c>
      <c r="BC139" s="96"/>
      <c r="BD139" s="39"/>
      <c r="BE139" s="22"/>
      <c r="BF139" s="96"/>
      <c r="BG139" s="22"/>
      <c r="BH139" s="71"/>
      <c r="BI139" s="71"/>
      <c r="BJ139" s="22"/>
      <c r="BK139" s="96"/>
      <c r="BL139" s="22"/>
      <c r="BM139" s="22"/>
      <c r="BN139" s="39"/>
      <c r="BO139" s="39"/>
      <c r="BP139" s="71"/>
      <c r="BQ139" s="22"/>
      <c r="BR139" s="71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</row>
    <row r="140" customFormat="false" ht="12.75" hidden="false" customHeight="false" outlineLevel="0" collapsed="false">
      <c r="A140" s="224" t="n">
        <v>40179</v>
      </c>
      <c r="B140" s="217" t="n">
        <v>4.133</v>
      </c>
      <c r="C140" s="251" t="n">
        <v>-0.62</v>
      </c>
      <c r="D140" s="133" t="n">
        <v>-0.528827254724819</v>
      </c>
      <c r="E140" s="133" t="n">
        <v>-0.11</v>
      </c>
      <c r="F140" s="226" t="n">
        <v>0.185</v>
      </c>
      <c r="G140" s="227" t="n">
        <v>0.37</v>
      </c>
      <c r="H140" s="227" t="n">
        <v>0.305</v>
      </c>
      <c r="I140" s="228" t="n">
        <v>0.405</v>
      </c>
      <c r="J140" s="227" t="n">
        <v>0.14</v>
      </c>
      <c r="K140" s="227" t="n">
        <v>0.17</v>
      </c>
      <c r="L140" s="227" t="n">
        <v>1.63</v>
      </c>
      <c r="M140" s="226" t="n">
        <v>-0.15</v>
      </c>
      <c r="N140" s="227" t="n">
        <v>0.25</v>
      </c>
      <c r="O140" s="228" t="n">
        <v>0</v>
      </c>
      <c r="P140" s="183" t="n">
        <v>0.378</v>
      </c>
      <c r="Q140" s="160" t="n">
        <v>0.185</v>
      </c>
      <c r="R140" s="232" t="n">
        <v>0.195</v>
      </c>
      <c r="S140" s="139" t="n">
        <v>0.195</v>
      </c>
      <c r="T140" s="56" t="n">
        <v>1</v>
      </c>
      <c r="U140" s="248" t="n">
        <v>0.195</v>
      </c>
      <c r="V140" s="12" t="n">
        <v>3.513</v>
      </c>
      <c r="W140" s="12" t="n">
        <v>3.60417274527518</v>
      </c>
      <c r="X140" s="142" t="n">
        <v>4.023</v>
      </c>
      <c r="Y140" s="13"/>
      <c r="Z140" s="221" t="n">
        <v>0.13</v>
      </c>
      <c r="AA140" s="237" t="n">
        <v>0.727191002090492</v>
      </c>
      <c r="AB140" s="242" t="n">
        <v>5.00906272616451</v>
      </c>
      <c r="AC140" s="90" t="n">
        <v>5.1390627261645</v>
      </c>
      <c r="AD140" s="142" t="n">
        <v>5.736253728255</v>
      </c>
      <c r="AE140" s="182" t="n">
        <v>4.511</v>
      </c>
      <c r="AF140" s="78" t="n">
        <v>3.983</v>
      </c>
      <c r="AG140" s="147" t="n">
        <v>4.133</v>
      </c>
      <c r="AH140" s="185" t="n">
        <v>-0.1</v>
      </c>
      <c r="AI140" s="223" t="n">
        <v>1.50436711745409</v>
      </c>
      <c r="AJ140" s="37" t="n">
        <v>0.0599624924822613</v>
      </c>
      <c r="AK140" s="37" t="n">
        <v>0.0609742985398469</v>
      </c>
      <c r="AL140" s="39" t="n">
        <v>0.60467778903217</v>
      </c>
      <c r="AM140" s="149" t="n">
        <v>0.599642308816636</v>
      </c>
      <c r="AN140" s="129" t="n">
        <v>0.37</v>
      </c>
      <c r="AO140" s="150" t="n">
        <v>0.12</v>
      </c>
      <c r="AP140" s="22"/>
      <c r="AQ140" s="129" t="n">
        <v>-3.65306789349656</v>
      </c>
      <c r="AR140" s="151" t="n">
        <v>-3.03306789349656</v>
      </c>
      <c r="AS140" s="22"/>
      <c r="AT140" s="5" t="n">
        <v>0.0075</v>
      </c>
      <c r="AU140" s="22"/>
      <c r="AV140" s="129" t="n">
        <v>0.008</v>
      </c>
      <c r="AW140" s="22"/>
      <c r="AX140" s="22" t="n">
        <v>0.03</v>
      </c>
      <c r="AY140" s="39"/>
      <c r="AZ140" s="243" t="n">
        <v>1</v>
      </c>
      <c r="BA140" s="243" t="n">
        <v>1</v>
      </c>
      <c r="BB140" s="194" t="n">
        <v>-0.62</v>
      </c>
      <c r="BC140" s="96"/>
      <c r="BD140" s="39"/>
      <c r="BE140" s="22"/>
      <c r="BF140" s="96"/>
      <c r="BG140" s="22"/>
      <c r="BH140" s="71"/>
      <c r="BI140" s="71"/>
      <c r="BJ140" s="22"/>
      <c r="BK140" s="96"/>
      <c r="BL140" s="22"/>
      <c r="BM140" s="22"/>
      <c r="BN140" s="39"/>
      <c r="BO140" s="39"/>
      <c r="BP140" s="71"/>
      <c r="BQ140" s="22"/>
      <c r="BR140" s="71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</row>
    <row r="141" customFormat="false" ht="12.75" hidden="false" customHeight="false" outlineLevel="0" collapsed="false">
      <c r="A141" s="224" t="n">
        <v>40210</v>
      </c>
      <c r="B141" s="217" t="n">
        <v>4.015</v>
      </c>
      <c r="C141" s="251" t="n">
        <v>-0.62</v>
      </c>
      <c r="D141" s="133" t="n">
        <v>-0.528828672615097</v>
      </c>
      <c r="E141" s="133" t="n">
        <v>-0.110000000000001</v>
      </c>
      <c r="F141" s="226" t="n">
        <v>0.185</v>
      </c>
      <c r="G141" s="227" t="n">
        <v>0.37</v>
      </c>
      <c r="H141" s="227" t="n">
        <v>0.305</v>
      </c>
      <c r="I141" s="228" t="n">
        <v>0.405</v>
      </c>
      <c r="J141" s="227" t="n">
        <v>0.14</v>
      </c>
      <c r="K141" s="227" t="n">
        <v>0.17</v>
      </c>
      <c r="L141" s="227" t="n">
        <v>1.63</v>
      </c>
      <c r="M141" s="226" t="n">
        <v>-0.15</v>
      </c>
      <c r="N141" s="227" t="n">
        <v>0.25</v>
      </c>
      <c r="O141" s="228" t="n">
        <v>0</v>
      </c>
      <c r="P141" s="183" t="n">
        <v>0.248</v>
      </c>
      <c r="Q141" s="160" t="n">
        <v>0.18</v>
      </c>
      <c r="R141" s="232" t="n">
        <v>0.19</v>
      </c>
      <c r="S141" s="139" t="n">
        <v>0.19</v>
      </c>
      <c r="T141" s="56" t="n">
        <v>1</v>
      </c>
      <c r="U141" s="248" t="n">
        <v>0.19</v>
      </c>
      <c r="V141" s="12" t="n">
        <v>3.395</v>
      </c>
      <c r="W141" s="12" t="n">
        <v>3.4861713273849</v>
      </c>
      <c r="X141" s="142" t="n">
        <v>3.905</v>
      </c>
      <c r="Y141" s="13"/>
      <c r="Z141" s="221" t="n">
        <v>0.13</v>
      </c>
      <c r="AA141" s="237" t="n">
        <v>0.727202311315462</v>
      </c>
      <c r="AB141" s="242" t="n">
        <v>4.84088597434509</v>
      </c>
      <c r="AC141" s="90" t="n">
        <v>4.97088597434509</v>
      </c>
      <c r="AD141" s="142" t="n">
        <v>5.56808828566055</v>
      </c>
      <c r="AE141" s="182" t="n">
        <v>4.263</v>
      </c>
      <c r="AF141" s="78" t="n">
        <v>3.865</v>
      </c>
      <c r="AG141" s="147" t="n">
        <v>4.015</v>
      </c>
      <c r="AH141" s="185" t="n">
        <v>-0.1</v>
      </c>
      <c r="AI141" s="223" t="n">
        <v>1.50439051326911</v>
      </c>
      <c r="AJ141" s="37" t="n">
        <v>0.0600390382352036</v>
      </c>
      <c r="AK141" s="37" t="n">
        <v>0.0610390294735463</v>
      </c>
      <c r="AL141" s="39" t="n">
        <v>0.601268882928371</v>
      </c>
      <c r="AM141" s="149" t="n">
        <v>0.596271063547367</v>
      </c>
      <c r="AN141" s="129" t="n">
        <v>0.37</v>
      </c>
      <c r="AO141" s="150" t="n">
        <v>0.133</v>
      </c>
      <c r="AP141" s="22"/>
      <c r="AQ141" s="129" t="n">
        <v>-3.53509276745216</v>
      </c>
      <c r="AR141" s="151" t="n">
        <v>-2.91509276745216</v>
      </c>
      <c r="AS141" s="22"/>
      <c r="AT141" s="5" t="n">
        <v>0.0075</v>
      </c>
      <c r="AU141" s="22"/>
      <c r="AV141" s="129" t="n">
        <v>0.008</v>
      </c>
      <c r="AW141" s="22"/>
      <c r="AX141" s="22" t="n">
        <v>0.025</v>
      </c>
      <c r="AY141" s="39"/>
      <c r="AZ141" s="243" t="n">
        <v>1</v>
      </c>
      <c r="BA141" s="243" t="n">
        <v>1</v>
      </c>
      <c r="BB141" s="194" t="n">
        <v>-0.62</v>
      </c>
      <c r="BC141" s="96"/>
      <c r="BD141" s="39"/>
      <c r="BE141" s="22"/>
      <c r="BF141" s="96"/>
      <c r="BG141" s="22"/>
      <c r="BH141" s="71"/>
      <c r="BI141" s="71"/>
      <c r="BJ141" s="22"/>
      <c r="BK141" s="96"/>
      <c r="BL141" s="22"/>
      <c r="BM141" s="22"/>
      <c r="BN141" s="39"/>
      <c r="BO141" s="39"/>
      <c r="BP141" s="71"/>
      <c r="BQ141" s="22"/>
      <c r="BR141" s="71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</row>
    <row r="142" customFormat="false" ht="12.75" hidden="false" customHeight="false" outlineLevel="0" collapsed="false">
      <c r="A142" s="224" t="n">
        <v>40238</v>
      </c>
      <c r="B142" s="217" t="n">
        <v>3.882</v>
      </c>
      <c r="C142" s="251" t="n">
        <v>-0.62</v>
      </c>
      <c r="D142" s="133" t="n">
        <v>-0.528830105724176</v>
      </c>
      <c r="E142" s="133" t="n">
        <v>-0.11</v>
      </c>
      <c r="F142" s="226" t="n">
        <v>0.185</v>
      </c>
      <c r="G142" s="227" t="n">
        <v>0.37</v>
      </c>
      <c r="H142" s="227" t="n">
        <v>0.305</v>
      </c>
      <c r="I142" s="228" t="n">
        <v>0.405</v>
      </c>
      <c r="J142" s="227" t="n">
        <v>0.14</v>
      </c>
      <c r="K142" s="227" t="n">
        <v>0.17</v>
      </c>
      <c r="L142" s="227" t="n">
        <v>0.72</v>
      </c>
      <c r="M142" s="226" t="n">
        <v>-0.15</v>
      </c>
      <c r="N142" s="227" t="n">
        <v>0.25</v>
      </c>
      <c r="O142" s="228" t="n">
        <v>0</v>
      </c>
      <c r="P142" s="183" t="n">
        <v>0.068</v>
      </c>
      <c r="Q142" s="160" t="n">
        <v>0.1775</v>
      </c>
      <c r="R142" s="232" t="n">
        <v>0.1875</v>
      </c>
      <c r="S142" s="139" t="n">
        <v>0.1875</v>
      </c>
      <c r="T142" s="56" t="n">
        <v>0.75</v>
      </c>
      <c r="U142" s="248" t="n">
        <v>0.1875</v>
      </c>
      <c r="V142" s="12" t="n">
        <v>3.262</v>
      </c>
      <c r="W142" s="12" t="n">
        <v>3.35316989427582</v>
      </c>
      <c r="X142" s="142" t="n">
        <v>3.772</v>
      </c>
      <c r="Y142" s="13"/>
      <c r="Z142" s="221" t="n">
        <v>0.13</v>
      </c>
      <c r="AA142" s="237" t="n">
        <v>0.727213742284448</v>
      </c>
      <c r="AB142" s="242" t="n">
        <v>4.65131613202327</v>
      </c>
      <c r="AC142" s="90" t="n">
        <v>4.78131613202327</v>
      </c>
      <c r="AD142" s="142" t="n">
        <v>5.37852987430772</v>
      </c>
      <c r="AE142" s="182" t="n">
        <v>3.95</v>
      </c>
      <c r="AF142" s="78" t="n">
        <v>3.732</v>
      </c>
      <c r="AG142" s="147" t="n">
        <v>3.882</v>
      </c>
      <c r="AH142" s="185" t="n">
        <v>-0.1</v>
      </c>
      <c r="AI142" s="223" t="n">
        <v>1.50441416094051</v>
      </c>
      <c r="AJ142" s="37" t="n">
        <v>0.0601081763363087</v>
      </c>
      <c r="AK142" s="37" t="n">
        <v>0.0610974961245354</v>
      </c>
      <c r="AL142" s="39" t="n">
        <v>0.598199918279405</v>
      </c>
      <c r="AM142" s="149" t="n">
        <v>0.593236933508895</v>
      </c>
      <c r="AN142" s="129" t="n">
        <v>0.37</v>
      </c>
      <c r="AO142" s="150" t="n">
        <v>0.12</v>
      </c>
      <c r="AP142" s="22"/>
      <c r="AQ142" s="129" t="n">
        <v>-3.40211569012869</v>
      </c>
      <c r="AR142" s="151" t="n">
        <v>-2.78211569012869</v>
      </c>
      <c r="AS142" s="22"/>
      <c r="AT142" s="5" t="n">
        <v>0.0075</v>
      </c>
      <c r="AU142" s="22"/>
      <c r="AV142" s="129" t="n">
        <v>0.008</v>
      </c>
      <c r="AW142" s="22"/>
      <c r="AX142" s="22" t="n">
        <v>0.005</v>
      </c>
      <c r="AY142" s="39"/>
      <c r="AZ142" s="243" t="n">
        <v>0.75</v>
      </c>
      <c r="BA142" s="243" t="n">
        <v>0.75</v>
      </c>
      <c r="BB142" s="194" t="n">
        <v>-0.62</v>
      </c>
      <c r="BC142" s="96"/>
      <c r="BD142" s="39"/>
      <c r="BE142" s="22"/>
      <c r="BF142" s="96"/>
      <c r="BG142" s="22"/>
      <c r="BH142" s="71"/>
      <c r="BI142" s="71"/>
      <c r="BJ142" s="22"/>
      <c r="BK142" s="96"/>
      <c r="BL142" s="22"/>
      <c r="BM142" s="22"/>
      <c r="BN142" s="39"/>
      <c r="BO142" s="39"/>
      <c r="BP142" s="71"/>
      <c r="BQ142" s="22"/>
      <c r="BR142" s="71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</row>
    <row r="143" customFormat="false" ht="12.75" hidden="false" customHeight="false" outlineLevel="0" collapsed="false">
      <c r="A143" s="224" t="n">
        <v>40269</v>
      </c>
      <c r="B143" s="217" t="n">
        <v>3.662</v>
      </c>
      <c r="C143" s="252" t="n">
        <v>-0.69</v>
      </c>
      <c r="D143" s="133" t="n">
        <v>-0.598831861121543</v>
      </c>
      <c r="E143" s="133" t="n">
        <v>-0.619870662401187</v>
      </c>
      <c r="F143" s="226" t="n">
        <v>0.125</v>
      </c>
      <c r="G143" s="227" t="n">
        <v>0.125</v>
      </c>
      <c r="H143" s="227" t="n">
        <v>0.16</v>
      </c>
      <c r="I143" s="228" t="n">
        <v>0.12</v>
      </c>
      <c r="J143" s="227" t="n">
        <v>0.04</v>
      </c>
      <c r="K143" s="227" t="n">
        <v>0.11</v>
      </c>
      <c r="L143" s="227" t="n">
        <v>0.48</v>
      </c>
      <c r="M143" s="226" t="n">
        <v>-0.22</v>
      </c>
      <c r="N143" s="227" t="n">
        <v>0.25</v>
      </c>
      <c r="O143" s="228" t="n">
        <v>0</v>
      </c>
      <c r="P143" s="183" t="n">
        <v>-0.25</v>
      </c>
      <c r="Q143" s="160" t="n">
        <v>0.1775</v>
      </c>
      <c r="R143" s="232" t="n">
        <v>0.185</v>
      </c>
      <c r="S143" s="139" t="n">
        <v>0.185</v>
      </c>
      <c r="T143" s="56" t="n">
        <v>0.4</v>
      </c>
      <c r="U143" s="248" t="n">
        <v>0.185</v>
      </c>
      <c r="V143" s="12" t="n">
        <v>2.972</v>
      </c>
      <c r="W143" s="12" t="n">
        <v>3.06316813887846</v>
      </c>
      <c r="X143" s="142" t="n">
        <v>3.04212933759881</v>
      </c>
      <c r="Y143" s="13"/>
      <c r="Z143" s="221" t="n">
        <v>0.13</v>
      </c>
      <c r="AA143" s="237" t="n">
        <v>0.1</v>
      </c>
      <c r="AB143" s="242" t="n">
        <v>4.23788403221745</v>
      </c>
      <c r="AC143" s="90" t="n">
        <v>4.36788403221745</v>
      </c>
      <c r="AD143" s="142" t="n">
        <v>4.33788403221745</v>
      </c>
      <c r="AE143" s="182" t="n">
        <v>3.412</v>
      </c>
      <c r="AF143" s="78" t="n">
        <v>3.442</v>
      </c>
      <c r="AG143" s="147" t="n">
        <v>3.662</v>
      </c>
      <c r="AH143" s="185" t="n">
        <v>-0.1</v>
      </c>
      <c r="AI143" s="223" t="n">
        <v>1.50444312769018</v>
      </c>
      <c r="AJ143" s="37" t="n">
        <v>0.0601847220929557</v>
      </c>
      <c r="AK143" s="37" t="n">
        <v>0.0611622270608829</v>
      </c>
      <c r="AL143" s="39" t="n">
        <v>0.594813277945605</v>
      </c>
      <c r="AM143" s="149" t="n">
        <v>0.589889748361327</v>
      </c>
      <c r="AN143" s="129" t="n">
        <v>0.125</v>
      </c>
      <c r="AO143" s="150" t="n">
        <v>0.124</v>
      </c>
      <c r="AP143" s="22"/>
      <c r="AQ143" s="129" t="n">
        <v>-3.62189997557308</v>
      </c>
      <c r="AR143" s="151" t="n">
        <v>-2.93189997557308</v>
      </c>
      <c r="AS143" s="22"/>
      <c r="AT143" s="5" t="n">
        <v>0.0075</v>
      </c>
      <c r="AU143" s="22"/>
      <c r="AV143" s="129" t="n">
        <v>0.0025</v>
      </c>
      <c r="AW143" s="22"/>
      <c r="AX143" s="22" t="n">
        <v>-0.105</v>
      </c>
      <c r="AY143" s="39"/>
      <c r="AZ143" s="243" t="n">
        <v>0.4</v>
      </c>
      <c r="BA143" s="243" t="n">
        <v>0.4</v>
      </c>
      <c r="BB143" s="194" t="n">
        <v>-0.69</v>
      </c>
      <c r="BC143" s="96"/>
      <c r="BD143" s="39"/>
      <c r="BE143" s="22"/>
      <c r="BF143" s="96"/>
      <c r="BG143" s="22"/>
      <c r="BH143" s="71"/>
      <c r="BI143" s="71"/>
      <c r="BJ143" s="22"/>
      <c r="BK143" s="96"/>
      <c r="BL143" s="22"/>
      <c r="BM143" s="22"/>
      <c r="BN143" s="39"/>
      <c r="BO143" s="39"/>
      <c r="BP143" s="71"/>
      <c r="BQ143" s="22"/>
      <c r="BR143" s="71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</row>
    <row r="144" customFormat="false" ht="12.75" hidden="false" customHeight="false" outlineLevel="0" collapsed="false">
      <c r="A144" s="224" t="n">
        <v>40299</v>
      </c>
      <c r="B144" s="217" t="n">
        <v>3.652</v>
      </c>
      <c r="C144" s="251" t="n">
        <v>-0.69</v>
      </c>
      <c r="D144" s="133" t="n">
        <v>-0.598833728700379</v>
      </c>
      <c r="E144" s="133" t="n">
        <v>-0.619872099000292</v>
      </c>
      <c r="F144" s="226" t="n">
        <v>0.125</v>
      </c>
      <c r="G144" s="227" t="n">
        <v>0.125</v>
      </c>
      <c r="H144" s="227" t="n">
        <v>0.16</v>
      </c>
      <c r="I144" s="228" t="n">
        <v>0.12</v>
      </c>
      <c r="J144" s="227" t="n">
        <v>0.04</v>
      </c>
      <c r="K144" s="227" t="n">
        <v>0.11</v>
      </c>
      <c r="L144" s="227" t="n">
        <v>0.42</v>
      </c>
      <c r="M144" s="226" t="n">
        <v>-0.27</v>
      </c>
      <c r="N144" s="227" t="n">
        <v>0.25</v>
      </c>
      <c r="O144" s="228" t="n">
        <v>0</v>
      </c>
      <c r="P144" s="183" t="n">
        <v>-0.25</v>
      </c>
      <c r="Q144" s="160" t="n">
        <v>0.1775</v>
      </c>
      <c r="R144" s="232" t="n">
        <v>0.185</v>
      </c>
      <c r="S144" s="139" t="n">
        <v>0.185</v>
      </c>
      <c r="T144" s="56" t="n">
        <v>0.45</v>
      </c>
      <c r="U144" s="248" t="n">
        <v>0.185</v>
      </c>
      <c r="V144" s="12" t="n">
        <v>2.962</v>
      </c>
      <c r="W144" s="12" t="n">
        <v>3.05316627129962</v>
      </c>
      <c r="X144" s="142" t="n">
        <v>3.03212790099971</v>
      </c>
      <c r="Y144" s="13"/>
      <c r="Z144" s="221" t="n">
        <v>0.13</v>
      </c>
      <c r="AA144" s="237" t="n">
        <v>0.1</v>
      </c>
      <c r="AB144" s="242" t="n">
        <v>4.22371118738078</v>
      </c>
      <c r="AC144" s="90" t="n">
        <v>4.35371118738078</v>
      </c>
      <c r="AD144" s="142" t="n">
        <v>4.32371118738078</v>
      </c>
      <c r="AE144" s="182" t="n">
        <v>3.402</v>
      </c>
      <c r="AF144" s="78" t="n">
        <v>3.382</v>
      </c>
      <c r="AG144" s="147" t="n">
        <v>3.652</v>
      </c>
      <c r="AH144" s="185" t="n">
        <v>-0.1</v>
      </c>
      <c r="AI144" s="223" t="n">
        <v>1.50447394683093</v>
      </c>
      <c r="AJ144" s="37" t="n">
        <v>0.0602587986335004</v>
      </c>
      <c r="AK144" s="37" t="n">
        <v>0.061224869903834</v>
      </c>
      <c r="AL144" s="39" t="n">
        <v>0.591547049579163</v>
      </c>
      <c r="AM144" s="149" t="n">
        <v>0.586662573774919</v>
      </c>
      <c r="AN144" s="129" t="n">
        <v>0.125</v>
      </c>
      <c r="AO144" s="150" t="n">
        <v>0.12</v>
      </c>
      <c r="AP144" s="22"/>
      <c r="AQ144" s="129" t="n">
        <v>-3.6119014115717</v>
      </c>
      <c r="AR144" s="151" t="n">
        <v>-2.9219014115717</v>
      </c>
      <c r="AS144" s="22"/>
      <c r="AT144" s="5" t="n">
        <v>0.0075</v>
      </c>
      <c r="AU144" s="22"/>
      <c r="AV144" s="129" t="n">
        <v>0.0025</v>
      </c>
      <c r="AW144" s="22"/>
      <c r="AX144" s="22" t="n">
        <v>-0.105</v>
      </c>
      <c r="AY144" s="39"/>
      <c r="AZ144" s="243" t="n">
        <v>0.45</v>
      </c>
      <c r="BA144" s="243" t="n">
        <v>0.45</v>
      </c>
      <c r="BB144" s="194" t="n">
        <v>-0.69</v>
      </c>
      <c r="BC144" s="96"/>
      <c r="BD144" s="39"/>
      <c r="BE144" s="22"/>
      <c r="BF144" s="96"/>
      <c r="BG144" s="22"/>
      <c r="BH144" s="71"/>
      <c r="BI144" s="71"/>
      <c r="BJ144" s="22"/>
      <c r="BK144" s="96"/>
      <c r="BL144" s="22"/>
      <c r="BM144" s="22"/>
      <c r="BN144" s="39"/>
      <c r="BO144" s="39"/>
      <c r="BP144" s="71"/>
      <c r="BQ144" s="22"/>
      <c r="BR144" s="71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</row>
    <row r="145" customFormat="false" ht="12.75" hidden="false" customHeight="false" outlineLevel="0" collapsed="false">
      <c r="A145" s="224" t="n">
        <v>40330</v>
      </c>
      <c r="B145" s="217" t="n">
        <v>3.688</v>
      </c>
      <c r="C145" s="251" t="n">
        <v>-0.69</v>
      </c>
      <c r="D145" s="133" t="n">
        <v>-0.598835832937245</v>
      </c>
      <c r="E145" s="133" t="n">
        <v>-0.619873717644035</v>
      </c>
      <c r="F145" s="226" t="n">
        <v>0.125</v>
      </c>
      <c r="G145" s="227" t="n">
        <v>0.125</v>
      </c>
      <c r="H145" s="227" t="n">
        <v>0.16</v>
      </c>
      <c r="I145" s="228" t="n">
        <v>0.12</v>
      </c>
      <c r="J145" s="227" t="n">
        <v>0.04</v>
      </c>
      <c r="K145" s="227" t="n">
        <v>0.11</v>
      </c>
      <c r="L145" s="227" t="n">
        <v>0.42</v>
      </c>
      <c r="M145" s="226" t="n">
        <v>-0.27</v>
      </c>
      <c r="N145" s="227" t="n">
        <v>0.25</v>
      </c>
      <c r="O145" s="228" t="n">
        <v>0</v>
      </c>
      <c r="P145" s="183" t="n">
        <v>-0.25</v>
      </c>
      <c r="Q145" s="160" t="n">
        <v>0.1775</v>
      </c>
      <c r="R145" s="232" t="n">
        <v>0.185</v>
      </c>
      <c r="S145" s="139" t="n">
        <v>0.185</v>
      </c>
      <c r="T145" s="56" t="n">
        <v>0.45</v>
      </c>
      <c r="U145" s="248" t="n">
        <v>0.185</v>
      </c>
      <c r="V145" s="12" t="n">
        <v>2.998</v>
      </c>
      <c r="W145" s="12" t="n">
        <v>3.08916416706276</v>
      </c>
      <c r="X145" s="142" t="n">
        <v>3.06812628235597</v>
      </c>
      <c r="Y145" s="13"/>
      <c r="Z145" s="221" t="n">
        <v>0.13</v>
      </c>
      <c r="AA145" s="237" t="n">
        <v>0.1</v>
      </c>
      <c r="AB145" s="242" t="n">
        <v>4.27514463804308</v>
      </c>
      <c r="AC145" s="90" t="n">
        <v>4.40514463804308</v>
      </c>
      <c r="AD145" s="142" t="n">
        <v>4.37514463804308</v>
      </c>
      <c r="AE145" s="182" t="n">
        <v>3.438</v>
      </c>
      <c r="AF145" s="78" t="n">
        <v>3.418</v>
      </c>
      <c r="AG145" s="147" t="n">
        <v>3.688</v>
      </c>
      <c r="AH145" s="185" t="n">
        <v>-0.1</v>
      </c>
      <c r="AI145" s="223" t="n">
        <v>1.5045086728603</v>
      </c>
      <c r="AJ145" s="37" t="n">
        <v>0.060335344393978</v>
      </c>
      <c r="AK145" s="37" t="n">
        <v>0.0612896008429193</v>
      </c>
      <c r="AL145" s="39" t="n">
        <v>0.588183502744286</v>
      </c>
      <c r="AM145" s="149" t="n">
        <v>0.583340264411425</v>
      </c>
      <c r="AN145" s="129" t="n">
        <v>0.125</v>
      </c>
      <c r="AO145" s="150" t="n">
        <v>0.124</v>
      </c>
      <c r="AP145" s="22"/>
      <c r="AQ145" s="129" t="n">
        <v>-3.64790302953887</v>
      </c>
      <c r="AR145" s="151" t="n">
        <v>-2.95790302953887</v>
      </c>
      <c r="AS145" s="22"/>
      <c r="AT145" s="5" t="n">
        <v>0.0075</v>
      </c>
      <c r="AU145" s="22"/>
      <c r="AV145" s="129" t="n">
        <v>0.0025</v>
      </c>
      <c r="AW145" s="22"/>
      <c r="AX145" s="22" t="n">
        <v>-0.105</v>
      </c>
      <c r="AY145" s="39"/>
      <c r="AZ145" s="243" t="n">
        <v>0.45</v>
      </c>
      <c r="BA145" s="243" t="n">
        <v>0.45</v>
      </c>
      <c r="BB145" s="194" t="n">
        <v>-0.69</v>
      </c>
      <c r="BC145" s="96"/>
      <c r="BD145" s="39"/>
      <c r="BE145" s="22"/>
      <c r="BF145" s="96"/>
      <c r="BG145" s="22"/>
      <c r="BH145" s="71"/>
      <c r="BI145" s="71"/>
      <c r="BJ145" s="22"/>
      <c r="BK145" s="96"/>
      <c r="BL145" s="22"/>
      <c r="BM145" s="22"/>
      <c r="BN145" s="39"/>
      <c r="BO145" s="39"/>
      <c r="BP145" s="71"/>
      <c r="BQ145" s="22"/>
      <c r="BR145" s="71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</row>
    <row r="146" customFormat="false" ht="12.75" hidden="false" customHeight="false" outlineLevel="0" collapsed="false">
      <c r="A146" s="224" t="n">
        <v>40360</v>
      </c>
      <c r="B146" s="217" t="n">
        <v>3.73</v>
      </c>
      <c r="C146" s="251" t="n">
        <v>-0.69</v>
      </c>
      <c r="D146" s="133" t="n">
        <v>-0.598838038046514</v>
      </c>
      <c r="E146" s="133" t="n">
        <v>-0.619875413881934</v>
      </c>
      <c r="F146" s="226" t="n">
        <v>0.125</v>
      </c>
      <c r="G146" s="227" t="n">
        <v>0.125</v>
      </c>
      <c r="H146" s="227" t="n">
        <v>0.16</v>
      </c>
      <c r="I146" s="228" t="n">
        <v>0.12</v>
      </c>
      <c r="J146" s="227" t="n">
        <v>0.04</v>
      </c>
      <c r="K146" s="227" t="n">
        <v>0.11</v>
      </c>
      <c r="L146" s="227" t="n">
        <v>0.48</v>
      </c>
      <c r="M146" s="226" t="n">
        <v>-0.27</v>
      </c>
      <c r="N146" s="227" t="n">
        <v>0.25</v>
      </c>
      <c r="O146" s="228" t="n">
        <v>0</v>
      </c>
      <c r="P146" s="183" t="n">
        <v>-0.25</v>
      </c>
      <c r="Q146" s="160" t="n">
        <v>0.1775</v>
      </c>
      <c r="R146" s="232" t="n">
        <v>0.185</v>
      </c>
      <c r="S146" s="139" t="n">
        <v>0.185</v>
      </c>
      <c r="T146" s="56" t="n">
        <v>0.5</v>
      </c>
      <c r="U146" s="248" t="n">
        <v>0.185</v>
      </c>
      <c r="V146" s="12" t="n">
        <v>3.04</v>
      </c>
      <c r="W146" s="12" t="n">
        <v>3.13116196195349</v>
      </c>
      <c r="X146" s="142" t="n">
        <v>3.11012458611807</v>
      </c>
      <c r="Y146" s="13"/>
      <c r="Z146" s="221" t="n">
        <v>0.13</v>
      </c>
      <c r="AA146" s="237" t="n">
        <v>0.1</v>
      </c>
      <c r="AB146" s="242" t="n">
        <v>4.3351414507911</v>
      </c>
      <c r="AC146" s="90" t="n">
        <v>4.4651414507911</v>
      </c>
      <c r="AD146" s="142" t="n">
        <v>4.4351414507911</v>
      </c>
      <c r="AE146" s="182" t="n">
        <v>3.48</v>
      </c>
      <c r="AF146" s="78" t="n">
        <v>3.46</v>
      </c>
      <c r="AG146" s="147" t="n">
        <v>3.73</v>
      </c>
      <c r="AH146" s="185" t="n">
        <v>-0.1</v>
      </c>
      <c r="AI146" s="223" t="n">
        <v>1.50454506529798</v>
      </c>
      <c r="AJ146" s="37" t="n">
        <v>0.0604094209382291</v>
      </c>
      <c r="AK146" s="37" t="n">
        <v>0.0613522436885208</v>
      </c>
      <c r="AL146" s="39" t="n">
        <v>0.584939657300422</v>
      </c>
      <c r="AM146" s="149" t="n">
        <v>0.58013716208862</v>
      </c>
      <c r="AN146" s="129" t="n">
        <v>0.125</v>
      </c>
      <c r="AO146" s="150" t="n">
        <v>0.12</v>
      </c>
      <c r="AP146" s="22"/>
      <c r="AQ146" s="129" t="n">
        <v>-3.68990472506776</v>
      </c>
      <c r="AR146" s="151" t="n">
        <v>-2.99990472506776</v>
      </c>
      <c r="AS146" s="22"/>
      <c r="AT146" s="5" t="n">
        <v>0.0075</v>
      </c>
      <c r="AU146" s="22"/>
      <c r="AV146" s="129" t="n">
        <v>0.0025</v>
      </c>
      <c r="AW146" s="22"/>
      <c r="AX146" s="22" t="n">
        <v>-0.105</v>
      </c>
      <c r="AY146" s="39"/>
      <c r="AZ146" s="243" t="n">
        <v>0.5</v>
      </c>
      <c r="BA146" s="243" t="n">
        <v>0.5</v>
      </c>
      <c r="BB146" s="194" t="n">
        <v>-0.69</v>
      </c>
      <c r="BC146" s="96"/>
      <c r="BD146" s="39"/>
      <c r="BE146" s="22"/>
      <c r="BF146" s="96"/>
      <c r="BG146" s="22"/>
      <c r="BH146" s="71"/>
      <c r="BI146" s="71"/>
      <c r="BJ146" s="22"/>
      <c r="BK146" s="96"/>
      <c r="BL146" s="22"/>
      <c r="BM146" s="22"/>
      <c r="BN146" s="39"/>
      <c r="BO146" s="39"/>
      <c r="BP146" s="71"/>
      <c r="BQ146" s="22"/>
      <c r="BR146" s="71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</row>
    <row r="147" customFormat="false" ht="12.75" hidden="false" customHeight="false" outlineLevel="0" collapsed="false">
      <c r="A147" s="224" t="n">
        <v>40391</v>
      </c>
      <c r="B147" s="217" t="n">
        <v>3.779</v>
      </c>
      <c r="C147" s="251" t="n">
        <v>-0.69</v>
      </c>
      <c r="D147" s="133" t="n">
        <v>-0.5988404910048</v>
      </c>
      <c r="E147" s="133" t="n">
        <v>-0.619877300772924</v>
      </c>
      <c r="F147" s="226" t="n">
        <v>0.125</v>
      </c>
      <c r="G147" s="227" t="n">
        <v>0.125</v>
      </c>
      <c r="H147" s="227" t="n">
        <v>0.16</v>
      </c>
      <c r="I147" s="228" t="n">
        <v>0.12</v>
      </c>
      <c r="J147" s="227" t="n">
        <v>0.04</v>
      </c>
      <c r="K147" s="227" t="n">
        <v>0.11</v>
      </c>
      <c r="L147" s="227" t="n">
        <v>0.48</v>
      </c>
      <c r="M147" s="226" t="n">
        <v>-0.27</v>
      </c>
      <c r="N147" s="227" t="n">
        <v>0.25</v>
      </c>
      <c r="O147" s="228" t="n">
        <v>0</v>
      </c>
      <c r="P147" s="183" t="n">
        <v>-0.25</v>
      </c>
      <c r="Q147" s="160" t="n">
        <v>0.1775</v>
      </c>
      <c r="R147" s="232" t="n">
        <v>0.185</v>
      </c>
      <c r="S147" s="139" t="n">
        <v>0.185</v>
      </c>
      <c r="T147" s="56" t="n">
        <v>0.55</v>
      </c>
      <c r="U147" s="248" t="n">
        <v>0.185</v>
      </c>
      <c r="V147" s="12" t="n">
        <v>3.089</v>
      </c>
      <c r="W147" s="12" t="n">
        <v>3.1801595089952</v>
      </c>
      <c r="X147" s="142" t="n">
        <v>3.15912269922708</v>
      </c>
      <c r="Y147" s="13"/>
      <c r="Z147" s="221" t="n">
        <v>0.13</v>
      </c>
      <c r="AA147" s="237" t="n">
        <v>0.1</v>
      </c>
      <c r="AB147" s="242" t="n">
        <v>4.40513561806423</v>
      </c>
      <c r="AC147" s="90" t="n">
        <v>4.53513561806423</v>
      </c>
      <c r="AD147" s="142" t="n">
        <v>4.50513561806423</v>
      </c>
      <c r="AE147" s="182" t="n">
        <v>3.529</v>
      </c>
      <c r="AF147" s="78" t="n">
        <v>3.509</v>
      </c>
      <c r="AG147" s="147" t="n">
        <v>3.779</v>
      </c>
      <c r="AH147" s="185" t="n">
        <v>-0.1</v>
      </c>
      <c r="AI147" s="223" t="n">
        <v>1.50458555022738</v>
      </c>
      <c r="AJ147" s="37" t="n">
        <v>0.060485966702537</v>
      </c>
      <c r="AK147" s="37" t="n">
        <v>0.0614169746303439</v>
      </c>
      <c r="AL147" s="39" t="n">
        <v>0.581599273945468</v>
      </c>
      <c r="AM147" s="149" t="n">
        <v>0.576839725511596</v>
      </c>
      <c r="AN147" s="129" t="n">
        <v>0.125</v>
      </c>
      <c r="AO147" s="150" t="n">
        <v>0.12</v>
      </c>
      <c r="AP147" s="22"/>
      <c r="AQ147" s="129" t="n">
        <v>-3.73890661117006</v>
      </c>
      <c r="AR147" s="151" t="n">
        <v>-3.04890661117006</v>
      </c>
      <c r="AS147" s="22"/>
      <c r="AT147" s="5" t="n">
        <v>0.0075</v>
      </c>
      <c r="AU147" s="22"/>
      <c r="AV147" s="129" t="n">
        <v>0.0025</v>
      </c>
      <c r="AW147" s="22"/>
      <c r="AX147" s="22" t="n">
        <v>-0.105</v>
      </c>
      <c r="AY147" s="39"/>
      <c r="AZ147" s="243" t="n">
        <v>0.55</v>
      </c>
      <c r="BA147" s="243" t="n">
        <v>0.55</v>
      </c>
      <c r="BB147" s="194" t="n">
        <v>-0.69</v>
      </c>
      <c r="BC147" s="96"/>
      <c r="BD147" s="39"/>
      <c r="BE147" s="22"/>
      <c r="BF147" s="96"/>
      <c r="BG147" s="22"/>
      <c r="BH147" s="71"/>
      <c r="BI147" s="71"/>
      <c r="BJ147" s="22"/>
      <c r="BK147" s="96"/>
      <c r="BL147" s="22"/>
      <c r="BM147" s="22"/>
      <c r="BN147" s="39"/>
      <c r="BO147" s="39"/>
      <c r="BP147" s="71"/>
      <c r="BQ147" s="22"/>
      <c r="BR147" s="71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</row>
    <row r="148" customFormat="false" ht="12.75" hidden="false" customHeight="false" outlineLevel="0" collapsed="false">
      <c r="A148" s="224" t="n">
        <v>40422</v>
      </c>
      <c r="B148" s="217" t="n">
        <v>3.794</v>
      </c>
      <c r="C148" s="251" t="n">
        <v>-0.69</v>
      </c>
      <c r="D148" s="133" t="n">
        <v>-0.598843121134407</v>
      </c>
      <c r="E148" s="133" t="n">
        <v>-0.619879323949544</v>
      </c>
      <c r="F148" s="226" t="n">
        <v>0.125</v>
      </c>
      <c r="G148" s="227" t="n">
        <v>0.125</v>
      </c>
      <c r="H148" s="227" t="n">
        <v>0.16</v>
      </c>
      <c r="I148" s="228" t="n">
        <v>0.12</v>
      </c>
      <c r="J148" s="227" t="n">
        <v>0.04</v>
      </c>
      <c r="K148" s="227" t="n">
        <v>0.11</v>
      </c>
      <c r="L148" s="227" t="n">
        <v>0.44</v>
      </c>
      <c r="M148" s="226" t="n">
        <v>-0.27</v>
      </c>
      <c r="N148" s="227" t="n">
        <v>0.25</v>
      </c>
      <c r="O148" s="228" t="n">
        <v>0</v>
      </c>
      <c r="P148" s="183" t="n">
        <v>-0.25</v>
      </c>
      <c r="Q148" s="160" t="n">
        <v>0.1775</v>
      </c>
      <c r="R148" s="232" t="n">
        <v>0.185</v>
      </c>
      <c r="S148" s="139" t="n">
        <v>0.185</v>
      </c>
      <c r="T148" s="56" t="n">
        <v>0.55</v>
      </c>
      <c r="U148" s="248" t="n">
        <v>0.185</v>
      </c>
      <c r="V148" s="12" t="n">
        <v>3.104</v>
      </c>
      <c r="W148" s="12" t="n">
        <v>3.19515687886559</v>
      </c>
      <c r="X148" s="142" t="n">
        <v>3.17412067605046</v>
      </c>
      <c r="Y148" s="13"/>
      <c r="Z148" s="221" t="n">
        <v>0.13</v>
      </c>
      <c r="AA148" s="237" t="n">
        <v>0.1</v>
      </c>
      <c r="AB148" s="242" t="n">
        <v>4.42665441184063</v>
      </c>
      <c r="AC148" s="90" t="n">
        <v>4.55665441184063</v>
      </c>
      <c r="AD148" s="142" t="n">
        <v>4.52665441184063</v>
      </c>
      <c r="AE148" s="182" t="n">
        <v>3.544</v>
      </c>
      <c r="AF148" s="78" t="n">
        <v>3.524</v>
      </c>
      <c r="AG148" s="147" t="n">
        <v>3.794</v>
      </c>
      <c r="AH148" s="185" t="n">
        <v>-0.1</v>
      </c>
      <c r="AI148" s="223" t="n">
        <v>1.50462896170713</v>
      </c>
      <c r="AJ148" s="37" t="n">
        <v>0.0605625124687914</v>
      </c>
      <c r="AK148" s="37" t="n">
        <v>0.0614817055735584</v>
      </c>
      <c r="AL148" s="39" t="n">
        <v>0.5782706876655</v>
      </c>
      <c r="AM148" s="149" t="n">
        <v>0.573554927071729</v>
      </c>
      <c r="AN148" s="129" t="n">
        <v>0.125</v>
      </c>
      <c r="AO148" s="150" t="n">
        <v>0.124</v>
      </c>
      <c r="AP148" s="22"/>
      <c r="AQ148" s="129" t="n">
        <v>-3.75390863350102</v>
      </c>
      <c r="AR148" s="151" t="n">
        <v>-3.06390863350102</v>
      </c>
      <c r="AS148" s="22"/>
      <c r="AT148" s="5" t="n">
        <v>0.0075</v>
      </c>
      <c r="AU148" s="22"/>
      <c r="AV148" s="129" t="n">
        <v>0.0025</v>
      </c>
      <c r="AW148" s="22"/>
      <c r="AX148" s="22" t="n">
        <v>-0.105</v>
      </c>
      <c r="AY148" s="39"/>
      <c r="AZ148" s="243" t="n">
        <v>0.55</v>
      </c>
      <c r="BA148" s="243" t="n">
        <v>0.55</v>
      </c>
      <c r="BB148" s="194" t="n">
        <v>-0.69</v>
      </c>
      <c r="BC148" s="96"/>
      <c r="BD148" s="39"/>
      <c r="BE148" s="22"/>
      <c r="BF148" s="96"/>
      <c r="BG148" s="22"/>
      <c r="BH148" s="71"/>
      <c r="BI148" s="71"/>
      <c r="BJ148" s="22"/>
      <c r="BK148" s="96"/>
      <c r="BL148" s="22"/>
      <c r="BM148" s="22"/>
      <c r="BN148" s="39"/>
      <c r="BO148" s="39"/>
      <c r="BP148" s="71"/>
      <c r="BQ148" s="22"/>
      <c r="BR148" s="71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</row>
    <row r="149" customFormat="false" ht="12.75" hidden="false" customHeight="false" outlineLevel="0" collapsed="false">
      <c r="A149" s="224" t="n">
        <v>40452</v>
      </c>
      <c r="B149" s="217" t="n">
        <v>3.823</v>
      </c>
      <c r="C149" s="251" t="n">
        <v>-0.69</v>
      </c>
      <c r="D149" s="133" t="n">
        <v>-0.598845835080224</v>
      </c>
      <c r="E149" s="133" t="n">
        <v>-0.619881411600173</v>
      </c>
      <c r="F149" s="226" t="n">
        <v>0.125</v>
      </c>
      <c r="G149" s="227" t="n">
        <v>0.125</v>
      </c>
      <c r="H149" s="227" t="n">
        <v>0.16</v>
      </c>
      <c r="I149" s="228" t="n">
        <v>0.12</v>
      </c>
      <c r="J149" s="227" t="n">
        <v>0.04</v>
      </c>
      <c r="K149" s="227" t="n">
        <v>0.11</v>
      </c>
      <c r="L149" s="227" t="n">
        <v>0.45</v>
      </c>
      <c r="M149" s="226" t="n">
        <v>-0.27</v>
      </c>
      <c r="N149" s="227" t="n">
        <v>0.25</v>
      </c>
      <c r="O149" s="228" t="n">
        <v>0</v>
      </c>
      <c r="P149" s="183" t="n">
        <v>-0.25</v>
      </c>
      <c r="Q149" s="160" t="n">
        <v>0.1775</v>
      </c>
      <c r="R149" s="232" t="n">
        <v>0.185</v>
      </c>
      <c r="S149" s="139" t="n">
        <v>0.185</v>
      </c>
      <c r="T149" s="56" t="n">
        <v>0.6</v>
      </c>
      <c r="U149" s="248" t="n">
        <v>0.185</v>
      </c>
      <c r="V149" s="12" t="n">
        <v>3.133</v>
      </c>
      <c r="W149" s="12" t="n">
        <v>3.22415416491978</v>
      </c>
      <c r="X149" s="142" t="n">
        <v>3.20311858839983</v>
      </c>
      <c r="Y149" s="13"/>
      <c r="Z149" s="221" t="n">
        <v>0.13</v>
      </c>
      <c r="AA149" s="237" t="n">
        <v>0.1</v>
      </c>
      <c r="AB149" s="242" t="n">
        <v>4.46814471240513</v>
      </c>
      <c r="AC149" s="90" t="n">
        <v>4.59814471240513</v>
      </c>
      <c r="AD149" s="142" t="n">
        <v>4.56814471240513</v>
      </c>
      <c r="AE149" s="182" t="n">
        <v>3.573</v>
      </c>
      <c r="AF149" s="78" t="n">
        <v>3.553</v>
      </c>
      <c r="AG149" s="147" t="n">
        <v>3.823</v>
      </c>
      <c r="AH149" s="185" t="n">
        <v>-0.1</v>
      </c>
      <c r="AI149" s="223" t="n">
        <v>1.50467375923757</v>
      </c>
      <c r="AJ149" s="37" t="n">
        <v>0.0606365890186322</v>
      </c>
      <c r="AK149" s="37" t="n">
        <v>0.0615443484231548</v>
      </c>
      <c r="AL149" s="39" t="n">
        <v>0.575060723011066</v>
      </c>
      <c r="AM149" s="149" t="n">
        <v>0.570388121214854</v>
      </c>
      <c r="AN149" s="129" t="n">
        <v>0.125</v>
      </c>
      <c r="AO149" s="150" t="n">
        <v>0.12</v>
      </c>
      <c r="AP149" s="22"/>
      <c r="AQ149" s="129" t="n">
        <v>-3.78291072027903</v>
      </c>
      <c r="AR149" s="151" t="n">
        <v>-3.09291072027903</v>
      </c>
      <c r="AS149" s="22"/>
      <c r="AT149" s="5" t="n">
        <v>0.0075</v>
      </c>
      <c r="AU149" s="22"/>
      <c r="AV149" s="129" t="n">
        <v>0.0025</v>
      </c>
      <c r="AW149" s="22"/>
      <c r="AX149" s="22" t="n">
        <v>-0.105</v>
      </c>
      <c r="AY149" s="39"/>
      <c r="AZ149" s="243" t="n">
        <v>0.6</v>
      </c>
      <c r="BA149" s="243" t="n">
        <v>0.6</v>
      </c>
      <c r="BB149" s="194" t="n">
        <v>-0.69</v>
      </c>
      <c r="BC149" s="96"/>
      <c r="BD149" s="39"/>
      <c r="BE149" s="22"/>
      <c r="BF149" s="96"/>
      <c r="BG149" s="22"/>
      <c r="BH149" s="71"/>
      <c r="BI149" s="71"/>
      <c r="BJ149" s="22"/>
      <c r="BK149" s="96"/>
      <c r="BL149" s="22"/>
      <c r="BM149" s="22"/>
      <c r="BN149" s="39"/>
      <c r="BO149" s="39"/>
      <c r="BP149" s="71"/>
      <c r="BQ149" s="22"/>
      <c r="BR149" s="71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</row>
    <row r="150" customFormat="false" ht="12.75" hidden="false" customHeight="false" outlineLevel="0" collapsed="false">
      <c r="A150" s="216" t="n">
        <v>40483</v>
      </c>
      <c r="B150" s="217" t="n">
        <v>3.963</v>
      </c>
      <c r="C150" s="252" t="n">
        <v>-0.6</v>
      </c>
      <c r="D150" s="133" t="n">
        <v>-0.508848813738336</v>
      </c>
      <c r="E150" s="133" t="n">
        <v>-0.11</v>
      </c>
      <c r="F150" s="226" t="n">
        <v>0.185</v>
      </c>
      <c r="G150" s="227" t="n">
        <v>0.365</v>
      </c>
      <c r="H150" s="227" t="n">
        <v>0.305</v>
      </c>
      <c r="I150" s="228" t="n">
        <v>0.405</v>
      </c>
      <c r="J150" s="227" t="n">
        <v>0.14</v>
      </c>
      <c r="K150" s="227" t="n">
        <v>0.17</v>
      </c>
      <c r="L150" s="227" t="n">
        <v>0.73</v>
      </c>
      <c r="M150" s="226" t="n">
        <v>-0.15</v>
      </c>
      <c r="N150" s="227" t="n">
        <v>0.35</v>
      </c>
      <c r="O150" s="228" t="n">
        <v>0</v>
      </c>
      <c r="P150" s="183" t="n">
        <v>0.248</v>
      </c>
      <c r="Q150" s="160" t="n">
        <v>0.1775</v>
      </c>
      <c r="R150" s="232" t="n">
        <v>0.185</v>
      </c>
      <c r="S150" s="139" t="n">
        <v>0.185</v>
      </c>
      <c r="T150" s="56" t="n">
        <v>0.8</v>
      </c>
      <c r="U150" s="248" t="n">
        <v>0.185</v>
      </c>
      <c r="V150" s="12" t="n">
        <v>3.363</v>
      </c>
      <c r="W150" s="12" t="n">
        <v>3.45415118626166</v>
      </c>
      <c r="X150" s="142" t="n">
        <v>3.853</v>
      </c>
      <c r="Y150" s="13"/>
      <c r="Z150" s="221" t="n">
        <v>0.13</v>
      </c>
      <c r="AA150" s="237" t="n">
        <v>0.698838957697591</v>
      </c>
      <c r="AB150" s="242" t="n">
        <v>4.79631717293265</v>
      </c>
      <c r="AC150" s="90" t="n">
        <v>4.92631717293265</v>
      </c>
      <c r="AD150" s="142" t="n">
        <v>5.49515613063024</v>
      </c>
      <c r="AE150" s="182" t="n">
        <v>4.211</v>
      </c>
      <c r="AF150" s="78" t="n">
        <v>3.813</v>
      </c>
      <c r="AG150" s="147" t="n">
        <v>3.963</v>
      </c>
      <c r="AH150" s="185" t="n">
        <v>-0.1</v>
      </c>
      <c r="AI150" s="223" t="n">
        <v>1.504722929291</v>
      </c>
      <c r="AJ150" s="37" t="n">
        <v>0.0607131347887164</v>
      </c>
      <c r="AK150" s="37" t="n">
        <v>0.0616090793691071</v>
      </c>
      <c r="AL150" s="39" t="n">
        <v>0.571755397815538</v>
      </c>
      <c r="AM150" s="149" t="n">
        <v>0.56712818525968</v>
      </c>
      <c r="AN150" s="129" t="n">
        <v>0.365</v>
      </c>
      <c r="AO150" s="150" t="n">
        <v>0.124</v>
      </c>
      <c r="AP150" s="22"/>
      <c r="AQ150" s="129" t="n">
        <v>-3.50332158050477</v>
      </c>
      <c r="AR150" s="151" t="n">
        <v>-2.90332158050477</v>
      </c>
      <c r="AS150" s="22"/>
      <c r="AT150" s="5" t="n">
        <v>0.0075</v>
      </c>
      <c r="AU150" s="22"/>
      <c r="AV150" s="129" t="n">
        <v>0.008</v>
      </c>
      <c r="AW150" s="22"/>
      <c r="AX150" s="22" t="n">
        <v>0.005</v>
      </c>
      <c r="AY150" s="39"/>
      <c r="AZ150" s="243" t="n">
        <v>0.8</v>
      </c>
      <c r="BA150" s="243"/>
      <c r="BB150" s="194" t="n">
        <v>-0.6</v>
      </c>
      <c r="BC150" s="96"/>
      <c r="BD150" s="39"/>
      <c r="BE150" s="22"/>
      <c r="BF150" s="96"/>
      <c r="BG150" s="22"/>
      <c r="BH150" s="71"/>
      <c r="BI150" s="71"/>
      <c r="BJ150" s="22"/>
      <c r="BK150" s="96"/>
      <c r="BL150" s="22"/>
      <c r="BM150" s="22"/>
      <c r="BN150" s="39"/>
      <c r="BO150" s="39"/>
      <c r="BP150" s="71"/>
      <c r="BQ150" s="22"/>
      <c r="BR150" s="71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</row>
    <row r="151" customFormat="false" ht="12.75" hidden="false" customHeight="false" outlineLevel="0" collapsed="false">
      <c r="A151" s="224" t="n">
        <v>40513</v>
      </c>
      <c r="B151" s="217" t="n">
        <v>4.103</v>
      </c>
      <c r="C151" s="251" t="n">
        <v>-0.6</v>
      </c>
      <c r="D151" s="133" t="n">
        <v>-0.508851864904111</v>
      </c>
      <c r="E151" s="133" t="n">
        <v>-0.11</v>
      </c>
      <c r="F151" s="226" t="n">
        <v>0.185</v>
      </c>
      <c r="G151" s="227" t="n">
        <v>0.365</v>
      </c>
      <c r="H151" s="227" t="n">
        <v>0.305</v>
      </c>
      <c r="I151" s="228" t="n">
        <v>0.405</v>
      </c>
      <c r="J151" s="227" t="n">
        <v>0.14</v>
      </c>
      <c r="K151" s="227" t="n">
        <v>0.17</v>
      </c>
      <c r="L151" s="227" t="n">
        <v>1.14</v>
      </c>
      <c r="M151" s="226" t="n">
        <v>-0.15</v>
      </c>
      <c r="N151" s="227" t="n">
        <v>0.35</v>
      </c>
      <c r="O151" s="228" t="n">
        <v>0</v>
      </c>
      <c r="P151" s="183" t="n">
        <v>0.308</v>
      </c>
      <c r="Q151" s="160" t="n">
        <v>0.1775</v>
      </c>
      <c r="R151" s="232" t="n">
        <v>0.185</v>
      </c>
      <c r="S151" s="139" t="n">
        <v>0.185</v>
      </c>
      <c r="T151" s="56" t="n">
        <v>1</v>
      </c>
      <c r="U151" s="248" t="n">
        <v>0.185</v>
      </c>
      <c r="V151" s="12" t="n">
        <v>3.503</v>
      </c>
      <c r="W151" s="12" t="n">
        <v>3.59414813509589</v>
      </c>
      <c r="X151" s="142" t="n">
        <v>3.993</v>
      </c>
      <c r="Y151" s="13"/>
      <c r="Z151" s="221" t="n">
        <v>0.13</v>
      </c>
      <c r="AA151" s="237" t="n">
        <v>0.698862351193323</v>
      </c>
      <c r="AB151" s="242" t="n">
        <v>4.99615268618411</v>
      </c>
      <c r="AC151" s="90" t="n">
        <v>5.12615268618411</v>
      </c>
      <c r="AD151" s="142" t="n">
        <v>5.69501503737744</v>
      </c>
      <c r="AE151" s="182" t="n">
        <v>4.411</v>
      </c>
      <c r="AF151" s="78" t="n">
        <v>3.953</v>
      </c>
      <c r="AG151" s="147" t="n">
        <v>4.103</v>
      </c>
      <c r="AH151" s="185" t="n">
        <v>-0.1</v>
      </c>
      <c r="AI151" s="223" t="n">
        <v>1.50477329959311</v>
      </c>
      <c r="AJ151" s="37" t="n">
        <v>0.0607872113422632</v>
      </c>
      <c r="AK151" s="37" t="n">
        <v>0.061671722221353</v>
      </c>
      <c r="AL151" s="39" t="n">
        <v>0.568567973182359</v>
      </c>
      <c r="AM151" s="149" t="n">
        <v>0.563985435101241</v>
      </c>
      <c r="AN151" s="129" t="n">
        <v>0.365</v>
      </c>
      <c r="AO151" s="150" t="n">
        <v>0.12</v>
      </c>
      <c r="AP151" s="22"/>
      <c r="AQ151" s="129" t="n">
        <v>-3.64334953094968</v>
      </c>
      <c r="AR151" s="151" t="n">
        <v>-3.04334953094968</v>
      </c>
      <c r="AS151" s="22"/>
      <c r="AT151" s="5" t="n">
        <v>0.0075</v>
      </c>
      <c r="AU151" s="22"/>
      <c r="AV151" s="129" t="n">
        <v>0.008</v>
      </c>
      <c r="AW151" s="22"/>
      <c r="AX151" s="22" t="n">
        <v>0.01</v>
      </c>
      <c r="AY151" s="39"/>
      <c r="AZ151" s="243" t="n">
        <v>1</v>
      </c>
      <c r="BA151" s="243"/>
      <c r="BB151" s="194" t="n">
        <v>-0.6</v>
      </c>
      <c r="BC151" s="96"/>
      <c r="BD151" s="39"/>
      <c r="BE151" s="22"/>
      <c r="BF151" s="96"/>
      <c r="BG151" s="22"/>
      <c r="BH151" s="71"/>
      <c r="BI151" s="71"/>
      <c r="BJ151" s="22"/>
      <c r="BK151" s="96"/>
      <c r="BL151" s="22"/>
      <c r="BM151" s="22"/>
      <c r="BN151" s="39"/>
      <c r="BO151" s="39"/>
      <c r="BP151" s="71"/>
      <c r="BQ151" s="22"/>
      <c r="BR151" s="71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</row>
    <row r="152" customFormat="false" ht="12.75" hidden="false" customHeight="false" outlineLevel="0" collapsed="false">
      <c r="A152" s="224" t="n">
        <v>40544</v>
      </c>
      <c r="B152" s="217" t="n">
        <v>4.203</v>
      </c>
      <c r="C152" s="251" t="n">
        <v>-0.6</v>
      </c>
      <c r="D152" s="133" t="n">
        <v>-0.508855191952995</v>
      </c>
      <c r="E152" s="133" t="n">
        <v>-0.11</v>
      </c>
      <c r="F152" s="226" t="n">
        <v>0.185</v>
      </c>
      <c r="G152" s="227" t="n">
        <v>0.365</v>
      </c>
      <c r="H152" s="227" t="n">
        <v>0.305</v>
      </c>
      <c r="I152" s="228" t="n">
        <v>0.405</v>
      </c>
      <c r="J152" s="227" t="n">
        <v>0.14</v>
      </c>
      <c r="K152" s="227" t="n">
        <v>0.17</v>
      </c>
      <c r="L152" s="227" t="n">
        <v>1.63</v>
      </c>
      <c r="M152" s="226" t="n">
        <v>-0.15</v>
      </c>
      <c r="N152" s="227" t="n">
        <v>0.35</v>
      </c>
      <c r="O152" s="228" t="n">
        <v>0</v>
      </c>
      <c r="P152" s="183" t="n">
        <v>0.378</v>
      </c>
      <c r="Q152" s="160" t="n">
        <v>0.1775</v>
      </c>
      <c r="R152" s="232" t="n">
        <v>0.185</v>
      </c>
      <c r="S152" s="139" t="n">
        <v>0.185</v>
      </c>
      <c r="T152" s="56" t="n">
        <v>1</v>
      </c>
      <c r="U152" s="248" t="n">
        <v>0.185</v>
      </c>
      <c r="V152" s="12" t="n">
        <v>3.603</v>
      </c>
      <c r="W152" s="12" t="n">
        <v>3.69414480804701</v>
      </c>
      <c r="X152" s="142" t="n">
        <v>4.093</v>
      </c>
      <c r="Y152" s="13"/>
      <c r="Z152" s="221" t="n">
        <v>0.13</v>
      </c>
      <c r="AA152" s="237" t="n">
        <v>0.69888786168872</v>
      </c>
      <c r="AB152" s="242" t="n">
        <v>5.13896523604992</v>
      </c>
      <c r="AC152" s="90" t="n">
        <v>5.26896523604992</v>
      </c>
      <c r="AD152" s="142" t="n">
        <v>5.83785309773864</v>
      </c>
      <c r="AE152" s="182" t="n">
        <v>4.581</v>
      </c>
      <c r="AF152" s="78" t="n">
        <v>4.053</v>
      </c>
      <c r="AG152" s="147" t="n">
        <v>4.203</v>
      </c>
      <c r="AH152" s="185" t="n">
        <v>-0.1</v>
      </c>
      <c r="AI152" s="223" t="n">
        <v>1.50482822816705</v>
      </c>
      <c r="AJ152" s="37" t="n">
        <v>0.0608637571161768</v>
      </c>
      <c r="AK152" s="37" t="n">
        <v>0.0617364531700422</v>
      </c>
      <c r="AL152" s="39" t="n">
        <v>0.565285968574077</v>
      </c>
      <c r="AM152" s="149" t="n">
        <v>0.560750351019789</v>
      </c>
      <c r="AN152" s="129" t="n">
        <v>0.365</v>
      </c>
      <c r="AO152" s="150" t="n">
        <v>0.12</v>
      </c>
      <c r="AP152" s="22"/>
      <c r="AQ152" s="129" t="n">
        <v>-3.74337891321374</v>
      </c>
      <c r="AR152" s="151" t="n">
        <v>-3.14337891321374</v>
      </c>
      <c r="AS152" s="22"/>
      <c r="AT152" s="5" t="n">
        <v>0.0075</v>
      </c>
      <c r="AU152" s="22"/>
      <c r="AV152" s="129" t="n">
        <v>0.008</v>
      </c>
      <c r="AW152" s="22"/>
      <c r="AX152" s="22" t="n">
        <v>0.03</v>
      </c>
      <c r="AY152" s="39"/>
      <c r="AZ152" s="243" t="n">
        <v>1</v>
      </c>
      <c r="BA152" s="243"/>
      <c r="BB152" s="194" t="n">
        <v>-0.6</v>
      </c>
      <c r="BC152" s="96"/>
      <c r="BD152" s="39"/>
      <c r="BE152" s="22"/>
      <c r="BF152" s="96"/>
      <c r="BG152" s="22"/>
      <c r="BH152" s="71"/>
      <c r="BI152" s="71"/>
      <c r="BJ152" s="22"/>
      <c r="BK152" s="96"/>
      <c r="BL152" s="22"/>
      <c r="BM152" s="22"/>
      <c r="BN152" s="39"/>
      <c r="BO152" s="39"/>
      <c r="BP152" s="71"/>
      <c r="BQ152" s="22"/>
      <c r="BR152" s="71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</row>
    <row r="153" customFormat="false" ht="12.75" hidden="false" customHeight="false" outlineLevel="0" collapsed="false">
      <c r="A153" s="224" t="n">
        <v>40575</v>
      </c>
      <c r="B153" s="217" t="n">
        <v>4.085</v>
      </c>
      <c r="C153" s="251" t="n">
        <v>-0.6</v>
      </c>
      <c r="D153" s="133" t="n">
        <v>-0.508858695997638</v>
      </c>
      <c r="E153" s="133" t="n">
        <v>-0.11</v>
      </c>
      <c r="F153" s="226" t="n">
        <v>0.185</v>
      </c>
      <c r="G153" s="227" t="n">
        <v>0.365</v>
      </c>
      <c r="H153" s="227" t="n">
        <v>0.305</v>
      </c>
      <c r="I153" s="228" t="n">
        <v>0.405</v>
      </c>
      <c r="J153" s="227" t="n">
        <v>0.14</v>
      </c>
      <c r="K153" s="227" t="n">
        <v>0.17</v>
      </c>
      <c r="L153" s="227" t="n">
        <v>1.63</v>
      </c>
      <c r="M153" s="226" t="n">
        <v>-0.15</v>
      </c>
      <c r="N153" s="227" t="n">
        <v>0.35</v>
      </c>
      <c r="O153" s="228" t="n">
        <v>0</v>
      </c>
      <c r="P153" s="183" t="n">
        <v>0.248</v>
      </c>
      <c r="Q153" s="160" t="n">
        <v>0.1775</v>
      </c>
      <c r="R153" s="232" t="n">
        <v>0.185</v>
      </c>
      <c r="S153" s="139" t="n">
        <v>0.185</v>
      </c>
      <c r="T153" s="56" t="n">
        <v>1</v>
      </c>
      <c r="U153" s="248" t="n">
        <v>0.185</v>
      </c>
      <c r="V153" s="12" t="n">
        <v>3.485</v>
      </c>
      <c r="W153" s="12" t="n">
        <v>3.57614130400236</v>
      </c>
      <c r="X153" s="142" t="n">
        <v>3.975</v>
      </c>
      <c r="Y153" s="13"/>
      <c r="Z153" s="221" t="n">
        <v>0.13</v>
      </c>
      <c r="AA153" s="237" t="n">
        <v>0.69891473133135</v>
      </c>
      <c r="AB153" s="242" t="n">
        <v>4.97085273201991</v>
      </c>
      <c r="AC153" s="90" t="n">
        <v>5.10085273201991</v>
      </c>
      <c r="AD153" s="142" t="n">
        <v>5.66976746335126</v>
      </c>
      <c r="AE153" s="182" t="n">
        <v>4.333</v>
      </c>
      <c r="AF153" s="78" t="n">
        <v>3.935</v>
      </c>
      <c r="AG153" s="147" t="n">
        <v>4.085</v>
      </c>
      <c r="AH153" s="185" t="n">
        <v>-0.1</v>
      </c>
      <c r="AI153" s="223" t="n">
        <v>1.50488608322353</v>
      </c>
      <c r="AJ153" s="37" t="n">
        <v>0.0609403028920363</v>
      </c>
      <c r="AK153" s="37" t="n">
        <v>0.0618011841201227</v>
      </c>
      <c r="AL153" s="39" t="n">
        <v>0.562015836895175</v>
      </c>
      <c r="AM153" s="149" t="n">
        <v>0.557527891558849</v>
      </c>
      <c r="AN153" s="129" t="n">
        <v>0.365</v>
      </c>
      <c r="AO153" s="150" t="n">
        <v>0.133</v>
      </c>
      <c r="AP153" s="22"/>
      <c r="AQ153" s="129" t="n">
        <v>-3.62540880368007</v>
      </c>
      <c r="AR153" s="151" t="n">
        <v>-3.02540880368007</v>
      </c>
      <c r="AS153" s="22"/>
      <c r="AT153" s="5" t="n">
        <v>0.0075</v>
      </c>
      <c r="AU153" s="22"/>
      <c r="AV153" s="129" t="n">
        <v>0.008</v>
      </c>
      <c r="AW153" s="22"/>
      <c r="AX153" s="22" t="n">
        <v>0.025</v>
      </c>
      <c r="AY153" s="39"/>
      <c r="AZ153" s="243" t="n">
        <v>1</v>
      </c>
      <c r="BA153" s="243"/>
      <c r="BB153" s="194" t="n">
        <v>-0.6</v>
      </c>
      <c r="BC153" s="96"/>
      <c r="BD153" s="39"/>
      <c r="BE153" s="22"/>
      <c r="BF153" s="96"/>
      <c r="BG153" s="22"/>
      <c r="BH153" s="71"/>
      <c r="BI153" s="71"/>
      <c r="BJ153" s="22"/>
      <c r="BK153" s="96"/>
      <c r="BL153" s="22"/>
      <c r="BM153" s="22"/>
      <c r="BN153" s="39"/>
      <c r="BO153" s="39"/>
      <c r="BP153" s="71"/>
      <c r="BQ153" s="22"/>
      <c r="BR153" s="71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</row>
    <row r="154" customFormat="false" ht="12.75" hidden="false" customHeight="false" outlineLevel="0" collapsed="false">
      <c r="A154" s="224" t="n">
        <v>40603</v>
      </c>
      <c r="B154" s="217" t="n">
        <v>3.952</v>
      </c>
      <c r="C154" s="251" t="n">
        <v>-0.6</v>
      </c>
      <c r="D154" s="133" t="n">
        <v>-0.508862013040714</v>
      </c>
      <c r="E154" s="133" t="n">
        <v>-0.109999999999999</v>
      </c>
      <c r="F154" s="226" t="n">
        <v>0.185</v>
      </c>
      <c r="G154" s="227" t="n">
        <v>0.365</v>
      </c>
      <c r="H154" s="227" t="n">
        <v>0.305</v>
      </c>
      <c r="I154" s="228" t="n">
        <v>0.405</v>
      </c>
      <c r="J154" s="227" t="n">
        <v>0.14</v>
      </c>
      <c r="K154" s="227" t="n">
        <v>0.17</v>
      </c>
      <c r="L154" s="227" t="n">
        <v>0.72</v>
      </c>
      <c r="M154" s="226" t="n">
        <v>-0.15</v>
      </c>
      <c r="N154" s="227" t="n">
        <v>0.35</v>
      </c>
      <c r="O154" s="228" t="n">
        <v>0</v>
      </c>
      <c r="P154" s="183" t="n">
        <v>0.068</v>
      </c>
      <c r="Q154" s="160" t="n">
        <v>0.1725</v>
      </c>
      <c r="R154" s="232" t="n">
        <v>0.18</v>
      </c>
      <c r="S154" s="139" t="n">
        <v>0.18</v>
      </c>
      <c r="T154" s="56" t="n">
        <v>0.75</v>
      </c>
      <c r="U154" s="248" t="n">
        <v>0.18</v>
      </c>
      <c r="V154" s="12" t="n">
        <v>3.352</v>
      </c>
      <c r="W154" s="12" t="n">
        <v>3.44313798695929</v>
      </c>
      <c r="X154" s="142" t="n">
        <v>3.842</v>
      </c>
      <c r="Y154" s="13"/>
      <c r="Z154" s="221" t="n">
        <v>0.13</v>
      </c>
      <c r="AA154" s="237" t="n">
        <v>0.698940168916137</v>
      </c>
      <c r="AB154" s="242" t="n">
        <v>4.78132131878957</v>
      </c>
      <c r="AC154" s="90" t="n">
        <v>4.91132131878957</v>
      </c>
      <c r="AD154" s="142" t="n">
        <v>5.48026148770571</v>
      </c>
      <c r="AE154" s="182" t="n">
        <v>4.02</v>
      </c>
      <c r="AF154" s="78" t="n">
        <v>3.802</v>
      </c>
      <c r="AG154" s="147" t="n">
        <v>3.952</v>
      </c>
      <c r="AH154" s="185" t="n">
        <v>-0.1</v>
      </c>
      <c r="AI154" s="223" t="n">
        <v>1.50494085480813</v>
      </c>
      <c r="AJ154" s="37" t="n">
        <v>0.06100944101384</v>
      </c>
      <c r="AK154" s="37" t="n">
        <v>0.061859650785907</v>
      </c>
      <c r="AL154" s="39" t="n">
        <v>0.559072386070986</v>
      </c>
      <c r="AM154" s="149" t="n">
        <v>0.55462813091186</v>
      </c>
      <c r="AN154" s="129" t="n">
        <v>0.365</v>
      </c>
      <c r="AO154" s="150" t="n">
        <v>0.12</v>
      </c>
      <c r="AP154" s="22"/>
      <c r="AQ154" s="129" t="n">
        <v>-3.49243623821713</v>
      </c>
      <c r="AR154" s="151" t="n">
        <v>-2.89243623821713</v>
      </c>
      <c r="AS154" s="22"/>
      <c r="AT154" s="5" t="n">
        <v>0.0075</v>
      </c>
      <c r="AU154" s="22"/>
      <c r="AV154" s="129" t="n">
        <v>0.008</v>
      </c>
      <c r="AW154" s="22"/>
      <c r="AX154" s="22" t="n">
        <v>0.005</v>
      </c>
      <c r="AY154" s="39"/>
      <c r="AZ154" s="243" t="n">
        <v>0.75</v>
      </c>
      <c r="BA154" s="243"/>
      <c r="BB154" s="194" t="n">
        <v>-0.6</v>
      </c>
      <c r="BC154" s="96"/>
      <c r="BD154" s="39"/>
      <c r="BE154" s="22"/>
      <c r="BF154" s="96"/>
      <c r="BG154" s="22"/>
      <c r="BH154" s="71"/>
      <c r="BI154" s="71"/>
      <c r="BJ154" s="22"/>
      <c r="BK154" s="96"/>
      <c r="BL154" s="22"/>
      <c r="BM154" s="22"/>
      <c r="BN154" s="39"/>
      <c r="BO154" s="39"/>
      <c r="BP154" s="71"/>
      <c r="BQ154" s="22"/>
      <c r="BR154" s="71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</row>
    <row r="155" customFormat="false" ht="12.75" hidden="false" customHeight="false" outlineLevel="0" collapsed="false">
      <c r="A155" s="224" t="n">
        <v>40634</v>
      </c>
      <c r="B155" s="217" t="n">
        <v>3.732</v>
      </c>
      <c r="C155" s="252" t="n">
        <v>-0.678</v>
      </c>
      <c r="D155" s="133" t="n">
        <v>-0.586865853840707</v>
      </c>
      <c r="E155" s="133" t="n">
        <v>-0.607896810646698</v>
      </c>
      <c r="F155" s="226" t="n">
        <v>0.125</v>
      </c>
      <c r="G155" s="227" t="n">
        <v>0.125</v>
      </c>
      <c r="H155" s="227" t="n">
        <v>0.16</v>
      </c>
      <c r="I155" s="228" t="n">
        <v>0.12</v>
      </c>
      <c r="J155" s="227" t="n">
        <v>0.04</v>
      </c>
      <c r="K155" s="227" t="n">
        <v>0.11</v>
      </c>
      <c r="L155" s="227" t="n">
        <v>0.48</v>
      </c>
      <c r="M155" s="226" t="n">
        <v>-0.22</v>
      </c>
      <c r="N155" s="227" t="n">
        <v>0.43</v>
      </c>
      <c r="O155" s="228" t="n">
        <v>0</v>
      </c>
      <c r="P155" s="183" t="n">
        <v>-0.25</v>
      </c>
      <c r="Q155" s="160" t="n">
        <v>0.1725</v>
      </c>
      <c r="R155" s="232" t="n">
        <v>0.18</v>
      </c>
      <c r="S155" s="139" t="n">
        <v>0.18</v>
      </c>
      <c r="T155" s="56" t="n">
        <v>0.4</v>
      </c>
      <c r="U155" s="248" t="n">
        <v>0.18</v>
      </c>
      <c r="V155" s="12" t="n">
        <v>3.054</v>
      </c>
      <c r="W155" s="12" t="n">
        <v>3.14513414615929</v>
      </c>
      <c r="X155" s="142" t="n">
        <v>3.1241031893533</v>
      </c>
      <c r="Y155" s="13"/>
      <c r="Z155" s="221" t="n">
        <v>0.13</v>
      </c>
      <c r="AA155" s="237" t="n">
        <v>0.1</v>
      </c>
      <c r="AB155" s="242" t="n">
        <v>4.35643517530794</v>
      </c>
      <c r="AC155" s="90" t="n">
        <v>4.48643517530794</v>
      </c>
      <c r="AD155" s="142" t="n">
        <v>4.45643517530794</v>
      </c>
      <c r="AE155" s="182" t="n">
        <v>3.482</v>
      </c>
      <c r="AF155" s="78" t="n">
        <v>3.512</v>
      </c>
      <c r="AG155" s="147" t="n">
        <v>3.732</v>
      </c>
      <c r="AH155" s="185" t="n">
        <v>-0.1</v>
      </c>
      <c r="AI155" s="223" t="n">
        <v>1.50500427973795</v>
      </c>
      <c r="AJ155" s="37" t="n">
        <v>0.0610859867934024</v>
      </c>
      <c r="AK155" s="37" t="n">
        <v>0.0619243817386348</v>
      </c>
      <c r="AL155" s="39" t="n">
        <v>0.555824888849976</v>
      </c>
      <c r="AM155" s="149" t="n">
        <v>0.55142968787349</v>
      </c>
      <c r="AN155" s="129" t="n">
        <v>0.125</v>
      </c>
      <c r="AO155" s="150" t="n">
        <v>0.124</v>
      </c>
      <c r="AP155" s="22"/>
      <c r="AQ155" s="129" t="n">
        <v>-3.69192611288895</v>
      </c>
      <c r="AR155" s="151" t="n">
        <v>-3.01392611288895</v>
      </c>
      <c r="AS155" s="22"/>
      <c r="AT155" s="5" t="n">
        <v>0.0075</v>
      </c>
      <c r="AU155" s="22"/>
      <c r="AV155" s="129" t="n">
        <v>0.0025</v>
      </c>
      <c r="AW155" s="22"/>
      <c r="AX155" s="22" t="n">
        <v>-0.105</v>
      </c>
      <c r="AY155" s="39"/>
      <c r="AZ155" s="243" t="n">
        <v>0.4</v>
      </c>
      <c r="BA155" s="243"/>
      <c r="BB155" s="194" t="n">
        <v>-0.678</v>
      </c>
      <c r="BC155" s="96"/>
      <c r="BD155" s="39"/>
      <c r="BE155" s="22"/>
      <c r="BF155" s="96"/>
      <c r="BG155" s="22"/>
      <c r="BH155" s="71"/>
      <c r="BI155" s="71"/>
      <c r="BJ155" s="22"/>
      <c r="BK155" s="96"/>
      <c r="BL155" s="22"/>
      <c r="BM155" s="22"/>
      <c r="BN155" s="39"/>
      <c r="BO155" s="39"/>
      <c r="BP155" s="71"/>
      <c r="BQ155" s="22"/>
      <c r="BR155" s="71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</row>
    <row r="156" customFormat="false" ht="12.75" hidden="false" customHeight="false" outlineLevel="0" collapsed="false">
      <c r="A156" s="224" t="n">
        <v>40664</v>
      </c>
      <c r="B156" s="217" t="n">
        <v>3.722</v>
      </c>
      <c r="C156" s="251" t="n">
        <v>-0.678</v>
      </c>
      <c r="D156" s="133" t="n">
        <v>-0.58686973915844</v>
      </c>
      <c r="E156" s="133" t="n">
        <v>-0.607899799352647</v>
      </c>
      <c r="F156" s="226" t="n">
        <v>0.125</v>
      </c>
      <c r="G156" s="227" t="n">
        <v>0.125</v>
      </c>
      <c r="H156" s="227" t="n">
        <v>0.16</v>
      </c>
      <c r="I156" s="228" t="n">
        <v>0.12</v>
      </c>
      <c r="J156" s="227" t="n">
        <v>0.04</v>
      </c>
      <c r="K156" s="227" t="n">
        <v>0.11</v>
      </c>
      <c r="L156" s="227" t="n">
        <v>0.42</v>
      </c>
      <c r="M156" s="226" t="n">
        <v>-0.27</v>
      </c>
      <c r="N156" s="227" t="n">
        <v>0.43</v>
      </c>
      <c r="O156" s="228" t="n">
        <v>0</v>
      </c>
      <c r="P156" s="183" t="n">
        <v>-0.1</v>
      </c>
      <c r="Q156" s="160" t="n">
        <v>0.1725</v>
      </c>
      <c r="R156" s="232" t="n">
        <v>0.18</v>
      </c>
      <c r="S156" s="139" t="n">
        <v>0.18</v>
      </c>
      <c r="T156" s="56" t="n">
        <v>0.45</v>
      </c>
      <c r="U156" s="248" t="n">
        <v>0.18</v>
      </c>
      <c r="V156" s="12" t="n">
        <v>3.044</v>
      </c>
      <c r="W156" s="12" t="n">
        <v>3.13513026084156</v>
      </c>
      <c r="X156" s="142" t="n">
        <v>3.11410020064735</v>
      </c>
      <c r="Y156" s="13"/>
      <c r="Z156" s="221" t="n">
        <v>0.13</v>
      </c>
      <c r="AA156" s="237" t="n">
        <v>0.1</v>
      </c>
      <c r="AB156" s="242" t="n">
        <v>4.34235561651695</v>
      </c>
      <c r="AC156" s="90" t="n">
        <v>4.47235561651695</v>
      </c>
      <c r="AD156" s="142" t="n">
        <v>4.44235561651695</v>
      </c>
      <c r="AE156" s="182" t="n">
        <v>3.622</v>
      </c>
      <c r="AF156" s="78" t="n">
        <v>3.452</v>
      </c>
      <c r="AG156" s="147" t="n">
        <v>3.722</v>
      </c>
      <c r="AH156" s="185" t="n">
        <v>-0.1</v>
      </c>
      <c r="AI156" s="223" t="n">
        <v>1.50506844524964</v>
      </c>
      <c r="AJ156" s="37" t="n">
        <v>0.0611600633561227</v>
      </c>
      <c r="AK156" s="37" t="n">
        <v>0.0619870245974372</v>
      </c>
      <c r="AL156" s="39" t="n">
        <v>0.552693490742059</v>
      </c>
      <c r="AM156" s="149" t="n">
        <v>0.548346429011698</v>
      </c>
      <c r="AN156" s="129" t="n">
        <v>0.125</v>
      </c>
      <c r="AO156" s="150" t="n">
        <v>0.12</v>
      </c>
      <c r="AP156" s="22"/>
      <c r="AQ156" s="129" t="n">
        <v>-3.68192910034566</v>
      </c>
      <c r="AR156" s="151" t="n">
        <v>-3.00392910034566</v>
      </c>
      <c r="AS156" s="22"/>
      <c r="AT156" s="5" t="n">
        <v>0.0075</v>
      </c>
      <c r="AU156" s="22"/>
      <c r="AV156" s="129" t="n">
        <v>0.0025</v>
      </c>
      <c r="AW156" s="22"/>
      <c r="AX156" s="22" t="n">
        <v>-0.105</v>
      </c>
      <c r="AY156" s="39"/>
      <c r="AZ156" s="243" t="n">
        <v>0.45</v>
      </c>
      <c r="BA156" s="243"/>
      <c r="BB156" s="194" t="n">
        <v>-0.678</v>
      </c>
      <c r="BC156" s="96"/>
      <c r="BD156" s="39"/>
      <c r="BE156" s="22"/>
      <c r="BF156" s="96"/>
      <c r="BG156" s="22"/>
      <c r="BH156" s="71"/>
      <c r="BI156" s="71"/>
      <c r="BJ156" s="22"/>
      <c r="BK156" s="96"/>
      <c r="BL156" s="22"/>
      <c r="BM156" s="22"/>
      <c r="BN156" s="39"/>
      <c r="BO156" s="39"/>
      <c r="BP156" s="71"/>
      <c r="BQ156" s="22"/>
      <c r="BR156" s="71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</row>
    <row r="157" customFormat="false" ht="12.75" hidden="false" customHeight="false" outlineLevel="0" collapsed="false">
      <c r="A157" s="224" t="n">
        <v>40695</v>
      </c>
      <c r="B157" s="217" t="n">
        <v>3.758</v>
      </c>
      <c r="C157" s="251" t="n">
        <v>-0.678</v>
      </c>
      <c r="D157" s="133" t="n">
        <v>-0.586873927974629</v>
      </c>
      <c r="E157" s="133" t="n">
        <v>-0.607903021518946</v>
      </c>
      <c r="F157" s="226" t="n">
        <v>0.125</v>
      </c>
      <c r="G157" s="227" t="n">
        <v>0.125</v>
      </c>
      <c r="H157" s="227" t="n">
        <v>0.16</v>
      </c>
      <c r="I157" s="228" t="n">
        <v>0.12</v>
      </c>
      <c r="J157" s="227" t="n">
        <v>0.04</v>
      </c>
      <c r="K157" s="227" t="n">
        <v>0.11</v>
      </c>
      <c r="L157" s="227" t="n">
        <v>0.42</v>
      </c>
      <c r="M157" s="226" t="n">
        <v>-0.27</v>
      </c>
      <c r="N157" s="227" t="n">
        <v>0.43</v>
      </c>
      <c r="O157" s="228" t="n">
        <v>0</v>
      </c>
      <c r="P157" s="183" t="n">
        <v>-0.1</v>
      </c>
      <c r="Q157" s="160" t="n">
        <v>0.1725</v>
      </c>
      <c r="R157" s="232" t="n">
        <v>0.18</v>
      </c>
      <c r="S157" s="139" t="n">
        <v>0.18</v>
      </c>
      <c r="T157" s="56" t="n">
        <v>0.45</v>
      </c>
      <c r="U157" s="248" t="n">
        <v>0.18</v>
      </c>
      <c r="V157" s="12" t="n">
        <v>3.08</v>
      </c>
      <c r="W157" s="12" t="n">
        <v>3.17112607202537</v>
      </c>
      <c r="X157" s="142" t="n">
        <v>3.15009697848105</v>
      </c>
      <c r="Y157" s="13"/>
      <c r="Z157" s="221" t="n">
        <v>0.13</v>
      </c>
      <c r="AA157" s="237" t="n">
        <v>0.1</v>
      </c>
      <c r="AB157" s="242" t="n">
        <v>4.39391264322818</v>
      </c>
      <c r="AC157" s="90" t="n">
        <v>4.52391264322818</v>
      </c>
      <c r="AD157" s="142" t="n">
        <v>4.49391264322818</v>
      </c>
      <c r="AE157" s="182" t="n">
        <v>3.658</v>
      </c>
      <c r="AF157" s="78" t="n">
        <v>3.488</v>
      </c>
      <c r="AG157" s="147" t="n">
        <v>3.758</v>
      </c>
      <c r="AH157" s="185" t="n">
        <v>-0.1</v>
      </c>
      <c r="AI157" s="223" t="n">
        <v>1.50513762912784</v>
      </c>
      <c r="AJ157" s="37" t="n">
        <v>0.061236609139514</v>
      </c>
      <c r="AK157" s="37" t="n">
        <v>0.0620517555529019</v>
      </c>
      <c r="AL157" s="39" t="n">
        <v>0.549469443779367</v>
      </c>
      <c r="AM157" s="149" t="n">
        <v>0.545172798871633</v>
      </c>
      <c r="AN157" s="129" t="n">
        <v>0.125</v>
      </c>
      <c r="AO157" s="150" t="n">
        <v>0.124</v>
      </c>
      <c r="AP157" s="22"/>
      <c r="AQ157" s="129" t="n">
        <v>-3.71793232116514</v>
      </c>
      <c r="AR157" s="151" t="n">
        <v>-3.03993232116514</v>
      </c>
      <c r="AS157" s="22"/>
      <c r="AT157" s="5" t="n">
        <v>0.0075</v>
      </c>
      <c r="AU157" s="22"/>
      <c r="AV157" s="129" t="n">
        <v>0.0025</v>
      </c>
      <c r="AW157" s="22"/>
      <c r="AX157" s="22" t="n">
        <v>-0.105</v>
      </c>
      <c r="AY157" s="39"/>
      <c r="AZ157" s="243" t="n">
        <v>0.45</v>
      </c>
      <c r="BA157" s="243"/>
      <c r="BB157" s="194" t="n">
        <v>-0.678</v>
      </c>
      <c r="BC157" s="96"/>
      <c r="BD157" s="39"/>
      <c r="BE157" s="22"/>
      <c r="BF157" s="96"/>
      <c r="BG157" s="22"/>
      <c r="BH157" s="71"/>
      <c r="BI157" s="71"/>
      <c r="BJ157" s="22"/>
      <c r="BK157" s="96"/>
      <c r="BL157" s="22"/>
      <c r="BM157" s="22"/>
      <c r="BN157" s="39"/>
      <c r="BO157" s="39"/>
      <c r="BP157" s="71"/>
      <c r="BQ157" s="22"/>
      <c r="BR157" s="71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</row>
    <row r="158" customFormat="false" ht="12.75" hidden="false" customHeight="false" outlineLevel="0" collapsed="false">
      <c r="A158" s="224" t="n">
        <v>40725</v>
      </c>
      <c r="B158" s="217" t="n">
        <v>3.8</v>
      </c>
      <c r="C158" s="251" t="n">
        <v>-0.678</v>
      </c>
      <c r="D158" s="133" t="n">
        <v>-0.586875837857862</v>
      </c>
      <c r="E158" s="133" t="n">
        <v>-0.607904490659894</v>
      </c>
      <c r="F158" s="226" t="n">
        <v>0.125</v>
      </c>
      <c r="G158" s="227" t="n">
        <v>0.125</v>
      </c>
      <c r="H158" s="227" t="n">
        <v>0.16</v>
      </c>
      <c r="I158" s="228" t="n">
        <v>0.12</v>
      </c>
      <c r="J158" s="227" t="n">
        <v>0.04</v>
      </c>
      <c r="K158" s="227" t="n">
        <v>0.11</v>
      </c>
      <c r="L158" s="227" t="n">
        <v>0.48</v>
      </c>
      <c r="M158" s="226" t="n">
        <v>-0.27</v>
      </c>
      <c r="N158" s="227" t="n">
        <v>0.43</v>
      </c>
      <c r="O158" s="228" t="n">
        <v>0</v>
      </c>
      <c r="P158" s="183" t="n">
        <v>-0.1</v>
      </c>
      <c r="Q158" s="160" t="n">
        <v>0.1725</v>
      </c>
      <c r="R158" s="232" t="n">
        <v>0.18</v>
      </c>
      <c r="S158" s="139" t="n">
        <v>0.18</v>
      </c>
      <c r="T158" s="56" t="n">
        <v>0.5</v>
      </c>
      <c r="U158" s="248" t="n">
        <v>0.18</v>
      </c>
      <c r="V158" s="12" t="n">
        <v>3.122</v>
      </c>
      <c r="W158" s="12" t="n">
        <v>3.21312416214214</v>
      </c>
      <c r="X158" s="142" t="n">
        <v>3.19209550934011</v>
      </c>
      <c r="Y158" s="13"/>
      <c r="Z158" s="221" t="n">
        <v>0.13</v>
      </c>
      <c r="AA158" s="237" t="n">
        <v>0.1</v>
      </c>
      <c r="AB158" s="242" t="n">
        <v>4.45392298221548</v>
      </c>
      <c r="AC158" s="90" t="n">
        <v>4.58392298221548</v>
      </c>
      <c r="AD158" s="142" t="n">
        <v>4.55392298221548</v>
      </c>
      <c r="AE158" s="182" t="n">
        <v>3.7</v>
      </c>
      <c r="AF158" s="78" t="n">
        <v>3.53</v>
      </c>
      <c r="AG158" s="147" t="n">
        <v>3.8</v>
      </c>
      <c r="AH158" s="185" t="n">
        <v>-0.1</v>
      </c>
      <c r="AI158" s="223" t="n">
        <v>1.50516917550427</v>
      </c>
      <c r="AJ158" s="37" t="n">
        <v>0.0613060596641053</v>
      </c>
      <c r="AK158" s="37" t="n">
        <v>0.0621123842536853</v>
      </c>
      <c r="AL158" s="39" t="n">
        <v>0.546385309096694</v>
      </c>
      <c r="AM158" s="149" t="n">
        <v>0.542124143177796</v>
      </c>
      <c r="AN158" s="129" t="n">
        <v>0.125</v>
      </c>
      <c r="AO158" s="150" t="n">
        <v>0.12</v>
      </c>
      <c r="AP158" s="22"/>
      <c r="AQ158" s="129" t="n">
        <v>-3.759933789692</v>
      </c>
      <c r="AR158" s="151" t="n">
        <v>-3.081933789692</v>
      </c>
      <c r="AS158" s="22"/>
      <c r="AT158" s="5" t="n">
        <v>0.0075</v>
      </c>
      <c r="AU158" s="22"/>
      <c r="AV158" s="129" t="n">
        <v>0.0025</v>
      </c>
      <c r="AW158" s="22"/>
      <c r="AX158" s="22" t="n">
        <v>-0.105</v>
      </c>
      <c r="AY158" s="39"/>
      <c r="AZ158" s="243" t="n">
        <v>0.5</v>
      </c>
      <c r="BA158" s="243"/>
      <c r="BB158" s="194" t="n">
        <v>-0.678</v>
      </c>
      <c r="BC158" s="96"/>
      <c r="BD158" s="39"/>
      <c r="BE158" s="22"/>
      <c r="BF158" s="96"/>
      <c r="BG158" s="22"/>
      <c r="BH158" s="71"/>
      <c r="BI158" s="71"/>
      <c r="BJ158" s="22"/>
      <c r="BK158" s="96"/>
      <c r="BL158" s="22"/>
      <c r="BM158" s="22"/>
      <c r="BN158" s="39"/>
      <c r="BO158" s="39"/>
      <c r="BP158" s="71"/>
      <c r="BQ158" s="22"/>
      <c r="BR158" s="71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</row>
    <row r="159" customFormat="false" ht="12.75" hidden="false" customHeight="false" outlineLevel="0" collapsed="false">
      <c r="A159" s="224" t="n">
        <v>40756</v>
      </c>
      <c r="B159" s="217" t="n">
        <v>3.849</v>
      </c>
      <c r="C159" s="251" t="n">
        <v>-0.678</v>
      </c>
      <c r="D159" s="133" t="n">
        <v>-0.586876210277862</v>
      </c>
      <c r="E159" s="133" t="n">
        <v>-0.607904777136817</v>
      </c>
      <c r="F159" s="226" t="n">
        <v>0.125</v>
      </c>
      <c r="G159" s="227" t="n">
        <v>0.125</v>
      </c>
      <c r="H159" s="227" t="n">
        <v>0.16</v>
      </c>
      <c r="I159" s="228" t="n">
        <v>0.12</v>
      </c>
      <c r="J159" s="227" t="n">
        <v>0.04</v>
      </c>
      <c r="K159" s="227" t="n">
        <v>0.11</v>
      </c>
      <c r="L159" s="227" t="n">
        <v>0.48</v>
      </c>
      <c r="M159" s="226" t="n">
        <v>-0.27</v>
      </c>
      <c r="N159" s="227" t="n">
        <v>0.43</v>
      </c>
      <c r="O159" s="228" t="n">
        <v>0</v>
      </c>
      <c r="P159" s="183" t="n">
        <v>-0.1</v>
      </c>
      <c r="Q159" s="160" t="n">
        <v>0.1725</v>
      </c>
      <c r="R159" s="232" t="n">
        <v>0.18</v>
      </c>
      <c r="S159" s="139" t="n">
        <v>0.18</v>
      </c>
      <c r="T159" s="56" t="n">
        <v>0.55</v>
      </c>
      <c r="U159" s="248" t="n">
        <v>0.18</v>
      </c>
      <c r="V159" s="12" t="n">
        <v>3.171</v>
      </c>
      <c r="W159" s="12" t="n">
        <v>3.26212378972214</v>
      </c>
      <c r="X159" s="142" t="n">
        <v>3.24109522286318</v>
      </c>
      <c r="Y159" s="13"/>
      <c r="Z159" s="221" t="n">
        <v>0.13</v>
      </c>
      <c r="AA159" s="237" t="n">
        <v>0.1</v>
      </c>
      <c r="AB159" s="242" t="n">
        <v>4.52384609175062</v>
      </c>
      <c r="AC159" s="90" t="n">
        <v>4.65384609175062</v>
      </c>
      <c r="AD159" s="142" t="n">
        <v>4.62384609175062</v>
      </c>
      <c r="AE159" s="182" t="n">
        <v>3.749</v>
      </c>
      <c r="AF159" s="78" t="n">
        <v>3.579</v>
      </c>
      <c r="AG159" s="147" t="n">
        <v>3.849</v>
      </c>
      <c r="AH159" s="185" t="n">
        <v>-0.1</v>
      </c>
      <c r="AI159" s="223" t="n">
        <v>1.50517532708232</v>
      </c>
      <c r="AJ159" s="37" t="n">
        <v>0.0613467536263244</v>
      </c>
      <c r="AK159" s="37" t="n">
        <v>0.0621458957209935</v>
      </c>
      <c r="AL159" s="39" t="n">
        <v>0.543375582563525</v>
      </c>
      <c r="AM159" s="149" t="n">
        <v>0.539140092428213</v>
      </c>
      <c r="AN159" s="129" t="n">
        <v>0.125</v>
      </c>
      <c r="AO159" s="150" t="n">
        <v>0.12</v>
      </c>
      <c r="AP159" s="22"/>
      <c r="AQ159" s="129" t="n">
        <v>-3.80893407604918</v>
      </c>
      <c r="AR159" s="151" t="n">
        <v>-3.13093407604918</v>
      </c>
      <c r="AS159" s="22"/>
      <c r="AT159" s="5" t="n">
        <v>0.0075</v>
      </c>
      <c r="AU159" s="22"/>
      <c r="AV159" s="129" t="n">
        <v>0.0025</v>
      </c>
      <c r="AW159" s="22"/>
      <c r="AX159" s="22" t="n">
        <v>-0.105</v>
      </c>
      <c r="AY159" s="39"/>
      <c r="AZ159" s="243" t="n">
        <v>0.55</v>
      </c>
      <c r="BA159" s="243"/>
      <c r="BB159" s="194" t="n">
        <v>-0.678</v>
      </c>
      <c r="BC159" s="96"/>
      <c r="BD159" s="39"/>
      <c r="BE159" s="22"/>
      <c r="BF159" s="96"/>
      <c r="BG159" s="22"/>
      <c r="BH159" s="71"/>
      <c r="BI159" s="71"/>
      <c r="BJ159" s="22"/>
      <c r="BK159" s="96"/>
      <c r="BL159" s="22"/>
      <c r="BM159" s="22"/>
      <c r="BN159" s="39"/>
      <c r="BO159" s="39"/>
      <c r="BP159" s="71"/>
      <c r="BQ159" s="22"/>
      <c r="BR159" s="71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</row>
    <row r="160" customFormat="false" ht="12.75" hidden="false" customHeight="false" outlineLevel="0" collapsed="false">
      <c r="A160" s="224" t="n">
        <v>40787</v>
      </c>
      <c r="B160" s="217" t="n">
        <v>3.864</v>
      </c>
      <c r="C160" s="251" t="n">
        <v>-0.678</v>
      </c>
      <c r="D160" s="133" t="n">
        <v>-0.586876690452004</v>
      </c>
      <c r="E160" s="133" t="n">
        <v>-0.607905146501542</v>
      </c>
      <c r="F160" s="226" t="n">
        <v>0.125</v>
      </c>
      <c r="G160" s="227" t="n">
        <v>0.125</v>
      </c>
      <c r="H160" s="227" t="n">
        <v>0.16</v>
      </c>
      <c r="I160" s="228" t="n">
        <v>0.12</v>
      </c>
      <c r="J160" s="227" t="n">
        <v>0.04</v>
      </c>
      <c r="K160" s="227" t="n">
        <v>0.11</v>
      </c>
      <c r="L160" s="227" t="n">
        <v>0.44</v>
      </c>
      <c r="M160" s="226" t="n">
        <v>-0.27</v>
      </c>
      <c r="N160" s="227" t="n">
        <v>0.43</v>
      </c>
      <c r="O160" s="228" t="n">
        <v>0</v>
      </c>
      <c r="P160" s="183" t="n">
        <v>-0.1</v>
      </c>
      <c r="Q160" s="160" t="n">
        <v>0.1725</v>
      </c>
      <c r="R160" s="232" t="n">
        <v>0.18</v>
      </c>
      <c r="S160" s="139" t="n">
        <v>0.18</v>
      </c>
      <c r="T160" s="56" t="n">
        <v>0.55</v>
      </c>
      <c r="U160" s="248" t="n">
        <v>0.18</v>
      </c>
      <c r="V160" s="12" t="n">
        <v>3.186</v>
      </c>
      <c r="W160" s="12" t="n">
        <v>3.277123309548</v>
      </c>
      <c r="X160" s="142" t="n">
        <v>3.25609485349846</v>
      </c>
      <c r="Y160" s="13"/>
      <c r="Z160" s="221" t="n">
        <v>0.13</v>
      </c>
      <c r="AA160" s="237" t="n">
        <v>0.1</v>
      </c>
      <c r="AB160" s="242" t="n">
        <v>4.54526950408717</v>
      </c>
      <c r="AC160" s="90" t="n">
        <v>4.67526950408717</v>
      </c>
      <c r="AD160" s="142" t="n">
        <v>4.64526950408717</v>
      </c>
      <c r="AE160" s="182" t="n">
        <v>3.764</v>
      </c>
      <c r="AF160" s="78" t="n">
        <v>3.594</v>
      </c>
      <c r="AG160" s="147" t="n">
        <v>3.864</v>
      </c>
      <c r="AH160" s="185" t="n">
        <v>-0.1</v>
      </c>
      <c r="AI160" s="223" t="n">
        <v>1.50518325860144</v>
      </c>
      <c r="AJ160" s="37" t="n">
        <v>0.0613874475890936</v>
      </c>
      <c r="AK160" s="37" t="n">
        <v>0.0621794071886743</v>
      </c>
      <c r="AL160" s="39" t="n">
        <v>0.540378817473647</v>
      </c>
      <c r="AM160" s="149" t="n">
        <v>0.536169511775988</v>
      </c>
      <c r="AN160" s="129" t="n">
        <v>0.125</v>
      </c>
      <c r="AO160" s="150" t="n">
        <v>0.124</v>
      </c>
      <c r="AP160" s="22"/>
      <c r="AQ160" s="129" t="n">
        <v>-3.82393444525952</v>
      </c>
      <c r="AR160" s="151" t="n">
        <v>-3.14593444525952</v>
      </c>
      <c r="AS160" s="22"/>
      <c r="AT160" s="5" t="n">
        <v>0.0075</v>
      </c>
      <c r="AU160" s="22"/>
      <c r="AV160" s="129" t="n">
        <v>0.0025</v>
      </c>
      <c r="AW160" s="22"/>
      <c r="AX160" s="22" t="n">
        <v>-0.105</v>
      </c>
      <c r="AY160" s="39"/>
      <c r="AZ160" s="243" t="n">
        <v>0.55</v>
      </c>
      <c r="BA160" s="243"/>
      <c r="BB160" s="194" t="n">
        <v>-0.678</v>
      </c>
      <c r="BC160" s="96"/>
      <c r="BD160" s="39"/>
      <c r="BE160" s="22"/>
      <c r="BF160" s="96"/>
      <c r="BG160" s="22"/>
      <c r="BH160" s="71"/>
      <c r="BI160" s="71"/>
      <c r="BJ160" s="22"/>
      <c r="BK160" s="96"/>
      <c r="BL160" s="22"/>
      <c r="BM160" s="22"/>
      <c r="BN160" s="39"/>
      <c r="BO160" s="39"/>
      <c r="BP160" s="71"/>
      <c r="BQ160" s="22"/>
      <c r="BR160" s="71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</row>
    <row r="161" customFormat="false" ht="12.75" hidden="false" customHeight="false" outlineLevel="0" collapsed="false">
      <c r="A161" s="224" t="n">
        <v>40817</v>
      </c>
      <c r="B161" s="217" t="n">
        <v>3.893</v>
      </c>
      <c r="C161" s="251" t="n">
        <v>-0.678</v>
      </c>
      <c r="D161" s="133" t="n">
        <v>-0.586877257725877</v>
      </c>
      <c r="E161" s="133" t="n">
        <v>-0.607905582866059</v>
      </c>
      <c r="F161" s="226" t="n">
        <v>0.125</v>
      </c>
      <c r="G161" s="227" t="n">
        <v>0.125</v>
      </c>
      <c r="H161" s="227" t="n">
        <v>0.16</v>
      </c>
      <c r="I161" s="228" t="n">
        <v>0.12</v>
      </c>
      <c r="J161" s="227" t="n">
        <v>0.04</v>
      </c>
      <c r="K161" s="227" t="n">
        <v>0.11</v>
      </c>
      <c r="L161" s="227" t="n">
        <v>0.45</v>
      </c>
      <c r="M161" s="226" t="n">
        <v>-0.27</v>
      </c>
      <c r="N161" s="227" t="n">
        <v>0.43</v>
      </c>
      <c r="O161" s="228" t="n">
        <v>0</v>
      </c>
      <c r="P161" s="183" t="n">
        <v>-0.1</v>
      </c>
      <c r="Q161" s="160" t="n">
        <v>0.1725</v>
      </c>
      <c r="R161" s="232" t="n">
        <v>0.18</v>
      </c>
      <c r="S161" s="139" t="n">
        <v>0.18</v>
      </c>
      <c r="T161" s="56" t="n">
        <v>0.6</v>
      </c>
      <c r="U161" s="248" t="n">
        <v>0.18</v>
      </c>
      <c r="V161" s="12" t="n">
        <v>3.215</v>
      </c>
      <c r="W161" s="12" t="n">
        <v>3.30612274227412</v>
      </c>
      <c r="X161" s="142" t="n">
        <v>3.28509441713394</v>
      </c>
      <c r="Y161" s="13"/>
      <c r="Z161" s="221" t="n">
        <v>0.13</v>
      </c>
      <c r="AA161" s="237" t="n">
        <v>0.1</v>
      </c>
      <c r="AB161" s="242" t="n">
        <v>4.58667056729578</v>
      </c>
      <c r="AC161" s="90" t="n">
        <v>4.71667056729578</v>
      </c>
      <c r="AD161" s="142" t="n">
        <v>4.68667056729578</v>
      </c>
      <c r="AE161" s="182" t="n">
        <v>3.793</v>
      </c>
      <c r="AF161" s="78" t="n">
        <v>3.623</v>
      </c>
      <c r="AG161" s="147" t="n">
        <v>3.893</v>
      </c>
      <c r="AH161" s="185" t="n">
        <v>-0.1</v>
      </c>
      <c r="AI161" s="223" t="n">
        <v>1.50519262894209</v>
      </c>
      <c r="AJ161" s="37" t="n">
        <v>0.0614268288439104</v>
      </c>
      <c r="AK161" s="37" t="n">
        <v>0.0622118376416236</v>
      </c>
      <c r="AL161" s="39" t="n">
        <v>0.537491033703137</v>
      </c>
      <c r="AM161" s="149" t="n">
        <v>0.533307542552686</v>
      </c>
      <c r="AN161" s="129" t="n">
        <v>0.125</v>
      </c>
      <c r="AO161" s="150" t="n">
        <v>0.12</v>
      </c>
      <c r="AP161" s="22"/>
      <c r="AQ161" s="129" t="n">
        <v>-3.85293488144164</v>
      </c>
      <c r="AR161" s="151" t="n">
        <v>-3.17493488144164</v>
      </c>
      <c r="AS161" s="22"/>
      <c r="AT161" s="5" t="n">
        <v>0.0075</v>
      </c>
      <c r="AU161" s="22"/>
      <c r="AV161" s="129" t="n">
        <v>0.0025</v>
      </c>
      <c r="AW161" s="22"/>
      <c r="AX161" s="22" t="n">
        <v>-0.105</v>
      </c>
      <c r="AY161" s="39"/>
      <c r="AZ161" s="243" t="n">
        <v>0.6</v>
      </c>
      <c r="BA161" s="243"/>
      <c r="BB161" s="194" t="n">
        <v>-0.678</v>
      </c>
      <c r="BC161" s="96"/>
      <c r="BD161" s="39"/>
      <c r="BE161" s="22"/>
      <c r="BF161" s="96"/>
      <c r="BG161" s="22"/>
      <c r="BH161" s="71"/>
      <c r="BI161" s="71"/>
      <c r="BJ161" s="22"/>
      <c r="BK161" s="96"/>
      <c r="BL161" s="22"/>
      <c r="BM161" s="22"/>
      <c r="BN161" s="39"/>
      <c r="BO161" s="39"/>
      <c r="BP161" s="71"/>
      <c r="BQ161" s="22"/>
      <c r="BR161" s="71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</row>
    <row r="162" customFormat="false" ht="12.75" hidden="false" customHeight="false" outlineLevel="0" collapsed="false">
      <c r="A162" s="216" t="n">
        <v>40848</v>
      </c>
      <c r="B162" s="217" t="n">
        <v>4.033</v>
      </c>
      <c r="C162" s="252" t="n">
        <v>-0.618</v>
      </c>
      <c r="D162" s="133" t="n">
        <v>-0.526877949910057</v>
      </c>
      <c r="E162" s="133" t="n">
        <v>-0.11</v>
      </c>
      <c r="F162" s="226" t="n">
        <v>0.185</v>
      </c>
      <c r="G162" s="227" t="n">
        <v>0.36</v>
      </c>
      <c r="H162" s="227" t="n">
        <v>0.305</v>
      </c>
      <c r="I162" s="228" t="n">
        <v>0.405</v>
      </c>
      <c r="J162" s="227" t="n">
        <v>0.14</v>
      </c>
      <c r="K162" s="227" t="n">
        <v>0.17</v>
      </c>
      <c r="L162" s="227" t="n">
        <v>0.73</v>
      </c>
      <c r="M162" s="226" t="n">
        <v>-0.15</v>
      </c>
      <c r="N162" s="227" t="n">
        <v>0.35</v>
      </c>
      <c r="O162" s="228" t="n">
        <v>0</v>
      </c>
      <c r="P162" s="183" t="n">
        <v>0.248</v>
      </c>
      <c r="Q162" s="160" t="n">
        <v>0.1725</v>
      </c>
      <c r="R162" s="232" t="n">
        <v>0.18</v>
      </c>
      <c r="S162" s="139" t="n">
        <v>0.18</v>
      </c>
      <c r="T162" s="56" t="n">
        <v>0.8</v>
      </c>
      <c r="U162" s="248" t="n">
        <v>0.18</v>
      </c>
      <c r="V162" s="12" t="n">
        <v>3.415</v>
      </c>
      <c r="W162" s="12" t="n">
        <v>3.50612205008994</v>
      </c>
      <c r="X162" s="142" t="n">
        <v>3.923</v>
      </c>
      <c r="Y162" s="13"/>
      <c r="Z162" s="221" t="n">
        <v>0.13</v>
      </c>
      <c r="AA162" s="237" t="n">
        <v>0.724742254315107</v>
      </c>
      <c r="AB162" s="242" t="n">
        <v>4.87203700489388</v>
      </c>
      <c r="AC162" s="90" t="n">
        <v>5.00203700489388</v>
      </c>
      <c r="AD162" s="142" t="n">
        <v>5.59677925920898</v>
      </c>
      <c r="AE162" s="182" t="n">
        <v>4.281</v>
      </c>
      <c r="AF162" s="78" t="n">
        <v>3.883</v>
      </c>
      <c r="AG162" s="147" t="n">
        <v>4.033</v>
      </c>
      <c r="AH162" s="185" t="n">
        <v>-0.1</v>
      </c>
      <c r="AI162" s="223" t="n">
        <v>1.50520406273362</v>
      </c>
      <c r="AJ162" s="37" t="n">
        <v>0.061467522807761</v>
      </c>
      <c r="AK162" s="37" t="n">
        <v>0.0622453491100376</v>
      </c>
      <c r="AL162" s="39" t="n">
        <v>0.534519681721946</v>
      </c>
      <c r="AM162" s="149" t="n">
        <v>0.53036334643306</v>
      </c>
      <c r="AN162" s="129" t="n">
        <v>0.36</v>
      </c>
      <c r="AO162" s="150" t="n">
        <v>0.124</v>
      </c>
      <c r="AP162" s="22"/>
      <c r="AQ162" s="129" t="n">
        <v>-3.55562990501603</v>
      </c>
      <c r="AR162" s="151" t="n">
        <v>-2.93762990501603</v>
      </c>
      <c r="AS162" s="22"/>
      <c r="AT162" s="5" t="n">
        <v>0.0075</v>
      </c>
      <c r="AU162" s="22"/>
      <c r="AV162" s="129" t="n">
        <v>0.008</v>
      </c>
      <c r="AW162" s="22"/>
      <c r="AX162" s="22" t="n">
        <v>0.005</v>
      </c>
      <c r="AY162" s="39"/>
      <c r="AZ162" s="243" t="n">
        <v>0.8</v>
      </c>
      <c r="BA162" s="243"/>
      <c r="BB162" s="194" t="n">
        <v>-0.618</v>
      </c>
      <c r="BC162" s="96"/>
      <c r="BD162" s="39"/>
      <c r="BE162" s="22"/>
      <c r="BF162" s="96"/>
      <c r="BG162" s="22"/>
      <c r="BH162" s="71"/>
      <c r="BI162" s="71"/>
      <c r="BJ162" s="22"/>
      <c r="BK162" s="96"/>
      <c r="BL162" s="22"/>
      <c r="BM162" s="22"/>
      <c r="BN162" s="39"/>
      <c r="BO162" s="39"/>
      <c r="BP162" s="71"/>
      <c r="BQ162" s="22"/>
      <c r="BR162" s="71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</row>
    <row r="163" customFormat="false" ht="12.75" hidden="false" customHeight="false" outlineLevel="0" collapsed="false">
      <c r="A163" s="224" t="n">
        <v>40878</v>
      </c>
      <c r="B163" s="217" t="n">
        <v>4.173</v>
      </c>
      <c r="C163" s="251" t="n">
        <v>-0.618</v>
      </c>
      <c r="D163" s="133" t="n">
        <v>-0.526878722339796</v>
      </c>
      <c r="E163" s="133" t="n">
        <v>-0.11</v>
      </c>
      <c r="F163" s="226" t="n">
        <v>0.185</v>
      </c>
      <c r="G163" s="227" t="n">
        <v>0.36</v>
      </c>
      <c r="H163" s="227" t="n">
        <v>0.305</v>
      </c>
      <c r="I163" s="228" t="n">
        <v>0.405</v>
      </c>
      <c r="J163" s="227" t="n">
        <v>0.14</v>
      </c>
      <c r="K163" s="227" t="n">
        <v>0.17</v>
      </c>
      <c r="L163" s="227" t="n">
        <v>1.14</v>
      </c>
      <c r="M163" s="226" t="n">
        <v>-0.15</v>
      </c>
      <c r="N163" s="227" t="n">
        <v>0.35</v>
      </c>
      <c r="O163" s="228" t="n">
        <v>0</v>
      </c>
      <c r="P163" s="183" t="n">
        <v>0.308</v>
      </c>
      <c r="Q163" s="160" t="n">
        <v>0.1725</v>
      </c>
      <c r="R163" s="232" t="n">
        <v>0.18</v>
      </c>
      <c r="S163" s="139" t="n">
        <v>0.18</v>
      </c>
      <c r="T163" s="56" t="n">
        <v>1</v>
      </c>
      <c r="U163" s="248" t="n">
        <v>0.18</v>
      </c>
      <c r="V163" s="12" t="n">
        <v>3.555</v>
      </c>
      <c r="W163" s="12" t="n">
        <v>3.6461212776602</v>
      </c>
      <c r="X163" s="142" t="n">
        <v>4.063</v>
      </c>
      <c r="Y163" s="13"/>
      <c r="Z163" s="221" t="n">
        <v>0.13</v>
      </c>
      <c r="AA163" s="237" t="n">
        <v>0.724748397912792</v>
      </c>
      <c r="AB163" s="242" t="n">
        <v>5.07181211531491</v>
      </c>
      <c r="AC163" s="90" t="n">
        <v>5.20181211531491</v>
      </c>
      <c r="AD163" s="142" t="n">
        <v>5.7965605132277</v>
      </c>
      <c r="AE163" s="182" t="n">
        <v>4.481</v>
      </c>
      <c r="AF163" s="78" t="n">
        <v>4.023</v>
      </c>
      <c r="AG163" s="147" t="n">
        <v>4.173</v>
      </c>
      <c r="AH163" s="185" t="n">
        <v>-0.1</v>
      </c>
      <c r="AI163" s="223" t="n">
        <v>1.50521682226039</v>
      </c>
      <c r="AJ163" s="37" t="n">
        <v>0.0615069040636245</v>
      </c>
      <c r="AK163" s="37" t="n">
        <v>0.0622777795636966</v>
      </c>
      <c r="AL163" s="39" t="n">
        <v>0.531656432276223</v>
      </c>
      <c r="AM163" s="149" t="n">
        <v>0.527526832910424</v>
      </c>
      <c r="AN163" s="129" t="n">
        <v>0.36</v>
      </c>
      <c r="AO163" s="150" t="n">
        <v>0.12</v>
      </c>
      <c r="AP163" s="22"/>
      <c r="AQ163" s="129" t="n">
        <v>-3.69564364827642</v>
      </c>
      <c r="AR163" s="151" t="n">
        <v>-3.07764364827642</v>
      </c>
      <c r="AS163" s="22"/>
      <c r="AT163" s="5" t="n">
        <v>0.0075</v>
      </c>
      <c r="AU163" s="22"/>
      <c r="AV163" s="129" t="n">
        <v>0.008</v>
      </c>
      <c r="AW163" s="22"/>
      <c r="AX163" s="22" t="n">
        <v>0.01</v>
      </c>
      <c r="AY163" s="39"/>
      <c r="AZ163" s="243" t="n">
        <v>1</v>
      </c>
      <c r="BA163" s="243"/>
      <c r="BB163" s="194" t="n">
        <v>-0.618</v>
      </c>
      <c r="BC163" s="96"/>
      <c r="BD163" s="39"/>
      <c r="BE163" s="22"/>
      <c r="BF163" s="96"/>
      <c r="BG163" s="22"/>
      <c r="BH163" s="71"/>
      <c r="BI163" s="71"/>
      <c r="BJ163" s="22"/>
      <c r="BK163" s="96"/>
      <c r="BL163" s="22"/>
      <c r="BM163" s="22"/>
      <c r="BN163" s="39"/>
      <c r="BO163" s="39"/>
      <c r="BP163" s="71"/>
      <c r="BQ163" s="22"/>
      <c r="BR163" s="71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</row>
    <row r="164" customFormat="false" ht="12.75" hidden="false" customHeight="false" outlineLevel="0" collapsed="false">
      <c r="A164" s="224" t="n">
        <v>40909</v>
      </c>
      <c r="B164" s="217" t="n">
        <v>4.278</v>
      </c>
      <c r="C164" s="251" t="n">
        <v>-0.618</v>
      </c>
      <c r="D164" s="133" t="n">
        <v>-0.526879626501998</v>
      </c>
      <c r="E164" s="133" t="n">
        <v>-0.11</v>
      </c>
      <c r="F164" s="226" t="n">
        <v>0.185</v>
      </c>
      <c r="G164" s="227" t="n">
        <v>0.36</v>
      </c>
      <c r="H164" s="227" t="n">
        <v>0.305</v>
      </c>
      <c r="I164" s="228" t="n">
        <v>0.405</v>
      </c>
      <c r="J164" s="227" t="n">
        <v>0.14</v>
      </c>
      <c r="K164" s="227" t="n">
        <v>0.17</v>
      </c>
      <c r="L164" s="227" t="n">
        <v>1.63</v>
      </c>
      <c r="M164" s="226" t="n">
        <v>-0.15</v>
      </c>
      <c r="N164" s="227" t="n">
        <v>0.35</v>
      </c>
      <c r="O164" s="228" t="n">
        <v>0</v>
      </c>
      <c r="P164" s="183" t="n">
        <v>0.378</v>
      </c>
      <c r="Q164" s="160" t="n">
        <v>0.1725</v>
      </c>
      <c r="R164" s="232" t="n">
        <v>0.18</v>
      </c>
      <c r="S164" s="139" t="n">
        <v>0.18</v>
      </c>
      <c r="T164" s="56" t="n">
        <v>1</v>
      </c>
      <c r="U164" s="248" t="n">
        <v>0.18</v>
      </c>
      <c r="V164" s="12" t="n">
        <v>3.66</v>
      </c>
      <c r="W164" s="12" t="n">
        <v>3.751120373498</v>
      </c>
      <c r="X164" s="142" t="n">
        <v>4.168</v>
      </c>
      <c r="Y164" s="13"/>
      <c r="Z164" s="221" t="n">
        <v>0.13</v>
      </c>
      <c r="AA164" s="237" t="n">
        <v>0.724755589390209</v>
      </c>
      <c r="AB164" s="242" t="n">
        <v>5.22166428576411</v>
      </c>
      <c r="AC164" s="90" t="n">
        <v>5.35166428576411</v>
      </c>
      <c r="AD164" s="142" t="n">
        <v>5.94641987515432</v>
      </c>
      <c r="AE164" s="182" t="n">
        <v>4.656</v>
      </c>
      <c r="AF164" s="78" t="n">
        <v>4.128</v>
      </c>
      <c r="AG164" s="147" t="n">
        <v>4.278</v>
      </c>
      <c r="AH164" s="185" t="n">
        <v>-0.1</v>
      </c>
      <c r="AI164" s="223" t="n">
        <v>1.5052317581096</v>
      </c>
      <c r="AJ164" s="37" t="n">
        <v>0.0615475980285574</v>
      </c>
      <c r="AK164" s="37" t="n">
        <v>0.0623112910328443</v>
      </c>
      <c r="AL164" s="39" t="n">
        <v>0.528710371293496</v>
      </c>
      <c r="AM164" s="149" t="n">
        <v>0.524608860720429</v>
      </c>
      <c r="AN164" s="129" t="n">
        <v>0.36</v>
      </c>
      <c r="AO164" s="150" t="n">
        <v>0.12</v>
      </c>
      <c r="AP164" s="22"/>
      <c r="AQ164" s="129" t="n">
        <v>-3.8006580305855</v>
      </c>
      <c r="AR164" s="151" t="n">
        <v>-3.1826580305855</v>
      </c>
      <c r="AS164" s="22"/>
      <c r="AT164" s="5" t="n">
        <v>0.0075</v>
      </c>
      <c r="AU164" s="22"/>
      <c r="AV164" s="129" t="n">
        <v>0.008</v>
      </c>
      <c r="AW164" s="22"/>
      <c r="AX164" s="22" t="n">
        <v>0.03</v>
      </c>
      <c r="AY164" s="39"/>
      <c r="AZ164" s="243" t="n">
        <v>1</v>
      </c>
      <c r="BA164" s="243"/>
      <c r="BB164" s="194" t="n">
        <v>-0.618</v>
      </c>
      <c r="BC164" s="96"/>
      <c r="BD164" s="39"/>
      <c r="BE164" s="22"/>
      <c r="BF164" s="96"/>
      <c r="BG164" s="22"/>
      <c r="BH164" s="71"/>
      <c r="BI164" s="71"/>
      <c r="BJ164" s="22"/>
      <c r="BK164" s="96"/>
      <c r="BL164" s="22"/>
      <c r="BM164" s="22"/>
      <c r="BN164" s="39"/>
      <c r="BO164" s="39"/>
      <c r="BP164" s="71"/>
      <c r="BQ164" s="22"/>
      <c r="BR164" s="71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</row>
    <row r="165" customFormat="false" ht="12.75" hidden="false" customHeight="false" outlineLevel="0" collapsed="false">
      <c r="A165" s="224" t="n">
        <v>40940</v>
      </c>
      <c r="B165" s="217" t="n">
        <v>4.16</v>
      </c>
      <c r="C165" s="251" t="n">
        <v>-0.618</v>
      </c>
      <c r="D165" s="133" t="n">
        <v>-0.526880638377541</v>
      </c>
      <c r="E165" s="133" t="n">
        <v>-0.11</v>
      </c>
      <c r="F165" s="226" t="n">
        <v>0.185</v>
      </c>
      <c r="G165" s="227" t="n">
        <v>0.36</v>
      </c>
      <c r="H165" s="227" t="n">
        <v>0.305</v>
      </c>
      <c r="I165" s="228" t="n">
        <v>0.405</v>
      </c>
      <c r="J165" s="227" t="n">
        <v>0.14</v>
      </c>
      <c r="K165" s="227" t="n">
        <v>0.17</v>
      </c>
      <c r="L165" s="227" t="n">
        <v>1.63</v>
      </c>
      <c r="M165" s="226" t="n">
        <v>-0.15</v>
      </c>
      <c r="N165" s="227" t="n">
        <v>0.35</v>
      </c>
      <c r="O165" s="228" t="n">
        <v>0</v>
      </c>
      <c r="P165" s="183" t="n">
        <v>0.248</v>
      </c>
      <c r="Q165" s="160" t="n">
        <v>0.1675</v>
      </c>
      <c r="R165" s="232" t="n">
        <v>0.175</v>
      </c>
      <c r="S165" s="139" t="n">
        <v>0.175</v>
      </c>
      <c r="T165" s="56" t="n">
        <v>1</v>
      </c>
      <c r="U165" s="248" t="n">
        <v>0.175</v>
      </c>
      <c r="V165" s="12" t="n">
        <v>3.542</v>
      </c>
      <c r="W165" s="12" t="n">
        <v>3.63311936162246</v>
      </c>
      <c r="X165" s="142" t="n">
        <v>4.05</v>
      </c>
      <c r="Y165" s="13"/>
      <c r="Z165" s="221" t="n">
        <v>0.13</v>
      </c>
      <c r="AA165" s="237" t="n">
        <v>0.724763637761506</v>
      </c>
      <c r="AB165" s="242" t="n">
        <v>5.05337166328988</v>
      </c>
      <c r="AC165" s="90" t="n">
        <v>5.18337166328988</v>
      </c>
      <c r="AD165" s="142" t="n">
        <v>5.77813530105138</v>
      </c>
      <c r="AE165" s="182" t="n">
        <v>4.408</v>
      </c>
      <c r="AF165" s="78" t="n">
        <v>4.01</v>
      </c>
      <c r="AG165" s="147" t="n">
        <v>4.16</v>
      </c>
      <c r="AH165" s="185" t="n">
        <v>-0.1</v>
      </c>
      <c r="AI165" s="223" t="n">
        <v>1.50524847362619</v>
      </c>
      <c r="AJ165" s="37" t="n">
        <v>0.0615882919940405</v>
      </c>
      <c r="AK165" s="37" t="n">
        <v>0.062344802502365</v>
      </c>
      <c r="AL165" s="39" t="n">
        <v>0.525777116110205</v>
      </c>
      <c r="AM165" s="149" t="n">
        <v>0.521704153917247</v>
      </c>
      <c r="AN165" s="129" t="n">
        <v>0.36</v>
      </c>
      <c r="AO165" s="150" t="n">
        <v>0.133</v>
      </c>
      <c r="AP165" s="22"/>
      <c r="AQ165" s="129" t="n">
        <v>-3.68267259677792</v>
      </c>
      <c r="AR165" s="151" t="n">
        <v>-3.06467259677792</v>
      </c>
      <c r="AS165" s="22"/>
      <c r="AT165" s="5" t="n">
        <v>0.0075</v>
      </c>
      <c r="AU165" s="22"/>
      <c r="AV165" s="129" t="n">
        <v>0.008</v>
      </c>
      <c r="AW165" s="22"/>
      <c r="AX165" s="22" t="n">
        <v>0.025</v>
      </c>
      <c r="AY165" s="39"/>
      <c r="AZ165" s="243" t="n">
        <v>1</v>
      </c>
      <c r="BA165" s="243"/>
      <c r="BB165" s="194" t="n">
        <v>-0.618</v>
      </c>
      <c r="BC165" s="96"/>
      <c r="BD165" s="39"/>
      <c r="BE165" s="22"/>
      <c r="BF165" s="96"/>
      <c r="BG165" s="22"/>
      <c r="BH165" s="71"/>
      <c r="BI165" s="71"/>
      <c r="BJ165" s="22"/>
      <c r="BK165" s="96"/>
      <c r="BL165" s="22"/>
      <c r="BM165" s="22"/>
      <c r="BN165" s="39"/>
      <c r="BO165" s="39"/>
      <c r="BP165" s="71"/>
      <c r="BQ165" s="22"/>
      <c r="BR165" s="71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</row>
    <row r="166" customFormat="false" ht="12.75" hidden="false" customHeight="false" outlineLevel="0" collapsed="false">
      <c r="A166" s="224" t="n">
        <v>40969</v>
      </c>
      <c r="B166" s="217" t="n">
        <v>4.027</v>
      </c>
      <c r="C166" s="251" t="n">
        <v>-0.618</v>
      </c>
      <c r="D166" s="133" t="n">
        <v>-0.526881682476104</v>
      </c>
      <c r="E166" s="133" t="n">
        <v>-0.11</v>
      </c>
      <c r="F166" s="226" t="n">
        <v>0.185</v>
      </c>
      <c r="G166" s="227" t="n">
        <v>0.36</v>
      </c>
      <c r="H166" s="227" t="n">
        <v>0.305</v>
      </c>
      <c r="I166" s="228" t="n">
        <v>0.405</v>
      </c>
      <c r="J166" s="227" t="n">
        <v>0.14</v>
      </c>
      <c r="K166" s="227" t="n">
        <v>0.17</v>
      </c>
      <c r="L166" s="227" t="n">
        <v>0.72</v>
      </c>
      <c r="M166" s="226" t="n">
        <v>-0.15</v>
      </c>
      <c r="N166" s="227" t="n">
        <v>0.35</v>
      </c>
      <c r="O166" s="228" t="n">
        <v>0</v>
      </c>
      <c r="P166" s="183" t="n">
        <v>0.068</v>
      </c>
      <c r="Q166" s="160" t="n">
        <v>0.1625</v>
      </c>
      <c r="R166" s="232" t="n">
        <v>0.17</v>
      </c>
      <c r="S166" s="139" t="n">
        <v>0.17</v>
      </c>
      <c r="T166" s="56" t="n">
        <v>0.75</v>
      </c>
      <c r="U166" s="248" t="n">
        <v>0.17</v>
      </c>
      <c r="V166" s="12" t="n">
        <v>3.409</v>
      </c>
      <c r="W166" s="12" t="n">
        <v>3.5001183175239</v>
      </c>
      <c r="X166" s="142" t="n">
        <v>3.917</v>
      </c>
      <c r="Y166" s="13"/>
      <c r="Z166" s="221" t="n">
        <v>0.13</v>
      </c>
      <c r="AA166" s="237" t="n">
        <v>0.72477194261934</v>
      </c>
      <c r="AB166" s="242" t="n">
        <v>4.86367628423096</v>
      </c>
      <c r="AC166" s="90" t="n">
        <v>4.99367628423096</v>
      </c>
      <c r="AD166" s="142" t="n">
        <v>5.5884482268503</v>
      </c>
      <c r="AE166" s="182" t="n">
        <v>4.095</v>
      </c>
      <c r="AF166" s="78" t="n">
        <v>3.877</v>
      </c>
      <c r="AG166" s="147" t="n">
        <v>4.027</v>
      </c>
      <c r="AH166" s="185" t="n">
        <v>-0.1</v>
      </c>
      <c r="AI166" s="223" t="n">
        <v>1.50526572183502</v>
      </c>
      <c r="AJ166" s="37" t="n">
        <v>0.0616263605428928</v>
      </c>
      <c r="AK166" s="37" t="n">
        <v>0.0623761519419306</v>
      </c>
      <c r="AL166" s="39" t="n">
        <v>0.523044668220796</v>
      </c>
      <c r="AM166" s="149" t="n">
        <v>0.518998820079982</v>
      </c>
      <c r="AN166" s="129" t="n">
        <v>0.36</v>
      </c>
      <c r="AO166" s="150" t="n">
        <v>0.12</v>
      </c>
      <c r="AP166" s="22"/>
      <c r="AQ166" s="129" t="n">
        <v>-3.54968638966619</v>
      </c>
      <c r="AR166" s="151" t="n">
        <v>-2.93168638966619</v>
      </c>
      <c r="AS166" s="22"/>
      <c r="AT166" s="5" t="n">
        <v>0.0075</v>
      </c>
      <c r="AU166" s="22"/>
      <c r="AV166" s="129" t="n">
        <v>0.008</v>
      </c>
      <c r="AW166" s="22"/>
      <c r="AX166" s="22" t="n">
        <v>0.005</v>
      </c>
      <c r="AY166" s="39"/>
      <c r="AZ166" s="243" t="n">
        <v>0.75</v>
      </c>
      <c r="BA166" s="243"/>
      <c r="BB166" s="194" t="n">
        <v>-0.618</v>
      </c>
      <c r="BC166" s="96"/>
      <c r="BD166" s="39"/>
      <c r="BE166" s="22"/>
      <c r="BF166" s="96"/>
      <c r="BG166" s="22"/>
      <c r="BH166" s="71"/>
      <c r="BI166" s="71"/>
      <c r="BJ166" s="22"/>
      <c r="BK166" s="96"/>
      <c r="BL166" s="22"/>
      <c r="BM166" s="22"/>
      <c r="BN166" s="39"/>
      <c r="BO166" s="39"/>
      <c r="BP166" s="71"/>
      <c r="BQ166" s="22"/>
      <c r="BR166" s="71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</row>
    <row r="167" customFormat="false" ht="12.75" hidden="false" customHeight="false" outlineLevel="0" collapsed="false">
      <c r="A167" s="224" t="n">
        <v>41000</v>
      </c>
      <c r="B167" s="217" t="n">
        <v>3.807</v>
      </c>
      <c r="C167" s="252" t="n">
        <v>-0.718</v>
      </c>
      <c r="D167" s="133" t="n">
        <v>-0.626882902802033</v>
      </c>
      <c r="E167" s="133" t="n">
        <v>-0.647909925232333</v>
      </c>
      <c r="F167" s="226" t="n">
        <v>0.125</v>
      </c>
      <c r="G167" s="227" t="n">
        <v>0.125</v>
      </c>
      <c r="H167" s="227" t="n">
        <v>0.16</v>
      </c>
      <c r="I167" s="228" t="n">
        <v>0.12</v>
      </c>
      <c r="J167" s="227" t="n">
        <v>0.04</v>
      </c>
      <c r="K167" s="227" t="n">
        <v>0.11</v>
      </c>
      <c r="L167" s="227" t="n">
        <v>0.48</v>
      </c>
      <c r="M167" s="226" t="n">
        <v>-0.22</v>
      </c>
      <c r="N167" s="227" t="n">
        <v>0.43</v>
      </c>
      <c r="O167" s="228" t="n">
        <v>0</v>
      </c>
      <c r="P167" s="183" t="n">
        <v>-0.25</v>
      </c>
      <c r="Q167" s="160" t="n">
        <v>0.1625</v>
      </c>
      <c r="R167" s="232" t="n">
        <v>0.17</v>
      </c>
      <c r="S167" s="139" t="n">
        <v>0.17</v>
      </c>
      <c r="T167" s="56" t="n">
        <v>0.4</v>
      </c>
      <c r="U167" s="248" t="n">
        <v>0.17</v>
      </c>
      <c r="V167" s="12" t="n">
        <v>3.089</v>
      </c>
      <c r="W167" s="12" t="n">
        <v>3.18011709719797</v>
      </c>
      <c r="X167" s="142" t="n">
        <v>3.15909007476767</v>
      </c>
      <c r="Y167" s="13"/>
      <c r="Z167" s="221" t="n">
        <v>0.13</v>
      </c>
      <c r="AA167" s="237" t="n">
        <v>0.1</v>
      </c>
      <c r="AB167" s="242" t="n">
        <v>4.40718605343104</v>
      </c>
      <c r="AC167" s="90" t="n">
        <v>4.53718605343104</v>
      </c>
      <c r="AD167" s="142" t="n">
        <v>4.50718605343104</v>
      </c>
      <c r="AE167" s="182" t="n">
        <v>3.557</v>
      </c>
      <c r="AF167" s="78" t="n">
        <v>3.587</v>
      </c>
      <c r="AG167" s="147" t="n">
        <v>3.807</v>
      </c>
      <c r="AH167" s="185" t="n">
        <v>-0.1</v>
      </c>
      <c r="AI167" s="223" t="n">
        <v>1.50528588177039</v>
      </c>
      <c r="AJ167" s="37" t="n">
        <v>0.06166705450944</v>
      </c>
      <c r="AK167" s="37" t="n">
        <v>0.0624096634121725</v>
      </c>
      <c r="AL167" s="39" t="n">
        <v>0.520136108088365</v>
      </c>
      <c r="AM167" s="149" t="n">
        <v>0.516119670470939</v>
      </c>
      <c r="AN167" s="129" t="n">
        <v>0.125</v>
      </c>
      <c r="AO167" s="150" t="n">
        <v>0.124</v>
      </c>
      <c r="AP167" s="22"/>
      <c r="AQ167" s="129" t="n">
        <v>-3.76693922199286</v>
      </c>
      <c r="AR167" s="151" t="n">
        <v>-3.04893922199286</v>
      </c>
      <c r="AS167" s="22"/>
      <c r="AT167" s="5" t="n">
        <v>0.0075</v>
      </c>
      <c r="AU167" s="22"/>
      <c r="AV167" s="129" t="n">
        <v>0.0025</v>
      </c>
      <c r="AW167" s="22"/>
      <c r="AX167" s="22" t="n">
        <v>-0.105</v>
      </c>
      <c r="AY167" s="39"/>
      <c r="AZ167" s="243" t="n">
        <v>0.4</v>
      </c>
      <c r="BA167" s="243"/>
      <c r="BB167" s="194" t="n">
        <v>-0.718</v>
      </c>
      <c r="BC167" s="96"/>
      <c r="BD167" s="39"/>
      <c r="BE167" s="22"/>
      <c r="BF167" s="96"/>
      <c r="BG167" s="22"/>
      <c r="BH167" s="71"/>
      <c r="BI167" s="71"/>
      <c r="BJ167" s="22"/>
      <c r="BK167" s="96"/>
      <c r="BL167" s="22"/>
      <c r="BM167" s="22"/>
      <c r="BN167" s="39"/>
      <c r="BO167" s="39"/>
      <c r="BP167" s="71"/>
      <c r="BQ167" s="22"/>
      <c r="BR167" s="71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</row>
    <row r="168" customFormat="false" ht="12.75" hidden="false" customHeight="false" outlineLevel="0" collapsed="false">
      <c r="A168" s="224" t="n">
        <v>41030</v>
      </c>
      <c r="B168" s="217" t="n">
        <v>3.797</v>
      </c>
      <c r="C168" s="251" t="n">
        <v>-0.718</v>
      </c>
      <c r="D168" s="133" t="n">
        <v>-0.626884186292859</v>
      </c>
      <c r="E168" s="133" t="n">
        <v>-0.647910912532968</v>
      </c>
      <c r="F168" s="226" t="n">
        <v>0.125</v>
      </c>
      <c r="G168" s="227" t="n">
        <v>0.125</v>
      </c>
      <c r="H168" s="227" t="n">
        <v>0.16</v>
      </c>
      <c r="I168" s="228" t="n">
        <v>0.12</v>
      </c>
      <c r="J168" s="227" t="n">
        <v>0.04</v>
      </c>
      <c r="K168" s="227" t="n">
        <v>0.11</v>
      </c>
      <c r="L168" s="227" t="n">
        <v>0.42</v>
      </c>
      <c r="M168" s="226" t="n">
        <v>-0.27</v>
      </c>
      <c r="N168" s="227" t="n">
        <v>0.43</v>
      </c>
      <c r="O168" s="228" t="n">
        <v>0</v>
      </c>
      <c r="P168" s="183" t="n">
        <v>-0.1</v>
      </c>
      <c r="Q168" s="160" t="n">
        <v>0.1625</v>
      </c>
      <c r="R168" s="232" t="n">
        <v>0.17</v>
      </c>
      <c r="S168" s="139" t="n">
        <v>0.17</v>
      </c>
      <c r="T168" s="56" t="n">
        <v>0.45</v>
      </c>
      <c r="U168" s="248" t="n">
        <v>0.17</v>
      </c>
      <c r="V168" s="12" t="n">
        <v>3.079</v>
      </c>
      <c r="W168" s="12" t="n">
        <v>3.17011581370714</v>
      </c>
      <c r="X168" s="142" t="n">
        <v>3.14908908746703</v>
      </c>
      <c r="Y168" s="13"/>
      <c r="Z168" s="221" t="n">
        <v>0.13</v>
      </c>
      <c r="AA168" s="237" t="n">
        <v>0.1</v>
      </c>
      <c r="AB168" s="242" t="n">
        <v>4.3929805783936</v>
      </c>
      <c r="AC168" s="90" t="n">
        <v>4.5229805783936</v>
      </c>
      <c r="AD168" s="142" t="n">
        <v>4.4929805783936</v>
      </c>
      <c r="AE168" s="182" t="n">
        <v>3.697</v>
      </c>
      <c r="AF168" s="78" t="n">
        <v>3.527</v>
      </c>
      <c r="AG168" s="147" t="n">
        <v>3.797</v>
      </c>
      <c r="AH168" s="185" t="n">
        <v>-0.1</v>
      </c>
      <c r="AI168" s="223" t="n">
        <v>1.50530708578033</v>
      </c>
      <c r="AJ168" s="37" t="n">
        <v>0.0617064357679125</v>
      </c>
      <c r="AK168" s="37" t="n">
        <v>0.0624420938676002</v>
      </c>
      <c r="AL168" s="39" t="n">
        <v>0.517333476573316</v>
      </c>
      <c r="AM168" s="149" t="n">
        <v>0.513345911665909</v>
      </c>
      <c r="AN168" s="129" t="n">
        <v>0.125</v>
      </c>
      <c r="AO168" s="150" t="n">
        <v>0.12</v>
      </c>
      <c r="AP168" s="22"/>
      <c r="AQ168" s="129" t="n">
        <v>-3.75694020888081</v>
      </c>
      <c r="AR168" s="151" t="n">
        <v>-3.03894020888081</v>
      </c>
      <c r="AS168" s="22"/>
      <c r="AT168" s="5" t="n">
        <v>0.0075</v>
      </c>
      <c r="AU168" s="22"/>
      <c r="AV168" s="129" t="n">
        <v>0.0025</v>
      </c>
      <c r="AW168" s="22"/>
      <c r="AX168" s="22" t="n">
        <v>-0.105</v>
      </c>
      <c r="AY168" s="39"/>
      <c r="AZ168" s="243" t="n">
        <v>0.45</v>
      </c>
      <c r="BA168" s="243"/>
      <c r="BB168" s="194" t="n">
        <v>-0.718</v>
      </c>
      <c r="BC168" s="96"/>
      <c r="BD168" s="39"/>
      <c r="BE168" s="22"/>
      <c r="BF168" s="96"/>
      <c r="BG168" s="22"/>
      <c r="BH168" s="71"/>
      <c r="BI168" s="71"/>
      <c r="BJ168" s="22"/>
      <c r="BK168" s="96"/>
      <c r="BL168" s="22"/>
      <c r="BM168" s="22"/>
      <c r="BN168" s="39"/>
      <c r="BO168" s="39"/>
      <c r="BP168" s="71"/>
      <c r="BQ168" s="22"/>
      <c r="BR168" s="71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</row>
    <row r="169" customFormat="false" ht="12.75" hidden="false" customHeight="false" outlineLevel="0" collapsed="false">
      <c r="A169" s="224" t="n">
        <v>41061</v>
      </c>
      <c r="B169" s="217" t="n">
        <v>3.833</v>
      </c>
      <c r="C169" s="251" t="n">
        <v>-0.718</v>
      </c>
      <c r="D169" s="133" t="n">
        <v>-0.626885618504404</v>
      </c>
      <c r="E169" s="133" t="n">
        <v>-0.647912014234157</v>
      </c>
      <c r="F169" s="226" t="n">
        <v>0.125</v>
      </c>
      <c r="G169" s="227" t="n">
        <v>0.125</v>
      </c>
      <c r="H169" s="227" t="n">
        <v>0.16</v>
      </c>
      <c r="I169" s="228" t="n">
        <v>0.12</v>
      </c>
      <c r="J169" s="227" t="n">
        <v>0.04</v>
      </c>
      <c r="K169" s="227" t="n">
        <v>0.11</v>
      </c>
      <c r="L169" s="227" t="n">
        <v>0.42</v>
      </c>
      <c r="M169" s="226" t="n">
        <v>-0.27</v>
      </c>
      <c r="N169" s="227" t="n">
        <v>0.43</v>
      </c>
      <c r="O169" s="228" t="n">
        <v>0</v>
      </c>
      <c r="P169" s="183" t="n">
        <v>-0.1</v>
      </c>
      <c r="Q169" s="160" t="n">
        <v>0.1625</v>
      </c>
      <c r="R169" s="232" t="n">
        <v>0.17</v>
      </c>
      <c r="S169" s="139" t="n">
        <v>0.17</v>
      </c>
      <c r="T169" s="56" t="n">
        <v>0.45</v>
      </c>
      <c r="U169" s="248" t="n">
        <v>0.17</v>
      </c>
      <c r="V169" s="12" t="n">
        <v>3.115</v>
      </c>
      <c r="W169" s="12" t="n">
        <v>3.2061143814956</v>
      </c>
      <c r="X169" s="142" t="n">
        <v>3.18508798576584</v>
      </c>
      <c r="Y169" s="13"/>
      <c r="Z169" s="221" t="n">
        <v>0.13</v>
      </c>
      <c r="AA169" s="237" t="n">
        <v>0.1</v>
      </c>
      <c r="AB169" s="242" t="n">
        <v>4.44441364088689</v>
      </c>
      <c r="AC169" s="90" t="n">
        <v>4.57441364088689</v>
      </c>
      <c r="AD169" s="142" t="n">
        <v>4.54441364088689</v>
      </c>
      <c r="AE169" s="182" t="n">
        <v>3.733</v>
      </c>
      <c r="AF169" s="78" t="n">
        <v>3.563</v>
      </c>
      <c r="AG169" s="147" t="n">
        <v>3.833</v>
      </c>
      <c r="AH169" s="185" t="n">
        <v>-0.1</v>
      </c>
      <c r="AI169" s="223" t="n">
        <v>1.50533074744769</v>
      </c>
      <c r="AJ169" s="37" t="n">
        <v>0.061747129735541</v>
      </c>
      <c r="AK169" s="37" t="n">
        <v>0.0624756053385753</v>
      </c>
      <c r="AL169" s="39" t="n">
        <v>0.514449900411454</v>
      </c>
      <c r="AM169" s="149" t="n">
        <v>0.510492586098063</v>
      </c>
      <c r="AN169" s="129" t="n">
        <v>0.125</v>
      </c>
      <c r="AO169" s="150" t="n">
        <v>0.124</v>
      </c>
      <c r="AP169" s="22"/>
      <c r="AQ169" s="129" t="n">
        <v>-3.79294131012151</v>
      </c>
      <c r="AR169" s="151" t="n">
        <v>-3.07494131012151</v>
      </c>
      <c r="AS169" s="22"/>
      <c r="AT169" s="5" t="n">
        <v>0.0075</v>
      </c>
      <c r="AU169" s="22"/>
      <c r="AV169" s="129" t="n">
        <v>0.0025</v>
      </c>
      <c r="AW169" s="22"/>
      <c r="AX169" s="22" t="n">
        <v>-0.105</v>
      </c>
      <c r="AY169" s="39"/>
      <c r="AZ169" s="243" t="n">
        <v>0.45</v>
      </c>
      <c r="BA169" s="243"/>
      <c r="BB169" s="194" t="n">
        <v>-0.718</v>
      </c>
      <c r="BC169" s="96"/>
      <c r="BD169" s="39"/>
      <c r="BE169" s="22"/>
      <c r="BF169" s="96"/>
      <c r="BG169" s="22"/>
      <c r="BH169" s="71"/>
      <c r="BI169" s="71"/>
      <c r="BJ169" s="22"/>
      <c r="BK169" s="96"/>
      <c r="BL169" s="22"/>
      <c r="BM169" s="22"/>
      <c r="BN169" s="39"/>
      <c r="BO169" s="39"/>
      <c r="BP169" s="71"/>
      <c r="BQ169" s="22"/>
      <c r="BR169" s="71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</row>
    <row r="170" customFormat="false" ht="12.75" hidden="false" customHeight="false" outlineLevel="0" collapsed="false">
      <c r="A170" s="224" t="n">
        <v>41091</v>
      </c>
      <c r="B170" s="217" t="n">
        <v>3.875</v>
      </c>
      <c r="C170" s="251" t="n">
        <v>-0.718</v>
      </c>
      <c r="D170" s="133" t="n">
        <v>-0.626887107025781</v>
      </c>
      <c r="E170" s="133" t="n">
        <v>-0.647913159250601</v>
      </c>
      <c r="F170" s="226" t="n">
        <v>0.125</v>
      </c>
      <c r="G170" s="227" t="n">
        <v>0.125</v>
      </c>
      <c r="H170" s="227" t="n">
        <v>0.16</v>
      </c>
      <c r="I170" s="228" t="n">
        <v>0.12</v>
      </c>
      <c r="J170" s="227" t="n">
        <v>0.04</v>
      </c>
      <c r="K170" s="227" t="n">
        <v>0.11</v>
      </c>
      <c r="L170" s="227" t="n">
        <v>0.48</v>
      </c>
      <c r="M170" s="226" t="n">
        <v>-0.27</v>
      </c>
      <c r="N170" s="227" t="n">
        <v>0.43</v>
      </c>
      <c r="O170" s="228" t="n">
        <v>0</v>
      </c>
      <c r="P170" s="183" t="n">
        <v>-0.1</v>
      </c>
      <c r="Q170" s="160" t="n">
        <v>0.1625</v>
      </c>
      <c r="R170" s="232" t="n">
        <v>0.17</v>
      </c>
      <c r="S170" s="139" t="n">
        <v>0.17</v>
      </c>
      <c r="T170" s="56" t="n">
        <v>0.5</v>
      </c>
      <c r="U170" s="248" t="n">
        <v>0.17</v>
      </c>
      <c r="V170" s="12" t="n">
        <v>3.157</v>
      </c>
      <c r="W170" s="12" t="n">
        <v>3.24811289297422</v>
      </c>
      <c r="X170" s="142" t="n">
        <v>3.2270868407494</v>
      </c>
      <c r="Y170" s="13"/>
      <c r="Z170" s="221" t="n">
        <v>0.13</v>
      </c>
      <c r="AA170" s="237" t="n">
        <v>0.1</v>
      </c>
      <c r="AB170" s="242" t="n">
        <v>4.50441190706266</v>
      </c>
      <c r="AC170" s="90" t="n">
        <v>4.63441190706266</v>
      </c>
      <c r="AD170" s="142" t="n">
        <v>4.60441190706266</v>
      </c>
      <c r="AE170" s="182" t="n">
        <v>3.775</v>
      </c>
      <c r="AF170" s="78" t="n">
        <v>3.605</v>
      </c>
      <c r="AG170" s="147" t="n">
        <v>3.875</v>
      </c>
      <c r="AH170" s="185" t="n">
        <v>-0.1</v>
      </c>
      <c r="AI170" s="223" t="n">
        <v>1.50535534020206</v>
      </c>
      <c r="AJ170" s="37" t="n">
        <v>0.0617865109950602</v>
      </c>
      <c r="AK170" s="37" t="n">
        <v>0.0625080357947123</v>
      </c>
      <c r="AL170" s="39" t="n">
        <v>0.511671386873566</v>
      </c>
      <c r="AM170" s="149" t="n">
        <v>0.507743740711085</v>
      </c>
      <c r="AN170" s="129" t="n">
        <v>0.125</v>
      </c>
      <c r="AO170" s="150" t="n">
        <v>0.12</v>
      </c>
      <c r="AP170" s="22"/>
      <c r="AQ170" s="129" t="n">
        <v>-3.83494245465935</v>
      </c>
      <c r="AR170" s="151" t="n">
        <v>-3.11694245465935</v>
      </c>
      <c r="AS170" s="22"/>
      <c r="AT170" s="5" t="n">
        <v>0.0075</v>
      </c>
      <c r="AU170" s="22"/>
      <c r="AV170" s="129" t="n">
        <v>0.0025</v>
      </c>
      <c r="AW170" s="22"/>
      <c r="AX170" s="22" t="n">
        <v>-0.105</v>
      </c>
      <c r="AY170" s="39"/>
      <c r="AZ170" s="243" t="n">
        <v>0.5</v>
      </c>
      <c r="BA170" s="243"/>
      <c r="BB170" s="194" t="n">
        <v>-0.718</v>
      </c>
      <c r="BC170" s="96"/>
      <c r="BD170" s="39"/>
      <c r="BE170" s="22"/>
      <c r="BF170" s="96"/>
      <c r="BG170" s="22"/>
      <c r="BH170" s="71"/>
      <c r="BI170" s="71"/>
      <c r="BJ170" s="22"/>
      <c r="BK170" s="96"/>
      <c r="BL170" s="22"/>
      <c r="BM170" s="22"/>
      <c r="BN170" s="39"/>
      <c r="BO170" s="39"/>
      <c r="BP170" s="71"/>
      <c r="BQ170" s="22"/>
      <c r="BR170" s="71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</row>
    <row r="171" customFormat="false" ht="12.75" hidden="false" customHeight="false" outlineLevel="0" collapsed="false">
      <c r="A171" s="224" t="n">
        <v>41122</v>
      </c>
      <c r="B171" s="217" t="n">
        <v>3.924</v>
      </c>
      <c r="C171" s="251" t="n">
        <v>-0.718</v>
      </c>
      <c r="D171" s="133" t="n">
        <v>-0.626888751080787</v>
      </c>
      <c r="E171" s="133" t="n">
        <v>-0.647914423908298</v>
      </c>
      <c r="F171" s="226" t="n">
        <v>0.125</v>
      </c>
      <c r="G171" s="227" t="n">
        <v>0.125</v>
      </c>
      <c r="H171" s="227" t="n">
        <v>0.16</v>
      </c>
      <c r="I171" s="228" t="n">
        <v>0.12</v>
      </c>
      <c r="J171" s="227" t="n">
        <v>0.04</v>
      </c>
      <c r="K171" s="227" t="n">
        <v>0.11</v>
      </c>
      <c r="L171" s="227" t="n">
        <v>0.48</v>
      </c>
      <c r="M171" s="226" t="n">
        <v>-0.27</v>
      </c>
      <c r="N171" s="227" t="n">
        <v>0.43</v>
      </c>
      <c r="O171" s="228" t="n">
        <v>0</v>
      </c>
      <c r="P171" s="183" t="n">
        <v>-0.1</v>
      </c>
      <c r="Q171" s="160" t="n">
        <v>0.1625</v>
      </c>
      <c r="R171" s="232" t="n">
        <v>0.17</v>
      </c>
      <c r="S171" s="139" t="n">
        <v>0.17</v>
      </c>
      <c r="T171" s="56" t="n">
        <v>0.55</v>
      </c>
      <c r="U171" s="248" t="n">
        <v>0.17</v>
      </c>
      <c r="V171" s="12" t="n">
        <v>3.206</v>
      </c>
      <c r="W171" s="12" t="n">
        <v>3.29711124891921</v>
      </c>
      <c r="X171" s="142" t="n">
        <v>3.2760855760917</v>
      </c>
      <c r="Y171" s="13"/>
      <c r="Z171" s="221" t="n">
        <v>0.13</v>
      </c>
      <c r="AA171" s="237" t="n">
        <v>0.1</v>
      </c>
      <c r="AB171" s="242" t="n">
        <v>4.57440771522681</v>
      </c>
      <c r="AC171" s="90" t="n">
        <v>4.70440771522681</v>
      </c>
      <c r="AD171" s="142" t="n">
        <v>4.67440771522681</v>
      </c>
      <c r="AE171" s="182" t="n">
        <v>3.824</v>
      </c>
      <c r="AF171" s="78" t="n">
        <v>3.654</v>
      </c>
      <c r="AG171" s="147" t="n">
        <v>3.924</v>
      </c>
      <c r="AH171" s="185" t="n">
        <v>-0.1</v>
      </c>
      <c r="AI171" s="223" t="n">
        <v>1.50538250355469</v>
      </c>
      <c r="AJ171" s="37" t="n">
        <v>0.0618272049637709</v>
      </c>
      <c r="AK171" s="37" t="n">
        <v>0.0625415472664206</v>
      </c>
      <c r="AL171" s="39" t="n">
        <v>0.50881267041388</v>
      </c>
      <c r="AM171" s="149" t="n">
        <v>0.504916078858269</v>
      </c>
      <c r="AN171" s="129" t="n">
        <v>0.125</v>
      </c>
      <c r="AO171" s="150" t="n">
        <v>0.12</v>
      </c>
      <c r="AP171" s="22"/>
      <c r="AQ171" s="129" t="n">
        <v>-3.88394371878843</v>
      </c>
      <c r="AR171" s="151" t="n">
        <v>-3.16594371878843</v>
      </c>
      <c r="AS171" s="22"/>
      <c r="AT171" s="5" t="n">
        <v>0.0075</v>
      </c>
      <c r="AU171" s="22"/>
      <c r="AV171" s="129" t="n">
        <v>0.0025</v>
      </c>
      <c r="AW171" s="22"/>
      <c r="AX171" s="22" t="n">
        <v>-0.105</v>
      </c>
      <c r="AY171" s="39"/>
      <c r="AZ171" s="243" t="n">
        <v>0.55</v>
      </c>
      <c r="BA171" s="243"/>
      <c r="BB171" s="194" t="n">
        <v>-0.718</v>
      </c>
      <c r="BC171" s="96"/>
      <c r="BD171" s="39"/>
      <c r="BE171" s="22"/>
      <c r="BF171" s="96"/>
      <c r="BG171" s="22"/>
      <c r="BH171" s="71"/>
      <c r="BI171" s="71"/>
      <c r="BJ171" s="22"/>
      <c r="BK171" s="96"/>
      <c r="BL171" s="22"/>
      <c r="BM171" s="22"/>
      <c r="BN171" s="39"/>
      <c r="BO171" s="39"/>
      <c r="BP171" s="71"/>
      <c r="BQ171" s="22"/>
      <c r="BR171" s="71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</row>
    <row r="172" customFormat="false" ht="12.75" hidden="false" customHeight="false" outlineLevel="0" collapsed="false">
      <c r="A172" s="224" t="n">
        <v>41153</v>
      </c>
      <c r="B172" s="217" t="n">
        <v>3.939</v>
      </c>
      <c r="C172" s="251" t="n">
        <v>-0.718</v>
      </c>
      <c r="D172" s="133" t="n">
        <v>-0.626890502776859</v>
      </c>
      <c r="E172" s="133" t="n">
        <v>-0.647915771366815</v>
      </c>
      <c r="F172" s="226" t="n">
        <v>0.125</v>
      </c>
      <c r="G172" s="227" t="n">
        <v>0.125</v>
      </c>
      <c r="H172" s="227" t="n">
        <v>0.16</v>
      </c>
      <c r="I172" s="228" t="n">
        <v>0.12</v>
      </c>
      <c r="J172" s="227" t="n">
        <v>0.04</v>
      </c>
      <c r="K172" s="227" t="n">
        <v>0.11</v>
      </c>
      <c r="L172" s="227" t="n">
        <v>0.44</v>
      </c>
      <c r="M172" s="226" t="n">
        <v>-0.27</v>
      </c>
      <c r="N172" s="227" t="n">
        <v>0.43</v>
      </c>
      <c r="O172" s="228" t="n">
        <v>0</v>
      </c>
      <c r="P172" s="183" t="n">
        <v>-0.1</v>
      </c>
      <c r="Q172" s="160" t="n">
        <v>0.1625</v>
      </c>
      <c r="R172" s="232" t="n">
        <v>0.17</v>
      </c>
      <c r="S172" s="139" t="n">
        <v>0.17</v>
      </c>
      <c r="T172" s="56" t="n">
        <v>0.55</v>
      </c>
      <c r="U172" s="248" t="n">
        <v>0.17</v>
      </c>
      <c r="V172" s="12" t="n">
        <v>3.221</v>
      </c>
      <c r="W172" s="12" t="n">
        <v>3.31210949722314</v>
      </c>
      <c r="X172" s="142" t="n">
        <v>3.29108422863319</v>
      </c>
      <c r="Y172" s="13"/>
      <c r="Z172" s="221" t="n">
        <v>0.13</v>
      </c>
      <c r="AA172" s="237" t="n">
        <v>0.1</v>
      </c>
      <c r="AB172" s="242" t="n">
        <v>4.59589848217985</v>
      </c>
      <c r="AC172" s="90" t="n">
        <v>4.72589848217985</v>
      </c>
      <c r="AD172" s="142" t="n">
        <v>4.69589848217985</v>
      </c>
      <c r="AE172" s="182" t="n">
        <v>3.839</v>
      </c>
      <c r="AF172" s="78" t="n">
        <v>3.669</v>
      </c>
      <c r="AG172" s="147" t="n">
        <v>3.939</v>
      </c>
      <c r="AH172" s="185" t="n">
        <v>-0.1</v>
      </c>
      <c r="AI172" s="223" t="n">
        <v>1.50541144644978</v>
      </c>
      <c r="AJ172" s="37" t="n">
        <v>0.061867898933031</v>
      </c>
      <c r="AK172" s="37" t="n">
        <v>0.0625750587385019</v>
      </c>
      <c r="AL172" s="39" t="n">
        <v>0.505966539765262</v>
      </c>
      <c r="AM172" s="149" t="n">
        <v>0.502101397813589</v>
      </c>
      <c r="AN172" s="129" t="n">
        <v>0.125</v>
      </c>
      <c r="AO172" s="150" t="n">
        <v>0.124</v>
      </c>
      <c r="AP172" s="22"/>
      <c r="AQ172" s="129" t="n">
        <v>-3.89894506568373</v>
      </c>
      <c r="AR172" s="151" t="n">
        <v>-3.18094506568373</v>
      </c>
      <c r="AS172" s="22"/>
      <c r="AT172" s="5" t="n">
        <v>0.0075</v>
      </c>
      <c r="AU172" s="22"/>
      <c r="AV172" s="129" t="n">
        <v>0.0025</v>
      </c>
      <c r="AW172" s="22"/>
      <c r="AX172" s="22" t="n">
        <v>-0.105</v>
      </c>
      <c r="AY172" s="39"/>
      <c r="AZ172" s="243" t="n">
        <v>0.55</v>
      </c>
      <c r="BA172" s="243"/>
      <c r="BB172" s="194" t="n">
        <v>-0.718</v>
      </c>
      <c r="BC172" s="96"/>
      <c r="BD172" s="39"/>
      <c r="BE172" s="22"/>
      <c r="BF172" s="96"/>
      <c r="BG172" s="22"/>
      <c r="BH172" s="71"/>
      <c r="BI172" s="71"/>
      <c r="BJ172" s="22"/>
      <c r="BK172" s="96"/>
      <c r="BL172" s="22"/>
      <c r="BM172" s="22"/>
      <c r="BN172" s="39"/>
      <c r="BO172" s="39"/>
      <c r="BP172" s="71"/>
      <c r="BQ172" s="22"/>
      <c r="BR172" s="71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</row>
    <row r="173" customFormat="false" ht="12.75" hidden="false" customHeight="false" outlineLevel="0" collapsed="false">
      <c r="A173" s="224" t="n">
        <v>41183</v>
      </c>
      <c r="B173" s="217" t="n">
        <v>3.968</v>
      </c>
      <c r="C173" s="251" t="n">
        <v>-0.718</v>
      </c>
      <c r="D173" s="133" t="n">
        <v>-0.626892300443926</v>
      </c>
      <c r="E173" s="133" t="n">
        <v>-0.647917154187636</v>
      </c>
      <c r="F173" s="226" t="n">
        <v>0.125</v>
      </c>
      <c r="G173" s="227" t="n">
        <v>0.125</v>
      </c>
      <c r="H173" s="227" t="n">
        <v>0.16</v>
      </c>
      <c r="I173" s="228" t="n">
        <v>0.12</v>
      </c>
      <c r="J173" s="227" t="n">
        <v>0.04</v>
      </c>
      <c r="K173" s="227" t="n">
        <v>0.11</v>
      </c>
      <c r="L173" s="227" t="n">
        <v>0.45</v>
      </c>
      <c r="M173" s="226" t="n">
        <v>-0.27</v>
      </c>
      <c r="N173" s="227" t="n">
        <v>0.43</v>
      </c>
      <c r="O173" s="228" t="n">
        <v>0</v>
      </c>
      <c r="P173" s="183" t="n">
        <v>-0.1</v>
      </c>
      <c r="Q173" s="160" t="n">
        <v>0.1625</v>
      </c>
      <c r="R173" s="232" t="n">
        <v>0.17</v>
      </c>
      <c r="S173" s="139" t="n">
        <v>0.17</v>
      </c>
      <c r="T173" s="56" t="n">
        <v>0.6</v>
      </c>
      <c r="U173" s="248" t="n">
        <v>0.17</v>
      </c>
      <c r="V173" s="12" t="n">
        <v>3.25</v>
      </c>
      <c r="W173" s="12" t="n">
        <v>3.34110769955607</v>
      </c>
      <c r="X173" s="142" t="n">
        <v>3.32008284581236</v>
      </c>
      <c r="Y173" s="13"/>
      <c r="Z173" s="221" t="n">
        <v>0.13</v>
      </c>
      <c r="AA173" s="237" t="n">
        <v>0.1</v>
      </c>
      <c r="AB173" s="242" t="n">
        <v>4.63736876310837</v>
      </c>
      <c r="AC173" s="90" t="n">
        <v>4.76736876310837</v>
      </c>
      <c r="AD173" s="142" t="n">
        <v>4.73736876310837</v>
      </c>
      <c r="AE173" s="182" t="n">
        <v>3.868</v>
      </c>
      <c r="AF173" s="78" t="n">
        <v>3.698</v>
      </c>
      <c r="AG173" s="147" t="n">
        <v>3.968</v>
      </c>
      <c r="AH173" s="185" t="n">
        <v>-0.1</v>
      </c>
      <c r="AI173" s="223" t="n">
        <v>1.50544115007079</v>
      </c>
      <c r="AJ173" s="37" t="n">
        <v>0.0619072801941294</v>
      </c>
      <c r="AK173" s="37" t="n">
        <v>0.0626074891957096</v>
      </c>
      <c r="AL173" s="39" t="n">
        <v>0.5032241727135</v>
      </c>
      <c r="AM173" s="149" t="n">
        <v>0.499389833429951</v>
      </c>
      <c r="AN173" s="129" t="n">
        <v>0.125</v>
      </c>
      <c r="AO173" s="150" t="n">
        <v>0.12</v>
      </c>
      <c r="AP173" s="22"/>
      <c r="AQ173" s="129" t="n">
        <v>-3.92794644792655</v>
      </c>
      <c r="AR173" s="151" t="n">
        <v>-3.20994644792655</v>
      </c>
      <c r="AS173" s="22"/>
      <c r="AT173" s="5" t="n">
        <v>0.0075</v>
      </c>
      <c r="AU173" s="22"/>
      <c r="AV173" s="129" t="n">
        <v>0.0025</v>
      </c>
      <c r="AW173" s="22"/>
      <c r="AX173" s="22" t="n">
        <v>-0.105</v>
      </c>
      <c r="AY173" s="39"/>
      <c r="AZ173" s="243" t="n">
        <v>0.6</v>
      </c>
      <c r="BA173" s="243"/>
      <c r="BB173" s="194" t="n">
        <v>-0.718</v>
      </c>
      <c r="BC173" s="96"/>
      <c r="BD173" s="39"/>
      <c r="BE173" s="22"/>
      <c r="BF173" s="96"/>
      <c r="BG173" s="22"/>
      <c r="BH173" s="71"/>
      <c r="BI173" s="71"/>
      <c r="BJ173" s="22"/>
      <c r="BK173" s="96"/>
      <c r="BL173" s="22"/>
      <c r="BM173" s="22"/>
      <c r="BN173" s="39"/>
      <c r="BO173" s="39"/>
      <c r="BP173" s="71"/>
      <c r="BQ173" s="22"/>
      <c r="BR173" s="71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</row>
    <row r="174" customFormat="false" ht="12.75" hidden="false" customHeight="false" outlineLevel="0" collapsed="false">
      <c r="A174" s="216" t="n">
        <v>41214</v>
      </c>
      <c r="B174" s="217" t="n">
        <v>4.108</v>
      </c>
      <c r="C174" s="252" t="n">
        <v>-0.658</v>
      </c>
      <c r="D174" s="133" t="n">
        <v>-0.566894263914395</v>
      </c>
      <c r="E174" s="133" t="n">
        <v>-0.11</v>
      </c>
      <c r="F174" s="226" t="n">
        <v>0.185</v>
      </c>
      <c r="G174" s="227" t="n">
        <v>0.355</v>
      </c>
      <c r="H174" s="227" t="n">
        <v>0.305</v>
      </c>
      <c r="I174" s="228" t="n">
        <v>0.405</v>
      </c>
      <c r="J174" s="227" t="n">
        <v>0.14</v>
      </c>
      <c r="K174" s="227" t="n">
        <v>0.17</v>
      </c>
      <c r="L174" s="227" t="n">
        <v>0.73</v>
      </c>
      <c r="M174" s="226" t="n">
        <v>-0.15</v>
      </c>
      <c r="N174" s="227" t="n">
        <v>0.35</v>
      </c>
      <c r="O174" s="228" t="n">
        <v>0</v>
      </c>
      <c r="P174" s="183" t="n">
        <v>0.248</v>
      </c>
      <c r="Q174" s="160" t="n">
        <v>0.1625</v>
      </c>
      <c r="R174" s="232" t="n">
        <v>0.17</v>
      </c>
      <c r="S174" s="139" t="n">
        <v>0.17</v>
      </c>
      <c r="T174" s="56" t="n">
        <v>0.8</v>
      </c>
      <c r="U174" s="248" t="n">
        <v>0.17</v>
      </c>
      <c r="V174" s="12" t="n">
        <v>3.45</v>
      </c>
      <c r="W174" s="12" t="n">
        <v>3.54110573608561</v>
      </c>
      <c r="X174" s="142" t="n">
        <v>3.998</v>
      </c>
      <c r="Y174" s="13"/>
      <c r="Z174" s="221" t="n">
        <v>0.13</v>
      </c>
      <c r="AA174" s="237" t="n">
        <v>0.781948569440914</v>
      </c>
      <c r="AB174" s="242" t="n">
        <v>4.92285139520284</v>
      </c>
      <c r="AC174" s="90" t="n">
        <v>5.05285139520284</v>
      </c>
      <c r="AD174" s="142" t="n">
        <v>5.70479996464375</v>
      </c>
      <c r="AE174" s="182" t="n">
        <v>4.356</v>
      </c>
      <c r="AF174" s="78" t="n">
        <v>3.958</v>
      </c>
      <c r="AG174" s="147" t="n">
        <v>4.108</v>
      </c>
      <c r="AH174" s="185" t="n">
        <v>-0.1</v>
      </c>
      <c r="AI174" s="223" t="n">
        <v>1.50547359467163</v>
      </c>
      <c r="AJ174" s="37" t="n">
        <v>0.0619479741644708</v>
      </c>
      <c r="AK174" s="37" t="n">
        <v>0.0626410006685236</v>
      </c>
      <c r="AL174" s="39" t="n">
        <v>0.500402713266527</v>
      </c>
      <c r="AM174" s="149" t="n">
        <v>0.49660057450547</v>
      </c>
      <c r="AN174" s="129" t="n">
        <v>0.355</v>
      </c>
      <c r="AO174" s="150" t="n">
        <v>0.124</v>
      </c>
      <c r="AP174" s="22"/>
      <c r="AQ174" s="129" t="n">
        <v>-3.59087306192923</v>
      </c>
      <c r="AR174" s="151" t="n">
        <v>-2.93287306192923</v>
      </c>
      <c r="AS174" s="22"/>
      <c r="AT174" s="5" t="n">
        <v>0.0075</v>
      </c>
      <c r="AU174" s="22"/>
      <c r="AV174" s="129" t="n">
        <v>0.008</v>
      </c>
      <c r="AW174" s="22"/>
      <c r="AX174" s="22" t="n">
        <v>0.005</v>
      </c>
      <c r="AY174" s="39"/>
      <c r="AZ174" s="243" t="n">
        <v>0.8</v>
      </c>
      <c r="BA174" s="243"/>
      <c r="BB174" s="194" t="n">
        <v>-0.658</v>
      </c>
      <c r="BC174" s="96"/>
      <c r="BD174" s="39"/>
      <c r="BE174" s="22"/>
      <c r="BF174" s="96"/>
      <c r="BG174" s="22"/>
      <c r="BH174" s="71"/>
      <c r="BI174" s="71"/>
      <c r="BJ174" s="22"/>
      <c r="BK174" s="96"/>
      <c r="BL174" s="22"/>
      <c r="BM174" s="22"/>
      <c r="BN174" s="39"/>
      <c r="BO174" s="39"/>
      <c r="BP174" s="71"/>
      <c r="BQ174" s="22"/>
      <c r="BR174" s="71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</row>
    <row r="175" customFormat="false" ht="12.75" hidden="false" customHeight="false" outlineLevel="0" collapsed="false">
      <c r="A175" s="224" t="n">
        <v>41244</v>
      </c>
      <c r="B175" s="217" t="n">
        <v>4.248</v>
      </c>
      <c r="C175" s="251" t="n">
        <v>-0.658</v>
      </c>
      <c r="D175" s="133" t="n">
        <v>-0.566896266500862</v>
      </c>
      <c r="E175" s="133" t="n">
        <v>-0.11</v>
      </c>
      <c r="F175" s="226" t="n">
        <v>0.185</v>
      </c>
      <c r="G175" s="227" t="n">
        <v>0.355</v>
      </c>
      <c r="H175" s="227" t="n">
        <v>0.305</v>
      </c>
      <c r="I175" s="228" t="n">
        <v>0.405</v>
      </c>
      <c r="J175" s="227" t="n">
        <v>0.14</v>
      </c>
      <c r="K175" s="227" t="n">
        <v>0.17</v>
      </c>
      <c r="L175" s="227" t="n">
        <v>1.14</v>
      </c>
      <c r="M175" s="226" t="n">
        <v>-0.15</v>
      </c>
      <c r="N175" s="227" t="n">
        <v>0.35</v>
      </c>
      <c r="O175" s="228" t="n">
        <v>0</v>
      </c>
      <c r="P175" s="183" t="n">
        <v>0.308</v>
      </c>
      <c r="Q175" s="160" t="n">
        <v>0.1625</v>
      </c>
      <c r="R175" s="232" t="n">
        <v>0.17</v>
      </c>
      <c r="S175" s="139" t="n">
        <v>0.17</v>
      </c>
      <c r="T175" s="56" t="n">
        <v>1</v>
      </c>
      <c r="U175" s="248" t="n">
        <v>0.17</v>
      </c>
      <c r="V175" s="12" t="n">
        <v>3.59</v>
      </c>
      <c r="W175" s="12" t="n">
        <v>3.68110373349914</v>
      </c>
      <c r="X175" s="142" t="n">
        <v>4.138</v>
      </c>
      <c r="Y175" s="13"/>
      <c r="Z175" s="221" t="n">
        <v>0.13</v>
      </c>
      <c r="AA175" s="237" t="n">
        <v>0.781965757755399</v>
      </c>
      <c r="AB175" s="242" t="n">
        <v>5.12273188018593</v>
      </c>
      <c r="AC175" s="90" t="n">
        <v>5.25273188018593</v>
      </c>
      <c r="AD175" s="142" t="n">
        <v>5.90469763794133</v>
      </c>
      <c r="AE175" s="182" t="n">
        <v>4.556</v>
      </c>
      <c r="AF175" s="78" t="n">
        <v>4.098</v>
      </c>
      <c r="AG175" s="147" t="n">
        <v>4.248</v>
      </c>
      <c r="AH175" s="185" t="n">
        <v>-0.1</v>
      </c>
      <c r="AI175" s="223" t="n">
        <v>1.50550668707004</v>
      </c>
      <c r="AJ175" s="37" t="n">
        <v>0.0619873554266159</v>
      </c>
      <c r="AK175" s="37" t="n">
        <v>0.062673431126441</v>
      </c>
      <c r="AL175" s="39" t="n">
        <v>0.497684160827571</v>
      </c>
      <c r="AM175" s="149" t="n">
        <v>0.493913534722971</v>
      </c>
      <c r="AN175" s="129" t="n">
        <v>0.355</v>
      </c>
      <c r="AO175" s="150" t="n">
        <v>0.12</v>
      </c>
      <c r="AP175" s="22"/>
      <c r="AQ175" s="129" t="n">
        <v>-3.73089015244051</v>
      </c>
      <c r="AR175" s="151" t="n">
        <v>-3.07289015244051</v>
      </c>
      <c r="AS175" s="22"/>
      <c r="AT175" s="5" t="n">
        <v>0.0075</v>
      </c>
      <c r="AU175" s="22"/>
      <c r="AV175" s="129" t="n">
        <v>0.008</v>
      </c>
      <c r="AW175" s="22"/>
      <c r="AX175" s="22" t="n">
        <v>0.01</v>
      </c>
      <c r="AY175" s="39"/>
      <c r="AZ175" s="243" t="n">
        <v>1</v>
      </c>
      <c r="BA175" s="243"/>
      <c r="BB175" s="194" t="n">
        <v>-0.658</v>
      </c>
      <c r="BC175" s="96"/>
      <c r="BD175" s="39"/>
      <c r="BE175" s="22"/>
      <c r="BF175" s="96"/>
      <c r="BG175" s="22"/>
      <c r="BH175" s="71"/>
      <c r="BI175" s="71"/>
      <c r="BJ175" s="22"/>
      <c r="BK175" s="96"/>
      <c r="BL175" s="22"/>
      <c r="BM175" s="22"/>
      <c r="BN175" s="39"/>
      <c r="BO175" s="39"/>
      <c r="BP175" s="71"/>
      <c r="BQ175" s="22"/>
      <c r="BR175" s="71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</row>
    <row r="176" customFormat="false" ht="12.75" hidden="false" customHeight="false" outlineLevel="0" collapsed="false">
      <c r="A176" s="224" t="n">
        <v>41275</v>
      </c>
      <c r="B176" s="217" t="n">
        <v>4.358</v>
      </c>
      <c r="C176" s="251" t="n">
        <v>-0.658</v>
      </c>
      <c r="D176" s="133" t="n">
        <v>-0.566898441696297</v>
      </c>
      <c r="E176" s="133" t="n">
        <v>-0.109999999999999</v>
      </c>
      <c r="F176" s="226" t="n">
        <v>0.185</v>
      </c>
      <c r="G176" s="227" t="n">
        <v>0.355</v>
      </c>
      <c r="H176" s="227" t="n">
        <v>0.305</v>
      </c>
      <c r="I176" s="228" t="n">
        <v>0.405</v>
      </c>
      <c r="J176" s="227" t="n">
        <v>0.14</v>
      </c>
      <c r="K176" s="227" t="n">
        <v>0.17</v>
      </c>
      <c r="L176" s="227" t="n">
        <v>1.63</v>
      </c>
      <c r="M176" s="226" t="n">
        <v>-0.15</v>
      </c>
      <c r="N176" s="227" t="n">
        <v>0.35</v>
      </c>
      <c r="O176" s="228" t="n">
        <v>0</v>
      </c>
      <c r="P176" s="183" t="n">
        <v>0.378</v>
      </c>
      <c r="Q176" s="160" t="n">
        <v>0.1625</v>
      </c>
      <c r="R176" s="232" t="n">
        <v>0.17</v>
      </c>
      <c r="S176" s="139" t="n">
        <v>0.17</v>
      </c>
      <c r="T176" s="56" t="n">
        <v>1</v>
      </c>
      <c r="U176" s="248" t="n">
        <v>0.17</v>
      </c>
      <c r="V176" s="12" t="n">
        <v>3.7</v>
      </c>
      <c r="W176" s="12" t="n">
        <v>3.7911015583037</v>
      </c>
      <c r="X176" s="142" t="n">
        <v>4.248</v>
      </c>
      <c r="Y176" s="13"/>
      <c r="Z176" s="221" t="n">
        <v>0.13</v>
      </c>
      <c r="AA176" s="237" t="n">
        <v>0.78198442843875</v>
      </c>
      <c r="AB176" s="242" t="n">
        <v>5.27982187084558</v>
      </c>
      <c r="AC176" s="90" t="n">
        <v>5.40982187084558</v>
      </c>
      <c r="AD176" s="142" t="n">
        <v>6.06180629928433</v>
      </c>
      <c r="AE176" s="182" t="n">
        <v>4.736</v>
      </c>
      <c r="AF176" s="78" t="n">
        <v>4.208</v>
      </c>
      <c r="AG176" s="147" t="n">
        <v>4.358</v>
      </c>
      <c r="AH176" s="185" t="n">
        <v>-0.1</v>
      </c>
      <c r="AI176" s="223" t="n">
        <v>1.5055426334505</v>
      </c>
      <c r="AJ176" s="37" t="n">
        <v>0.0620280493980396</v>
      </c>
      <c r="AK176" s="37" t="n">
        <v>0.0627069425999891</v>
      </c>
      <c r="AL176" s="39" t="n">
        <v>0.494887246910897</v>
      </c>
      <c r="AM176" s="149" t="n">
        <v>0.491149537887473</v>
      </c>
      <c r="AN176" s="129" t="n">
        <v>0.355</v>
      </c>
      <c r="AO176" s="150" t="n">
        <v>0.12</v>
      </c>
      <c r="AP176" s="22"/>
      <c r="AQ176" s="129" t="n">
        <v>-3.84090800751926</v>
      </c>
      <c r="AR176" s="151" t="n">
        <v>-3.18290800751926</v>
      </c>
      <c r="AS176" s="22"/>
      <c r="AT176" s="5" t="n">
        <v>0.0075</v>
      </c>
      <c r="AU176" s="22"/>
      <c r="AV176" s="129" t="n">
        <v>0.008</v>
      </c>
      <c r="AW176" s="22"/>
      <c r="AX176" s="22" t="n">
        <v>0.03</v>
      </c>
      <c r="AY176" s="39"/>
      <c r="AZ176" s="243" t="n">
        <v>1</v>
      </c>
      <c r="BA176" s="243"/>
      <c r="BB176" s="194" t="n">
        <v>-0.658</v>
      </c>
      <c r="BC176" s="96"/>
      <c r="BD176" s="39"/>
      <c r="BE176" s="22"/>
      <c r="BF176" s="96"/>
      <c r="BG176" s="22"/>
      <c r="BH176" s="71"/>
      <c r="BI176" s="71"/>
      <c r="BJ176" s="22"/>
      <c r="BK176" s="96"/>
      <c r="BL176" s="22"/>
      <c r="BM176" s="22"/>
      <c r="BN176" s="39"/>
      <c r="BO176" s="39"/>
      <c r="BP176" s="71"/>
      <c r="BQ176" s="22"/>
      <c r="BR176" s="71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</row>
    <row r="177" customFormat="false" ht="12.75" hidden="false" customHeight="false" outlineLevel="0" collapsed="false">
      <c r="A177" s="224" t="n">
        <v>41306</v>
      </c>
      <c r="B177" s="217" t="n">
        <v>4.24</v>
      </c>
      <c r="C177" s="251" t="n">
        <v>-0.658</v>
      </c>
      <c r="D177" s="133" t="n">
        <v>-0.566900724469797</v>
      </c>
      <c r="E177" s="133" t="n">
        <v>-0.11</v>
      </c>
      <c r="F177" s="226" t="n">
        <v>0.185</v>
      </c>
      <c r="G177" s="227" t="n">
        <v>0.355</v>
      </c>
      <c r="H177" s="227" t="n">
        <v>0.305</v>
      </c>
      <c r="I177" s="228" t="n">
        <v>0.405</v>
      </c>
      <c r="J177" s="227" t="n">
        <v>0.14</v>
      </c>
      <c r="K177" s="227" t="n">
        <v>0.17</v>
      </c>
      <c r="L177" s="227" t="n">
        <v>1.63</v>
      </c>
      <c r="M177" s="226" t="n">
        <v>-0.15</v>
      </c>
      <c r="N177" s="227" t="n">
        <v>0.35</v>
      </c>
      <c r="O177" s="228" t="n">
        <v>0</v>
      </c>
      <c r="P177" s="183" t="n">
        <v>0.248</v>
      </c>
      <c r="Q177" s="160" t="n">
        <v>0.1625</v>
      </c>
      <c r="R177" s="232" t="n">
        <v>0.17</v>
      </c>
      <c r="S177" s="139" t="n">
        <v>0.17</v>
      </c>
      <c r="T177" s="56" t="n">
        <v>1</v>
      </c>
      <c r="U177" s="248" t="n">
        <v>0.17</v>
      </c>
      <c r="V177" s="12" t="n">
        <v>3.582</v>
      </c>
      <c r="W177" s="12" t="n">
        <v>3.6730992755302</v>
      </c>
      <c r="X177" s="142" t="n">
        <v>4.13</v>
      </c>
      <c r="Y177" s="13"/>
      <c r="Z177" s="221" t="n">
        <v>0.13</v>
      </c>
      <c r="AA177" s="237" t="n">
        <v>0.782004023471967</v>
      </c>
      <c r="AB177" s="242" t="n">
        <v>5.11156644539523</v>
      </c>
      <c r="AC177" s="90" t="n">
        <v>5.24156644539523</v>
      </c>
      <c r="AD177" s="142" t="n">
        <v>5.89357046886719</v>
      </c>
      <c r="AE177" s="182" t="n">
        <v>4.488</v>
      </c>
      <c r="AF177" s="78" t="n">
        <v>4.09</v>
      </c>
      <c r="AG177" s="147" t="n">
        <v>4.24</v>
      </c>
      <c r="AH177" s="185" t="n">
        <v>-0.1</v>
      </c>
      <c r="AI177" s="223" t="n">
        <v>1.50558035946759</v>
      </c>
      <c r="AJ177" s="37" t="n">
        <v>0.0620687433700131</v>
      </c>
      <c r="AK177" s="37" t="n">
        <v>0.0627404540739094</v>
      </c>
      <c r="AL177" s="39" t="n">
        <v>0.492102758622023</v>
      </c>
      <c r="AM177" s="149" t="n">
        <v>0.48839831787814</v>
      </c>
      <c r="AN177" s="129" t="n">
        <v>0.355</v>
      </c>
      <c r="AO177" s="150" t="n">
        <v>0.133</v>
      </c>
      <c r="AP177" s="22"/>
      <c r="AQ177" s="129" t="n">
        <v>-3.72292606064941</v>
      </c>
      <c r="AR177" s="151" t="n">
        <v>-3.06492606064941</v>
      </c>
      <c r="AS177" s="22"/>
      <c r="AT177" s="5" t="n">
        <v>0.0075</v>
      </c>
      <c r="AU177" s="22"/>
      <c r="AV177" s="129" t="n">
        <v>0.008</v>
      </c>
      <c r="AW177" s="22"/>
      <c r="AX177" s="22" t="n">
        <v>0.025</v>
      </c>
      <c r="AY177" s="39"/>
      <c r="AZ177" s="243" t="n">
        <v>1</v>
      </c>
      <c r="BA177" s="243"/>
      <c r="BB177" s="194" t="n">
        <v>-0.658</v>
      </c>
      <c r="BC177" s="96"/>
      <c r="BD177" s="39"/>
      <c r="BE177" s="22"/>
      <c r="BF177" s="96"/>
      <c r="BG177" s="22"/>
      <c r="BH177" s="71"/>
      <c r="BI177" s="71"/>
      <c r="BJ177" s="22"/>
      <c r="BK177" s="96"/>
      <c r="BL177" s="22"/>
      <c r="BM177" s="22"/>
      <c r="BN177" s="39"/>
      <c r="BO177" s="39"/>
      <c r="BP177" s="71"/>
      <c r="BQ177" s="22"/>
      <c r="BR177" s="71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</row>
    <row r="178" customFormat="false" ht="12.75" hidden="false" customHeight="false" outlineLevel="0" collapsed="false">
      <c r="A178" s="224" t="n">
        <v>41334</v>
      </c>
      <c r="B178" s="217" t="n">
        <v>4.107</v>
      </c>
      <c r="C178" s="251" t="n">
        <v>-0.658</v>
      </c>
      <c r="D178" s="133" t="n">
        <v>-0.566902878783823</v>
      </c>
      <c r="E178" s="133" t="n">
        <v>-0.11</v>
      </c>
      <c r="F178" s="226" t="n">
        <v>0.185</v>
      </c>
      <c r="G178" s="227" t="n">
        <v>0.355</v>
      </c>
      <c r="H178" s="227" t="n">
        <v>0.305</v>
      </c>
      <c r="I178" s="228" t="n">
        <v>0.405</v>
      </c>
      <c r="J178" s="227" t="n">
        <v>0.14</v>
      </c>
      <c r="K178" s="227" t="n">
        <v>0.17</v>
      </c>
      <c r="L178" s="227" t="n">
        <v>0.72</v>
      </c>
      <c r="M178" s="226" t="n">
        <v>-0.15</v>
      </c>
      <c r="N178" s="227" t="n">
        <v>0.35</v>
      </c>
      <c r="O178" s="228" t="n">
        <v>0</v>
      </c>
      <c r="P178" s="183" t="n">
        <v>0.068</v>
      </c>
      <c r="Q178" s="160" t="n">
        <v>0.1625</v>
      </c>
      <c r="R178" s="232" t="n">
        <v>0.17</v>
      </c>
      <c r="S178" s="139" t="n">
        <v>0.17</v>
      </c>
      <c r="T178" s="56" t="n">
        <v>0.75</v>
      </c>
      <c r="U178" s="248" t="n">
        <v>0.17</v>
      </c>
      <c r="V178" s="12" t="n">
        <v>3.449</v>
      </c>
      <c r="W178" s="12" t="n">
        <v>3.54009712121618</v>
      </c>
      <c r="X178" s="142" t="n">
        <v>3.997</v>
      </c>
      <c r="Y178" s="13"/>
      <c r="Z178" s="221" t="n">
        <v>0.13</v>
      </c>
      <c r="AA178" s="237" t="n">
        <v>0.782022516726348</v>
      </c>
      <c r="AB178" s="242" t="n">
        <v>4.92188989085617</v>
      </c>
      <c r="AC178" s="90" t="n">
        <v>5.05188989085617</v>
      </c>
      <c r="AD178" s="142" t="n">
        <v>5.70391240758252</v>
      </c>
      <c r="AE178" s="182" t="n">
        <v>4.175</v>
      </c>
      <c r="AF178" s="78" t="n">
        <v>3.957</v>
      </c>
      <c r="AG178" s="147" t="n">
        <v>4.107</v>
      </c>
      <c r="AH178" s="185" t="n">
        <v>-0.1</v>
      </c>
      <c r="AI178" s="223" t="n">
        <v>1.50561596424678</v>
      </c>
      <c r="AJ178" s="37" t="n">
        <v>0.062105499216139</v>
      </c>
      <c r="AK178" s="37" t="n">
        <v>0.0627707225022864</v>
      </c>
      <c r="AL178" s="39" t="n">
        <v>0.48959838986922</v>
      </c>
      <c r="AM178" s="149" t="n">
        <v>0.485924292588408</v>
      </c>
      <c r="AN178" s="129" t="n">
        <v>0.355</v>
      </c>
      <c r="AO178" s="150" t="n">
        <v>0.12</v>
      </c>
      <c r="AP178" s="22"/>
      <c r="AQ178" s="129" t="n">
        <v>-3.5899425369088</v>
      </c>
      <c r="AR178" s="151" t="n">
        <v>-2.9319425369088</v>
      </c>
      <c r="AS178" s="22"/>
      <c r="AT178" s="5" t="n">
        <v>0.0075</v>
      </c>
      <c r="AU178" s="22"/>
      <c r="AV178" s="129" t="n">
        <v>0.008</v>
      </c>
      <c r="AW178" s="22"/>
      <c r="AX178" s="22" t="n">
        <v>0.005</v>
      </c>
      <c r="AY178" s="39"/>
      <c r="AZ178" s="243" t="n">
        <v>0.75</v>
      </c>
      <c r="BA178" s="243"/>
      <c r="BB178" s="194" t="n">
        <v>-0.658</v>
      </c>
      <c r="BC178" s="96"/>
      <c r="BD178" s="39"/>
      <c r="BE178" s="22"/>
      <c r="BF178" s="96"/>
      <c r="BG178" s="22"/>
      <c r="BH178" s="71"/>
      <c r="BI178" s="71"/>
      <c r="BJ178" s="22"/>
      <c r="BK178" s="96"/>
      <c r="BL178" s="22"/>
      <c r="BM178" s="22"/>
      <c r="BN178" s="39"/>
      <c r="BO178" s="39"/>
      <c r="BP178" s="71"/>
      <c r="BQ178" s="22"/>
      <c r="BR178" s="71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</row>
    <row r="179" customFormat="false" ht="12.75" hidden="false" customHeight="false" outlineLevel="0" collapsed="false">
      <c r="A179" s="224" t="n">
        <v>41365</v>
      </c>
      <c r="B179" s="217" t="n">
        <v>3.887</v>
      </c>
      <c r="C179" s="252" t="n">
        <v>-0.758</v>
      </c>
      <c r="D179" s="133" t="n">
        <v>-0.666905366263966</v>
      </c>
      <c r="E179" s="133" t="n">
        <v>-0.687927204818435</v>
      </c>
      <c r="F179" s="226" t="n">
        <v>0.125</v>
      </c>
      <c r="G179" s="227" t="n">
        <v>0.125</v>
      </c>
      <c r="H179" s="227" t="n">
        <v>0.16</v>
      </c>
      <c r="I179" s="228" t="n">
        <v>0.12</v>
      </c>
      <c r="J179" s="227" t="n">
        <v>0.04</v>
      </c>
      <c r="K179" s="227" t="n">
        <v>0.11</v>
      </c>
      <c r="L179" s="227" t="n">
        <v>0.48</v>
      </c>
      <c r="M179" s="226" t="n">
        <v>-0.22</v>
      </c>
      <c r="N179" s="227" t="n">
        <v>0.43</v>
      </c>
      <c r="O179" s="228" t="n">
        <v>0</v>
      </c>
      <c r="P179" s="183" t="n">
        <v>-0.25</v>
      </c>
      <c r="Q179" s="160" t="n">
        <v>0.1625</v>
      </c>
      <c r="R179" s="232" t="n">
        <v>0.17</v>
      </c>
      <c r="S179" s="139" t="n">
        <v>0.17</v>
      </c>
      <c r="T179" s="56" t="n">
        <v>0.4</v>
      </c>
      <c r="U179" s="248" t="n">
        <v>0.17</v>
      </c>
      <c r="V179" s="12" t="n">
        <v>3.129</v>
      </c>
      <c r="W179" s="12" t="n">
        <v>3.22009463373603</v>
      </c>
      <c r="X179" s="142" t="n">
        <v>3.19907279518156</v>
      </c>
      <c r="Y179" s="13"/>
      <c r="Z179" s="221" t="n">
        <v>0.13</v>
      </c>
      <c r="AA179" s="237" t="n">
        <v>0.1</v>
      </c>
      <c r="AB179" s="242" t="n">
        <v>4.4653563367816</v>
      </c>
      <c r="AC179" s="90" t="n">
        <v>4.5953563367816</v>
      </c>
      <c r="AD179" s="142" t="n">
        <v>4.5653563367816</v>
      </c>
      <c r="AE179" s="182" t="n">
        <v>3.637</v>
      </c>
      <c r="AF179" s="78" t="n">
        <v>3.667</v>
      </c>
      <c r="AG179" s="147" t="n">
        <v>3.887</v>
      </c>
      <c r="AH179" s="185" t="n">
        <v>-0.1</v>
      </c>
      <c r="AI179" s="223" t="n">
        <v>1.50565707742392</v>
      </c>
      <c r="AJ179" s="37" t="n">
        <v>0.0621461931891583</v>
      </c>
      <c r="AK179" s="37" t="n">
        <v>0.0628042339769164</v>
      </c>
      <c r="AL179" s="39" t="n">
        <v>0.486837460071068</v>
      </c>
      <c r="AM179" s="149" t="n">
        <v>0.483197275748903</v>
      </c>
      <c r="AN179" s="129" t="n">
        <v>0.125</v>
      </c>
      <c r="AO179" s="150" t="n">
        <v>0.124</v>
      </c>
      <c r="AP179" s="22"/>
      <c r="AQ179" s="129" t="n">
        <v>-3.84695649435631</v>
      </c>
      <c r="AR179" s="151" t="n">
        <v>-3.08895649435631</v>
      </c>
      <c r="AS179" s="22"/>
      <c r="AT179" s="5" t="n">
        <v>0.0075</v>
      </c>
      <c r="AU179" s="22"/>
      <c r="AV179" s="129" t="n">
        <v>0.0025</v>
      </c>
      <c r="AW179" s="22"/>
      <c r="AX179" s="22" t="n">
        <v>-0.105</v>
      </c>
      <c r="AY179" s="39"/>
      <c r="AZ179" s="243" t="n">
        <v>0.4</v>
      </c>
      <c r="BA179" s="243"/>
      <c r="BB179" s="194" t="n">
        <v>-0.758</v>
      </c>
      <c r="BC179" s="96"/>
      <c r="BD179" s="39"/>
      <c r="BE179" s="22"/>
      <c r="BF179" s="96"/>
      <c r="BG179" s="22"/>
      <c r="BH179" s="71"/>
      <c r="BI179" s="71"/>
      <c r="BJ179" s="22"/>
      <c r="BK179" s="96"/>
      <c r="BL179" s="22"/>
      <c r="BM179" s="22"/>
      <c r="BN179" s="39"/>
      <c r="BO179" s="39"/>
      <c r="BP179" s="71"/>
      <c r="BQ179" s="22"/>
      <c r="BR179" s="71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</row>
    <row r="180" customFormat="false" ht="12.75" hidden="false" customHeight="false" outlineLevel="0" collapsed="false">
      <c r="A180" s="224" t="n">
        <v>41395</v>
      </c>
      <c r="B180" s="217" t="n">
        <v>3.877</v>
      </c>
      <c r="C180" s="251" t="n">
        <v>-0.758</v>
      </c>
      <c r="D180" s="133" t="n">
        <v>-0.666907875892204</v>
      </c>
      <c r="E180" s="133" t="n">
        <v>-0.687929135301696</v>
      </c>
      <c r="F180" s="226" t="n">
        <v>0.125</v>
      </c>
      <c r="G180" s="227" t="n">
        <v>0.125</v>
      </c>
      <c r="H180" s="227" t="n">
        <v>0.16</v>
      </c>
      <c r="I180" s="228" t="n">
        <v>0.12</v>
      </c>
      <c r="J180" s="227" t="n">
        <v>0.04</v>
      </c>
      <c r="K180" s="227" t="n">
        <v>0.11</v>
      </c>
      <c r="L180" s="227" t="n">
        <v>0.42</v>
      </c>
      <c r="M180" s="226" t="n">
        <v>-0.27</v>
      </c>
      <c r="N180" s="227" t="n">
        <v>0.43</v>
      </c>
      <c r="O180" s="228" t="n">
        <v>0</v>
      </c>
      <c r="P180" s="183" t="n">
        <v>-0.1</v>
      </c>
      <c r="Q180" s="160" t="n">
        <v>0.1625</v>
      </c>
      <c r="R180" s="232" t="n">
        <v>0.17</v>
      </c>
      <c r="S180" s="139" t="n">
        <v>0.17</v>
      </c>
      <c r="T180" s="56" t="n">
        <v>0.45</v>
      </c>
      <c r="U180" s="248" t="n">
        <v>0.17</v>
      </c>
      <c r="V180" s="12" t="n">
        <v>3.119</v>
      </c>
      <c r="W180" s="12" t="n">
        <v>3.2100921241078</v>
      </c>
      <c r="X180" s="142" t="n">
        <v>3.1890708646983</v>
      </c>
      <c r="Y180" s="13"/>
      <c r="Z180" s="221" t="n">
        <v>0.13</v>
      </c>
      <c r="AA180" s="237" t="n">
        <v>0.1</v>
      </c>
      <c r="AB180" s="242" t="n">
        <v>4.45120809259184</v>
      </c>
      <c r="AC180" s="90" t="n">
        <v>4.58120809259184</v>
      </c>
      <c r="AD180" s="142" t="n">
        <v>4.55120809259184</v>
      </c>
      <c r="AE180" s="182" t="n">
        <v>3.777</v>
      </c>
      <c r="AF180" s="78" t="n">
        <v>3.607</v>
      </c>
      <c r="AG180" s="147" t="n">
        <v>3.877</v>
      </c>
      <c r="AH180" s="185" t="n">
        <v>-0.1</v>
      </c>
      <c r="AI180" s="223" t="n">
        <v>1.50569855894119</v>
      </c>
      <c r="AJ180" s="37" t="n">
        <v>0.0621855744538946</v>
      </c>
      <c r="AK180" s="37" t="n">
        <v>0.0628366644365901</v>
      </c>
      <c r="AL180" s="39" t="n">
        <v>0.484177333261785</v>
      </c>
      <c r="AM180" s="149" t="n">
        <v>0.480570278816256</v>
      </c>
      <c r="AN180" s="129" t="n">
        <v>0.125</v>
      </c>
      <c r="AO180" s="150" t="n">
        <v>0.12</v>
      </c>
      <c r="AP180" s="22"/>
      <c r="AQ180" s="129" t="n">
        <v>-3.83695842403266</v>
      </c>
      <c r="AR180" s="151" t="n">
        <v>-3.07895842403266</v>
      </c>
      <c r="AS180" s="22"/>
      <c r="AT180" s="5" t="n">
        <v>0.0075</v>
      </c>
      <c r="AU180" s="22"/>
      <c r="AV180" s="129" t="n">
        <v>0.0025</v>
      </c>
      <c r="AW180" s="22"/>
      <c r="AX180" s="22" t="n">
        <v>-0.105</v>
      </c>
      <c r="AY180" s="39"/>
      <c r="AZ180" s="243" t="n">
        <v>0.45</v>
      </c>
      <c r="BA180" s="243"/>
      <c r="BB180" s="194" t="n">
        <v>-0.758</v>
      </c>
      <c r="BC180" s="96"/>
      <c r="BD180" s="39"/>
      <c r="BE180" s="22"/>
      <c r="BF180" s="96"/>
      <c r="BG180" s="22"/>
      <c r="BH180" s="71"/>
      <c r="BI180" s="71"/>
      <c r="BJ180" s="22"/>
      <c r="BK180" s="96"/>
      <c r="BL180" s="22"/>
      <c r="BM180" s="22"/>
      <c r="BN180" s="39"/>
      <c r="BO180" s="39"/>
      <c r="BP180" s="71"/>
      <c r="BQ180" s="22"/>
      <c r="BR180" s="71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</row>
    <row r="181" customFormat="false" ht="12.75" hidden="false" customHeight="false" outlineLevel="0" collapsed="false">
      <c r="A181" s="224" t="n">
        <v>41426</v>
      </c>
      <c r="B181" s="217" t="n">
        <v>3.913</v>
      </c>
      <c r="C181" s="251" t="n">
        <v>-0.758</v>
      </c>
      <c r="D181" s="133" t="n">
        <v>-0.666910574962498</v>
      </c>
      <c r="E181" s="133" t="n">
        <v>-0.687931211509614</v>
      </c>
      <c r="F181" s="226" t="n">
        <v>0.125</v>
      </c>
      <c r="G181" s="227" t="n">
        <v>0.125</v>
      </c>
      <c r="H181" s="227" t="n">
        <v>0.16</v>
      </c>
      <c r="I181" s="228" t="n">
        <v>0.12</v>
      </c>
      <c r="J181" s="227" t="n">
        <v>0.04</v>
      </c>
      <c r="K181" s="227" t="n">
        <v>0.11</v>
      </c>
      <c r="L181" s="227" t="n">
        <v>0.42</v>
      </c>
      <c r="M181" s="226" t="n">
        <v>-0.27</v>
      </c>
      <c r="N181" s="227" t="n">
        <v>0.43</v>
      </c>
      <c r="O181" s="228" t="n">
        <v>0</v>
      </c>
      <c r="P181" s="183" t="n">
        <v>-0.1</v>
      </c>
      <c r="Q181" s="160" t="n">
        <v>0.1625</v>
      </c>
      <c r="R181" s="232" t="n">
        <v>0.17</v>
      </c>
      <c r="S181" s="139" t="n">
        <v>0.17</v>
      </c>
      <c r="T181" s="56" t="n">
        <v>0.45</v>
      </c>
      <c r="U181" s="248" t="n">
        <v>0.17</v>
      </c>
      <c r="V181" s="12" t="n">
        <v>3.155</v>
      </c>
      <c r="W181" s="12" t="n">
        <v>3.2460894250375</v>
      </c>
      <c r="X181" s="142" t="n">
        <v>3.22506878849039</v>
      </c>
      <c r="Y181" s="13"/>
      <c r="Z181" s="221" t="n">
        <v>0.13</v>
      </c>
      <c r="AA181" s="237" t="n">
        <v>0.1</v>
      </c>
      <c r="AB181" s="242" t="n">
        <v>4.50271806887724</v>
      </c>
      <c r="AC181" s="90" t="n">
        <v>4.63271806887724</v>
      </c>
      <c r="AD181" s="142" t="n">
        <v>4.60271806887724</v>
      </c>
      <c r="AE181" s="182" t="n">
        <v>3.813</v>
      </c>
      <c r="AF181" s="78" t="n">
        <v>3.643</v>
      </c>
      <c r="AG181" s="147" t="n">
        <v>3.913</v>
      </c>
      <c r="AH181" s="185" t="n">
        <v>-0.1</v>
      </c>
      <c r="AI181" s="223" t="n">
        <v>1.50574317428759</v>
      </c>
      <c r="AJ181" s="37" t="n">
        <v>0.0622262684279957</v>
      </c>
      <c r="AK181" s="37" t="n">
        <v>0.0628701759119532</v>
      </c>
      <c r="AL181" s="39" t="n">
        <v>0.481440635685196</v>
      </c>
      <c r="AM181" s="149" t="n">
        <v>0.477868128548227</v>
      </c>
      <c r="AN181" s="129" t="n">
        <v>0.125</v>
      </c>
      <c r="AO181" s="150" t="n">
        <v>0.124</v>
      </c>
      <c r="AP181" s="22"/>
      <c r="AQ181" s="129" t="n">
        <v>-3.87296049937275</v>
      </c>
      <c r="AR181" s="151" t="n">
        <v>-3.11496049937275</v>
      </c>
      <c r="AS181" s="22"/>
      <c r="AT181" s="5" t="n">
        <v>0.0075</v>
      </c>
      <c r="AU181" s="22"/>
      <c r="AV181" s="129" t="n">
        <v>0.0025</v>
      </c>
      <c r="AW181" s="22"/>
      <c r="AX181" s="22" t="n">
        <v>-0.105</v>
      </c>
      <c r="AY181" s="39"/>
      <c r="AZ181" s="243" t="n">
        <v>0.45</v>
      </c>
      <c r="BA181" s="243"/>
      <c r="BB181" s="194" t="n">
        <v>-0.758</v>
      </c>
      <c r="BC181" s="96"/>
      <c r="BD181" s="39"/>
      <c r="BE181" s="22"/>
      <c r="BF181" s="96"/>
      <c r="BG181" s="22"/>
      <c r="BH181" s="71"/>
      <c r="BI181" s="71"/>
      <c r="BJ181" s="22"/>
      <c r="BK181" s="96"/>
      <c r="BL181" s="22"/>
      <c r="BM181" s="22"/>
      <c r="BN181" s="39"/>
      <c r="BO181" s="39"/>
      <c r="BP181" s="71"/>
      <c r="BQ181" s="22"/>
      <c r="BR181" s="71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</row>
    <row r="182" customFormat="false" ht="12.75" hidden="false" customHeight="false" outlineLevel="0" collapsed="false">
      <c r="A182" s="224" t="n">
        <v>41456</v>
      </c>
      <c r="B182" s="217" t="n">
        <v>3.955</v>
      </c>
      <c r="C182" s="251" t="n">
        <v>-0.758</v>
      </c>
      <c r="D182" s="133" t="n">
        <v>-0.666913289326964</v>
      </c>
      <c r="E182" s="133" t="n">
        <v>-0.68793329948228</v>
      </c>
      <c r="F182" s="226" t="n">
        <v>0.125</v>
      </c>
      <c r="G182" s="227" t="n">
        <v>0.125</v>
      </c>
      <c r="H182" s="227" t="n">
        <v>0.16</v>
      </c>
      <c r="I182" s="228" t="n">
        <v>0.12</v>
      </c>
      <c r="J182" s="227" t="n">
        <v>0.04</v>
      </c>
      <c r="K182" s="227" t="n">
        <v>0.11</v>
      </c>
      <c r="L182" s="227" t="n">
        <v>0.48</v>
      </c>
      <c r="M182" s="226" t="n">
        <v>-0.27</v>
      </c>
      <c r="N182" s="227" t="n">
        <v>0.43</v>
      </c>
      <c r="O182" s="228" t="n">
        <v>0</v>
      </c>
      <c r="P182" s="183" t="n">
        <v>-0.1</v>
      </c>
      <c r="Q182" s="160" t="n">
        <v>0.1625</v>
      </c>
      <c r="R182" s="232" t="n">
        <v>0.17</v>
      </c>
      <c r="S182" s="139" t="n">
        <v>0.17</v>
      </c>
      <c r="T182" s="56" t="n">
        <v>0.5</v>
      </c>
      <c r="U182" s="248" t="n">
        <v>0.17</v>
      </c>
      <c r="V182" s="12" t="n">
        <v>3.197</v>
      </c>
      <c r="W182" s="12" t="n">
        <v>3.28808671067304</v>
      </c>
      <c r="X182" s="142" t="n">
        <v>3.26706670051772</v>
      </c>
      <c r="Y182" s="13"/>
      <c r="Z182" s="221" t="n">
        <v>0.13</v>
      </c>
      <c r="AA182" s="237" t="n">
        <v>0.1</v>
      </c>
      <c r="AB182" s="242" t="n">
        <v>4.562795131464</v>
      </c>
      <c r="AC182" s="90" t="n">
        <v>4.692795131464</v>
      </c>
      <c r="AD182" s="142" t="n">
        <v>4.662795131464</v>
      </c>
      <c r="AE182" s="182" t="n">
        <v>3.855</v>
      </c>
      <c r="AF182" s="78" t="n">
        <v>3.685</v>
      </c>
      <c r="AG182" s="147" t="n">
        <v>3.955</v>
      </c>
      <c r="AH182" s="185" t="n">
        <v>-0.1</v>
      </c>
      <c r="AI182" s="223" t="n">
        <v>1.50578804511163</v>
      </c>
      <c r="AJ182" s="37" t="n">
        <v>0.0622656496937779</v>
      </c>
      <c r="AK182" s="37" t="n">
        <v>0.0629026063723361</v>
      </c>
      <c r="AL182" s="39" t="n">
        <v>0.478803897816874</v>
      </c>
      <c r="AM182" s="149" t="n">
        <v>0.47526511884344</v>
      </c>
      <c r="AN182" s="129" t="n">
        <v>0.125</v>
      </c>
      <c r="AO182" s="150" t="n">
        <v>0.12</v>
      </c>
      <c r="AP182" s="22"/>
      <c r="AQ182" s="129" t="n">
        <v>-3.91496258647267</v>
      </c>
      <c r="AR182" s="151" t="n">
        <v>-3.15696258647267</v>
      </c>
      <c r="AS182" s="22"/>
      <c r="AT182" s="5" t="n">
        <v>0.0075</v>
      </c>
      <c r="AU182" s="22"/>
      <c r="AV182" s="129" t="n">
        <v>0.0025</v>
      </c>
      <c r="AW182" s="22"/>
      <c r="AX182" s="22" t="n">
        <v>-0.105</v>
      </c>
      <c r="AY182" s="39"/>
      <c r="AZ182" s="243" t="n">
        <v>0.5</v>
      </c>
      <c r="BA182" s="243"/>
      <c r="BB182" s="194" t="n">
        <v>-0.758</v>
      </c>
      <c r="BC182" s="96"/>
      <c r="BD182" s="39"/>
      <c r="BE182" s="22"/>
      <c r="BF182" s="96"/>
      <c r="BG182" s="22"/>
      <c r="BH182" s="71"/>
      <c r="BI182" s="71"/>
      <c r="BJ182" s="22"/>
      <c r="BK182" s="96"/>
      <c r="BL182" s="22"/>
      <c r="BM182" s="22"/>
      <c r="BN182" s="39"/>
      <c r="BO182" s="39"/>
      <c r="BP182" s="71"/>
      <c r="BQ182" s="22"/>
      <c r="BR182" s="71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</row>
    <row r="183" customFormat="false" ht="12.75" hidden="false" customHeight="false" outlineLevel="0" collapsed="false">
      <c r="A183" s="224" t="n">
        <v>41487</v>
      </c>
      <c r="B183" s="217" t="n">
        <v>4.004</v>
      </c>
      <c r="C183" s="251" t="n">
        <v>-0.758</v>
      </c>
      <c r="D183" s="133" t="n">
        <v>-0.666916199927916</v>
      </c>
      <c r="E183" s="133" t="n">
        <v>-0.687935538406089</v>
      </c>
      <c r="F183" s="226" t="n">
        <v>0.125</v>
      </c>
      <c r="G183" s="227" t="n">
        <v>0.125</v>
      </c>
      <c r="H183" s="227" t="n">
        <v>0.16</v>
      </c>
      <c r="I183" s="228" t="n">
        <v>0.12</v>
      </c>
      <c r="J183" s="227" t="n">
        <v>0.04</v>
      </c>
      <c r="K183" s="227" t="n">
        <v>0.11</v>
      </c>
      <c r="L183" s="227" t="n">
        <v>0.48</v>
      </c>
      <c r="M183" s="226" t="n">
        <v>-0.27</v>
      </c>
      <c r="N183" s="227" t="n">
        <v>0.43</v>
      </c>
      <c r="O183" s="228" t="n">
        <v>0</v>
      </c>
      <c r="P183" s="183" t="n">
        <v>-0.1</v>
      </c>
      <c r="Q183" s="160" t="n">
        <v>0.1625</v>
      </c>
      <c r="R183" s="232" t="n">
        <v>0.17</v>
      </c>
      <c r="S183" s="139" t="n">
        <v>0.17</v>
      </c>
      <c r="T183" s="56" t="n">
        <v>0.55</v>
      </c>
      <c r="U183" s="248" t="n">
        <v>0.17</v>
      </c>
      <c r="V183" s="12" t="n">
        <v>3.246</v>
      </c>
      <c r="W183" s="12" t="n">
        <v>3.33708380007208</v>
      </c>
      <c r="X183" s="142" t="n">
        <v>3.31606446159391</v>
      </c>
      <c r="Y183" s="13"/>
      <c r="Z183" s="221" t="n">
        <v>0.13</v>
      </c>
      <c r="AA183" s="237" t="n">
        <v>0.1</v>
      </c>
      <c r="AB183" s="242" t="n">
        <v>4.63287653420303</v>
      </c>
      <c r="AC183" s="90" t="n">
        <v>4.76287653420303</v>
      </c>
      <c r="AD183" s="142" t="n">
        <v>4.73287653420303</v>
      </c>
      <c r="AE183" s="182" t="n">
        <v>3.904</v>
      </c>
      <c r="AF183" s="78" t="n">
        <v>3.734</v>
      </c>
      <c r="AG183" s="147" t="n">
        <v>4.004</v>
      </c>
      <c r="AH183" s="185" t="n">
        <v>-0.1</v>
      </c>
      <c r="AI183" s="223" t="n">
        <v>1.50583616286818</v>
      </c>
      <c r="AJ183" s="37" t="n">
        <v>0.0623063436689608</v>
      </c>
      <c r="AK183" s="37" t="n">
        <v>0.0629361178484324</v>
      </c>
      <c r="AL183" s="39" t="n">
        <v>0.476091305045364</v>
      </c>
      <c r="AM183" s="149" t="n">
        <v>0.472587675652219</v>
      </c>
      <c r="AN183" s="129" t="n">
        <v>0.125</v>
      </c>
      <c r="AO183" s="150" t="n">
        <v>0.12</v>
      </c>
      <c r="AP183" s="22"/>
      <c r="AQ183" s="129" t="n">
        <v>-3.96396482446063</v>
      </c>
      <c r="AR183" s="151" t="n">
        <v>-3.20596482446063</v>
      </c>
      <c r="AS183" s="22"/>
      <c r="AT183" s="5" t="n">
        <v>0.0075</v>
      </c>
      <c r="AU183" s="22"/>
      <c r="AV183" s="129" t="n">
        <v>0.0025</v>
      </c>
      <c r="AW183" s="22"/>
      <c r="AX183" s="22" t="n">
        <v>-0.105</v>
      </c>
      <c r="AY183" s="39"/>
      <c r="AZ183" s="243" t="n">
        <v>0.55</v>
      </c>
      <c r="BA183" s="243"/>
      <c r="BB183" s="194" t="n">
        <v>-0.758</v>
      </c>
      <c r="BC183" s="96"/>
      <c r="BD183" s="39"/>
      <c r="BE183" s="22"/>
      <c r="BF183" s="96"/>
      <c r="BG183" s="22"/>
      <c r="BH183" s="71"/>
      <c r="BI183" s="71"/>
      <c r="BJ183" s="22"/>
      <c r="BK183" s="96"/>
      <c r="BL183" s="22"/>
      <c r="BM183" s="22"/>
      <c r="BN183" s="39"/>
      <c r="BO183" s="39"/>
      <c r="BP183" s="71"/>
      <c r="BQ183" s="22"/>
      <c r="BR183" s="71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</row>
    <row r="184" customFormat="false" ht="12.75" hidden="false" customHeight="false" outlineLevel="0" collapsed="false">
      <c r="A184" s="224" t="n">
        <v>41518</v>
      </c>
      <c r="B184" s="217" t="n">
        <v>4.019</v>
      </c>
      <c r="C184" s="251" t="n">
        <v>-0.758</v>
      </c>
      <c r="D184" s="133" t="n">
        <v>-0.666919218004329</v>
      </c>
      <c r="E184" s="133" t="n">
        <v>-0.68793786000333</v>
      </c>
      <c r="F184" s="226" t="n">
        <v>0.125</v>
      </c>
      <c r="G184" s="227" t="n">
        <v>0.125</v>
      </c>
      <c r="H184" s="227" t="n">
        <v>0.16</v>
      </c>
      <c r="I184" s="228" t="n">
        <v>0.12</v>
      </c>
      <c r="J184" s="227" t="n">
        <v>0.04</v>
      </c>
      <c r="K184" s="227" t="n">
        <v>0.11</v>
      </c>
      <c r="L184" s="227" t="n">
        <v>0.44</v>
      </c>
      <c r="M184" s="226" t="n">
        <v>-0.27</v>
      </c>
      <c r="N184" s="227" t="n">
        <v>0.43</v>
      </c>
      <c r="O184" s="228" t="n">
        <v>0</v>
      </c>
      <c r="P184" s="183" t="n">
        <v>-0.1</v>
      </c>
      <c r="Q184" s="160" t="n">
        <v>0.1625</v>
      </c>
      <c r="R184" s="232" t="n">
        <v>0.17</v>
      </c>
      <c r="S184" s="139" t="n">
        <v>0.17</v>
      </c>
      <c r="T184" s="56" t="n">
        <v>0.55</v>
      </c>
      <c r="U184" s="248" t="n">
        <v>0.17</v>
      </c>
      <c r="V184" s="12" t="n">
        <v>3.261</v>
      </c>
      <c r="W184" s="12" t="n">
        <v>3.35208078199567</v>
      </c>
      <c r="X184" s="142" t="n">
        <v>3.33106213999667</v>
      </c>
      <c r="Y184" s="13"/>
      <c r="Z184" s="221" t="n">
        <v>0.13</v>
      </c>
      <c r="AA184" s="237" t="n">
        <v>0.1</v>
      </c>
      <c r="AB184" s="242" t="n">
        <v>4.65443961625353</v>
      </c>
      <c r="AC184" s="90" t="n">
        <v>4.78443961625353</v>
      </c>
      <c r="AD184" s="142" t="n">
        <v>4.75443961625353</v>
      </c>
      <c r="AE184" s="182" t="n">
        <v>3.919</v>
      </c>
      <c r="AF184" s="78" t="n">
        <v>3.749</v>
      </c>
      <c r="AG184" s="147" t="n">
        <v>4.019</v>
      </c>
      <c r="AH184" s="185" t="n">
        <v>-0.1</v>
      </c>
      <c r="AI184" s="223" t="n">
        <v>1.50588606064581</v>
      </c>
      <c r="AJ184" s="37" t="n">
        <v>0.0623470376446926</v>
      </c>
      <c r="AK184" s="37" t="n">
        <v>0.0629696293249009</v>
      </c>
      <c r="AL184" s="39" t="n">
        <v>0.473390913278753</v>
      </c>
      <c r="AM184" s="149" t="n">
        <v>0.469922727450801</v>
      </c>
      <c r="AN184" s="129" t="n">
        <v>0.125</v>
      </c>
      <c r="AO184" s="150" t="n">
        <v>0.124</v>
      </c>
      <c r="AP184" s="22"/>
      <c r="AQ184" s="129" t="n">
        <v>-3.97896714508748</v>
      </c>
      <c r="AR184" s="151" t="n">
        <v>-3.22096714508748</v>
      </c>
      <c r="AS184" s="22"/>
      <c r="AT184" s="5" t="n">
        <v>0.0075</v>
      </c>
      <c r="AU184" s="22"/>
      <c r="AV184" s="129" t="n">
        <v>0.0025</v>
      </c>
      <c r="AW184" s="22"/>
      <c r="AX184" s="22" t="n">
        <v>-0.105</v>
      </c>
      <c r="AY184" s="39"/>
      <c r="AZ184" s="243" t="n">
        <v>0.55</v>
      </c>
      <c r="BA184" s="243"/>
      <c r="BB184" s="194" t="n">
        <v>-0.758</v>
      </c>
      <c r="BC184" s="96"/>
      <c r="BD184" s="39"/>
      <c r="BE184" s="22"/>
      <c r="BF184" s="96"/>
      <c r="BG184" s="22"/>
      <c r="BH184" s="71"/>
      <c r="BI184" s="71"/>
      <c r="BJ184" s="22"/>
      <c r="BK184" s="96"/>
      <c r="BL184" s="22"/>
      <c r="BM184" s="22"/>
      <c r="BN184" s="39"/>
      <c r="BO184" s="39"/>
      <c r="BP184" s="71"/>
      <c r="BQ184" s="22"/>
      <c r="BR184" s="71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</row>
    <row r="185" customFormat="false" ht="12.75" hidden="false" customHeight="false" outlineLevel="0" collapsed="false">
      <c r="A185" s="224" t="n">
        <v>41548</v>
      </c>
      <c r="B185" s="217" t="n">
        <v>4.048</v>
      </c>
      <c r="C185" s="251" t="n">
        <v>-0.758</v>
      </c>
      <c r="D185" s="133" t="n">
        <v>-0.666922241038866</v>
      </c>
      <c r="E185" s="133" t="n">
        <v>-0.687940185414512</v>
      </c>
      <c r="F185" s="226" t="n">
        <v>0.125</v>
      </c>
      <c r="G185" s="227" t="n">
        <v>0.125</v>
      </c>
      <c r="H185" s="227" t="n">
        <v>0.16</v>
      </c>
      <c r="I185" s="228" t="n">
        <v>0.12</v>
      </c>
      <c r="J185" s="227" t="n">
        <v>0.04</v>
      </c>
      <c r="K185" s="227" t="n">
        <v>0.11</v>
      </c>
      <c r="L185" s="227" t="n">
        <v>0.45</v>
      </c>
      <c r="M185" s="226" t="n">
        <v>-0.27</v>
      </c>
      <c r="N185" s="227" t="n">
        <v>0.43</v>
      </c>
      <c r="O185" s="228" t="n">
        <v>0</v>
      </c>
      <c r="P185" s="183" t="n">
        <v>-0.1</v>
      </c>
      <c r="Q185" s="160" t="n">
        <v>0.1625</v>
      </c>
      <c r="R185" s="232" t="n">
        <v>0.17</v>
      </c>
      <c r="S185" s="139" t="n">
        <v>0.17</v>
      </c>
      <c r="T185" s="56" t="n">
        <v>0.6</v>
      </c>
      <c r="U185" s="248" t="n">
        <v>0.17</v>
      </c>
      <c r="V185" s="12" t="n">
        <v>3.29</v>
      </c>
      <c r="W185" s="12" t="n">
        <v>3.38107775896113</v>
      </c>
      <c r="X185" s="142" t="n">
        <v>3.36005981458549</v>
      </c>
      <c r="Y185" s="13"/>
      <c r="Z185" s="221" t="n">
        <v>0.13</v>
      </c>
      <c r="AA185" s="237" t="n">
        <v>0.1</v>
      </c>
      <c r="AB185" s="242" t="n">
        <v>4.69598730665423</v>
      </c>
      <c r="AC185" s="90" t="n">
        <v>4.82598730665423</v>
      </c>
      <c r="AD185" s="142" t="n">
        <v>4.79598730665423</v>
      </c>
      <c r="AE185" s="182" t="n">
        <v>3.948</v>
      </c>
      <c r="AF185" s="78" t="n">
        <v>3.778</v>
      </c>
      <c r="AG185" s="147" t="n">
        <v>4.048</v>
      </c>
      <c r="AH185" s="185" t="n">
        <v>-0.1</v>
      </c>
      <c r="AI185" s="223" t="n">
        <v>1.50593604371106</v>
      </c>
      <c r="AJ185" s="37" t="n">
        <v>0.062386418912054</v>
      </c>
      <c r="AK185" s="37" t="n">
        <v>0.0630020597863545</v>
      </c>
      <c r="AL185" s="39" t="n">
        <v>0.470789216743793</v>
      </c>
      <c r="AM185" s="149" t="n">
        <v>0.467355603483836</v>
      </c>
      <c r="AN185" s="129" t="n">
        <v>0.125</v>
      </c>
      <c r="AO185" s="150" t="n">
        <v>0.12</v>
      </c>
      <c r="AP185" s="22"/>
      <c r="AQ185" s="129" t="n">
        <v>-4.00796946952667</v>
      </c>
      <c r="AR185" s="151" t="n">
        <v>-3.24996946952667</v>
      </c>
      <c r="AS185" s="22"/>
      <c r="AT185" s="5" t="n">
        <v>0.0075</v>
      </c>
      <c r="AU185" s="22"/>
      <c r="AV185" s="129" t="n">
        <v>0.0025</v>
      </c>
      <c r="AW185" s="22"/>
      <c r="AX185" s="22" t="n">
        <v>-0.105</v>
      </c>
      <c r="AY185" s="39"/>
      <c r="AZ185" s="243" t="n">
        <v>0.6</v>
      </c>
      <c r="BA185" s="243"/>
      <c r="BB185" s="194" t="n">
        <v>-0.758</v>
      </c>
      <c r="BC185" s="96"/>
      <c r="BD185" s="39"/>
      <c r="BE185" s="22"/>
      <c r="BF185" s="96"/>
      <c r="BG185" s="22"/>
      <c r="BH185" s="71"/>
      <c r="BI185" s="71"/>
      <c r="BJ185" s="22"/>
      <c r="BK185" s="96"/>
      <c r="BL185" s="22"/>
      <c r="BM185" s="22"/>
      <c r="BN185" s="39"/>
      <c r="BO185" s="39"/>
      <c r="BP185" s="71"/>
      <c r="BQ185" s="22"/>
      <c r="BR185" s="71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</row>
    <row r="186" customFormat="false" ht="12.75" hidden="false" customHeight="false" outlineLevel="0" collapsed="false">
      <c r="A186" s="216" t="n">
        <v>41579</v>
      </c>
      <c r="B186" s="217" t="n">
        <v>4.188</v>
      </c>
      <c r="C186" s="252" t="n">
        <v>-0.698</v>
      </c>
      <c r="D186" s="133" t="n">
        <v>-0.606925470550747</v>
      </c>
      <c r="E186" s="133" t="n">
        <v>-0.11</v>
      </c>
      <c r="F186" s="226" t="n">
        <v>0.185</v>
      </c>
      <c r="G186" s="227" t="n">
        <v>0.35</v>
      </c>
      <c r="H186" s="227" t="n">
        <v>0.305</v>
      </c>
      <c r="I186" s="228" t="n">
        <v>0.405</v>
      </c>
      <c r="J186" s="227" t="n">
        <v>0.14</v>
      </c>
      <c r="K186" s="227" t="n">
        <v>0.17</v>
      </c>
      <c r="L186" s="227" t="n">
        <v>0.73</v>
      </c>
      <c r="M186" s="226" t="n">
        <v>-0.15</v>
      </c>
      <c r="N186" s="227" t="n">
        <v>0.35</v>
      </c>
      <c r="O186" s="228" t="n">
        <v>0</v>
      </c>
      <c r="P186" s="183" t="n">
        <v>0.248</v>
      </c>
      <c r="Q186" s="160" t="n">
        <v>0.1625</v>
      </c>
      <c r="R186" s="232" t="n">
        <v>0.17</v>
      </c>
      <c r="S186" s="139" t="n">
        <v>0.17</v>
      </c>
      <c r="T186" s="56" t="n">
        <v>0.8</v>
      </c>
      <c r="U186" s="248" t="n">
        <v>0.17</v>
      </c>
      <c r="V186" s="12" t="n">
        <v>3.49</v>
      </c>
      <c r="W186" s="12" t="n">
        <v>3.58107452944925</v>
      </c>
      <c r="X186" s="142" t="n">
        <v>4.078</v>
      </c>
      <c r="Y186" s="13"/>
      <c r="Z186" s="221" t="n">
        <v>0.13</v>
      </c>
      <c r="AA186" s="237" t="n">
        <v>0.839312598837992</v>
      </c>
      <c r="AB186" s="242" t="n">
        <v>4.98163430262686</v>
      </c>
      <c r="AC186" s="90" t="n">
        <v>5.11163430262686</v>
      </c>
      <c r="AD186" s="142" t="n">
        <v>5.82094690146485</v>
      </c>
      <c r="AE186" s="182" t="n">
        <v>4.436</v>
      </c>
      <c r="AF186" s="78" t="n">
        <v>4.038</v>
      </c>
      <c r="AG186" s="147" t="n">
        <v>4.188</v>
      </c>
      <c r="AH186" s="185" t="n">
        <v>-0.1</v>
      </c>
      <c r="AI186" s="223" t="n">
        <v>1.50598944435309</v>
      </c>
      <c r="AJ186" s="37" t="n">
        <v>0.062427112888868</v>
      </c>
      <c r="AK186" s="37" t="n">
        <v>0.0630355712635566</v>
      </c>
      <c r="AL186" s="39" t="n">
        <v>0.468112736748795</v>
      </c>
      <c r="AM186" s="149" t="n">
        <v>0.464715122156179</v>
      </c>
      <c r="AN186" s="129" t="n">
        <v>0.35</v>
      </c>
      <c r="AO186" s="150" t="n">
        <v>0.124</v>
      </c>
      <c r="AP186" s="22"/>
      <c r="AQ186" s="129" t="n">
        <v>-3.63117341640033</v>
      </c>
      <c r="AR186" s="151" t="n">
        <v>-2.93317341640033</v>
      </c>
      <c r="AS186" s="22"/>
      <c r="AT186" s="5" t="n">
        <v>0.0075</v>
      </c>
      <c r="AU186" s="22"/>
      <c r="AV186" s="129" t="n">
        <v>0.008</v>
      </c>
      <c r="AW186" s="22"/>
      <c r="AX186" s="22" t="n">
        <v>0.005</v>
      </c>
      <c r="AY186" s="39"/>
      <c r="AZ186" s="243" t="n">
        <v>0.8</v>
      </c>
      <c r="BA186" s="243"/>
      <c r="BB186" s="194" t="n">
        <v>-0.698</v>
      </c>
      <c r="BC186" s="96"/>
      <c r="BD186" s="39"/>
      <c r="BE186" s="22"/>
      <c r="BF186" s="96"/>
      <c r="BG186" s="22"/>
      <c r="BH186" s="71"/>
      <c r="BI186" s="71"/>
      <c r="BJ186" s="22"/>
      <c r="BK186" s="96"/>
      <c r="BL186" s="22"/>
      <c r="BM186" s="22"/>
      <c r="BN186" s="39"/>
      <c r="BO186" s="39"/>
      <c r="BP186" s="71"/>
      <c r="BQ186" s="22"/>
      <c r="BR186" s="71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</row>
    <row r="187" customFormat="false" ht="12.75" hidden="false" customHeight="false" outlineLevel="0" collapsed="false">
      <c r="A187" s="224" t="n">
        <v>41609</v>
      </c>
      <c r="B187" s="217" t="n">
        <v>4.328</v>
      </c>
      <c r="C187" s="251" t="n">
        <v>-0.698</v>
      </c>
      <c r="D187" s="133" t="n">
        <v>-0.606928698168308</v>
      </c>
      <c r="E187" s="133" t="n">
        <v>-0.11</v>
      </c>
      <c r="F187" s="226" t="n">
        <v>0.185</v>
      </c>
      <c r="G187" s="227" t="n">
        <v>0.35</v>
      </c>
      <c r="H187" s="227" t="n">
        <v>0.305</v>
      </c>
      <c r="I187" s="228" t="n">
        <v>0.405</v>
      </c>
      <c r="J187" s="227" t="n">
        <v>0.14</v>
      </c>
      <c r="K187" s="227" t="n">
        <v>0.17</v>
      </c>
      <c r="L187" s="227" t="n">
        <v>1.14</v>
      </c>
      <c r="M187" s="226" t="n">
        <v>-0.15</v>
      </c>
      <c r="N187" s="227" t="n">
        <v>0.35</v>
      </c>
      <c r="O187" s="228" t="n">
        <v>0</v>
      </c>
      <c r="P187" s="183" t="n">
        <v>0.308</v>
      </c>
      <c r="Q187" s="160" t="n">
        <v>0.1625</v>
      </c>
      <c r="R187" s="232" t="n">
        <v>0.17</v>
      </c>
      <c r="S187" s="139" t="n">
        <v>0.17</v>
      </c>
      <c r="T187" s="56" t="n">
        <v>1</v>
      </c>
      <c r="U187" s="248" t="n">
        <v>0.17</v>
      </c>
      <c r="V187" s="12" t="n">
        <v>3.63</v>
      </c>
      <c r="W187" s="12" t="n">
        <v>3.72107130183169</v>
      </c>
      <c r="X187" s="142" t="n">
        <v>4.218</v>
      </c>
      <c r="Y187" s="13"/>
      <c r="Z187" s="221" t="n">
        <v>0.13</v>
      </c>
      <c r="AA187" s="237" t="n">
        <v>0.839342344543053</v>
      </c>
      <c r="AB187" s="242" t="n">
        <v>5.18165426988314</v>
      </c>
      <c r="AC187" s="90" t="n">
        <v>5.31165426988314</v>
      </c>
      <c r="AD187" s="142" t="n">
        <v>6.02099661442619</v>
      </c>
      <c r="AE187" s="182" t="n">
        <v>4.636</v>
      </c>
      <c r="AF187" s="78" t="n">
        <v>4.178</v>
      </c>
      <c r="AG187" s="147" t="n">
        <v>4.328</v>
      </c>
      <c r="AH187" s="185" t="n">
        <v>-0.1</v>
      </c>
      <c r="AI187" s="223" t="n">
        <v>1.50604281745615</v>
      </c>
      <c r="AJ187" s="37" t="n">
        <v>0.0624664941572752</v>
      </c>
      <c r="AK187" s="37" t="n">
        <v>0.0630680017257195</v>
      </c>
      <c r="AL187" s="39" t="n">
        <v>0.465534118494806</v>
      </c>
      <c r="AM187" s="149" t="n">
        <v>0.462171598839738</v>
      </c>
      <c r="AN187" s="129" t="n">
        <v>0.35</v>
      </c>
      <c r="AO187" s="150" t="n">
        <v>0.12</v>
      </c>
      <c r="AP187" s="22"/>
      <c r="AQ187" s="129" t="n">
        <v>-3.77119417426174</v>
      </c>
      <c r="AR187" s="151" t="n">
        <v>-3.07319417426174</v>
      </c>
      <c r="AS187" s="22"/>
      <c r="AT187" s="5" t="n">
        <v>0.0075</v>
      </c>
      <c r="AU187" s="22"/>
      <c r="AV187" s="129" t="n">
        <v>0.008</v>
      </c>
      <c r="AW187" s="22"/>
      <c r="AX187" s="22" t="n">
        <v>0.01</v>
      </c>
      <c r="AY187" s="39"/>
      <c r="AZ187" s="243" t="n">
        <v>1</v>
      </c>
      <c r="BA187" s="243"/>
      <c r="BB187" s="194" t="n">
        <v>-0.698</v>
      </c>
      <c r="BC187" s="96"/>
      <c r="BD187" s="39"/>
      <c r="BE187" s="22"/>
      <c r="BF187" s="96"/>
      <c r="BG187" s="22"/>
      <c r="BH187" s="71"/>
      <c r="BI187" s="71"/>
      <c r="BJ187" s="22"/>
      <c r="BK187" s="96"/>
      <c r="BL187" s="22"/>
      <c r="BM187" s="22"/>
      <c r="BN187" s="39"/>
      <c r="BO187" s="39"/>
      <c r="BP187" s="71"/>
      <c r="BQ187" s="22"/>
      <c r="BR187" s="71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</row>
    <row r="188" customFormat="false" ht="12.75" hidden="false" customHeight="false" outlineLevel="0" collapsed="false">
      <c r="A188" s="224" t="n">
        <v>41640</v>
      </c>
      <c r="B188" s="217" t="n">
        <v>4.438</v>
      </c>
      <c r="C188" s="251" t="n">
        <v>-0.698</v>
      </c>
      <c r="D188" s="133" t="n">
        <v>-0.606932139048917</v>
      </c>
      <c r="E188" s="133" t="n">
        <v>-0.11</v>
      </c>
      <c r="F188" s="226" t="n">
        <v>0.185</v>
      </c>
      <c r="G188" s="227" t="n">
        <v>0.35</v>
      </c>
      <c r="H188" s="227" t="n">
        <v>0.305</v>
      </c>
      <c r="I188" s="228" t="n">
        <v>0.405</v>
      </c>
      <c r="J188" s="227" t="n">
        <v>0.14</v>
      </c>
      <c r="K188" s="227" t="n">
        <v>0.17</v>
      </c>
      <c r="L188" s="227" t="n">
        <v>1.63</v>
      </c>
      <c r="M188" s="226" t="n">
        <v>-0.15</v>
      </c>
      <c r="N188" s="227" t="n">
        <v>0.35</v>
      </c>
      <c r="O188" s="228" t="n">
        <v>0</v>
      </c>
      <c r="P188" s="183" t="n">
        <v>0.378</v>
      </c>
      <c r="Q188" s="160" t="n">
        <v>0.1625</v>
      </c>
      <c r="R188" s="232" t="n">
        <v>0.17</v>
      </c>
      <c r="S188" s="139" t="n">
        <v>0.17</v>
      </c>
      <c r="T188" s="56" t="n">
        <v>1</v>
      </c>
      <c r="U188" s="248" t="n">
        <v>0.17</v>
      </c>
      <c r="V188" s="12" t="n">
        <v>3.74</v>
      </c>
      <c r="W188" s="12" t="n">
        <v>3.83106786095108</v>
      </c>
      <c r="X188" s="142" t="n">
        <v>4.328</v>
      </c>
      <c r="Y188" s="13"/>
      <c r="Z188" s="221" t="n">
        <v>0.13</v>
      </c>
      <c r="AA188" s="237" t="n">
        <v>0.839374058001203</v>
      </c>
      <c r="AB188" s="242" t="n">
        <v>5.33887581109609</v>
      </c>
      <c r="AC188" s="90" t="n">
        <v>5.46887581109609</v>
      </c>
      <c r="AD188" s="142" t="n">
        <v>6.1782498690973</v>
      </c>
      <c r="AE188" s="182" t="n">
        <v>4.816</v>
      </c>
      <c r="AF188" s="78" t="n">
        <v>4.288</v>
      </c>
      <c r="AG188" s="147" t="n">
        <v>4.438</v>
      </c>
      <c r="AH188" s="185" t="n">
        <v>-0.1</v>
      </c>
      <c r="AI188" s="223" t="n">
        <v>1.50609972132401</v>
      </c>
      <c r="AJ188" s="37" t="n">
        <v>0.0625071881351706</v>
      </c>
      <c r="AK188" s="37" t="n">
        <v>0.0631015132036543</v>
      </c>
      <c r="AL188" s="39" t="n">
        <v>0.462881421735839</v>
      </c>
      <c r="AM188" s="149" t="n">
        <v>0.459555425367442</v>
      </c>
      <c r="AN188" s="129" t="n">
        <v>0.35</v>
      </c>
      <c r="AO188" s="150" t="n">
        <v>0.12</v>
      </c>
      <c r="AP188" s="22"/>
      <c r="AQ188" s="129" t="n">
        <v>-3.88121583280468</v>
      </c>
      <c r="AR188" s="151" t="n">
        <v>-3.18321583280468</v>
      </c>
      <c r="AS188" s="22"/>
      <c r="AT188" s="5" t="n">
        <v>0.0075</v>
      </c>
      <c r="AU188" s="22"/>
      <c r="AV188" s="129" t="n">
        <v>0.008</v>
      </c>
      <c r="AW188" s="22"/>
      <c r="AX188" s="22" t="n">
        <v>0.03</v>
      </c>
      <c r="AY188" s="39"/>
      <c r="AZ188" s="243" t="n">
        <v>1</v>
      </c>
      <c r="BA188" s="243"/>
      <c r="BB188" s="194" t="n">
        <v>-0.698</v>
      </c>
      <c r="BC188" s="96"/>
      <c r="BD188" s="39"/>
      <c r="BE188" s="22"/>
      <c r="BF188" s="96"/>
      <c r="BG188" s="22"/>
      <c r="BH188" s="71"/>
      <c r="BI188" s="71"/>
      <c r="BJ188" s="22"/>
      <c r="BK188" s="96"/>
      <c r="BL188" s="22"/>
      <c r="BM188" s="22"/>
      <c r="BN188" s="39"/>
      <c r="BO188" s="39"/>
      <c r="BP188" s="71"/>
      <c r="BQ188" s="22"/>
      <c r="BR188" s="71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</row>
    <row r="189" customFormat="false" ht="12.75" hidden="false" customHeight="false" outlineLevel="0" collapsed="false">
      <c r="A189" s="224" t="n">
        <v>41671</v>
      </c>
      <c r="B189" s="217" t="n">
        <v>4.32</v>
      </c>
      <c r="C189" s="251" t="n">
        <v>-0.698</v>
      </c>
      <c r="D189" s="133" t="n">
        <v>-0.606935687319917</v>
      </c>
      <c r="E189" s="133" t="n">
        <v>-0.11</v>
      </c>
      <c r="F189" s="226" t="n">
        <v>0.185</v>
      </c>
      <c r="G189" s="227" t="n">
        <v>0.35</v>
      </c>
      <c r="H189" s="227" t="n">
        <v>0.305</v>
      </c>
      <c r="I189" s="228" t="n">
        <v>0.405</v>
      </c>
      <c r="J189" s="227" t="n">
        <v>0.14</v>
      </c>
      <c r="K189" s="227" t="n">
        <v>0.17</v>
      </c>
      <c r="L189" s="227" t="n">
        <v>1.63</v>
      </c>
      <c r="M189" s="226" t="n">
        <v>-0.15</v>
      </c>
      <c r="N189" s="227" t="n">
        <v>0.35</v>
      </c>
      <c r="O189" s="228" t="n">
        <v>0</v>
      </c>
      <c r="P189" s="183" t="n">
        <v>0.248</v>
      </c>
      <c r="Q189" s="160" t="n">
        <v>0.1625</v>
      </c>
      <c r="R189" s="232" t="n">
        <v>0.17</v>
      </c>
      <c r="S189" s="139" t="n">
        <v>0.17</v>
      </c>
      <c r="T189" s="56" t="n">
        <v>1</v>
      </c>
      <c r="U189" s="248" t="n">
        <v>0.17</v>
      </c>
      <c r="V189" s="12" t="n">
        <v>3.622</v>
      </c>
      <c r="W189" s="12" t="n">
        <v>3.71306431268008</v>
      </c>
      <c r="X189" s="142" t="n">
        <v>4.21</v>
      </c>
      <c r="Y189" s="13"/>
      <c r="Z189" s="221" t="n">
        <v>0.13</v>
      </c>
      <c r="AA189" s="237" t="n">
        <v>0.839406763751024</v>
      </c>
      <c r="AB189" s="242" t="n">
        <v>5.17063145970444</v>
      </c>
      <c r="AC189" s="90" t="n">
        <v>5.30063145970444</v>
      </c>
      <c r="AD189" s="142" t="n">
        <v>6.01003822345546</v>
      </c>
      <c r="AE189" s="182" t="n">
        <v>4.568</v>
      </c>
      <c r="AF189" s="78" t="n">
        <v>4.17</v>
      </c>
      <c r="AG189" s="147" t="n">
        <v>4.32</v>
      </c>
      <c r="AH189" s="185" t="n">
        <v>-0.1</v>
      </c>
      <c r="AI189" s="223" t="n">
        <v>1.50615840567364</v>
      </c>
      <c r="AJ189" s="37" t="n">
        <v>0.062547882113615</v>
      </c>
      <c r="AK189" s="37" t="n">
        <v>0.0631350246819622</v>
      </c>
      <c r="AL189" s="39" t="n">
        <v>0.460240762147359</v>
      </c>
      <c r="AM189" s="149" t="n">
        <v>0.45695154419373</v>
      </c>
      <c r="AN189" s="129" t="n">
        <v>0.35</v>
      </c>
      <c r="AO189" s="150" t="n">
        <v>0.133</v>
      </c>
      <c r="AP189" s="22"/>
      <c r="AQ189" s="129" t="n">
        <v>-3.76323770349075</v>
      </c>
      <c r="AR189" s="151" t="n">
        <v>-3.06523770349075</v>
      </c>
      <c r="AS189" s="22"/>
      <c r="AT189" s="5" t="n">
        <v>0.0075</v>
      </c>
      <c r="AU189" s="22"/>
      <c r="AV189" s="129" t="n">
        <v>0.008</v>
      </c>
      <c r="AW189" s="22"/>
      <c r="AX189" s="22" t="n">
        <v>0.025</v>
      </c>
      <c r="AY189" s="39"/>
      <c r="AZ189" s="243" t="n">
        <v>1</v>
      </c>
      <c r="BA189" s="243"/>
      <c r="BB189" s="194" t="n">
        <v>-0.698</v>
      </c>
      <c r="BC189" s="96"/>
      <c r="BD189" s="39"/>
      <c r="BE189" s="22"/>
      <c r="BF189" s="96"/>
      <c r="BG189" s="22"/>
      <c r="BH189" s="71"/>
      <c r="BI189" s="71"/>
      <c r="BJ189" s="22"/>
      <c r="BK189" s="96"/>
      <c r="BL189" s="22"/>
      <c r="BM189" s="22"/>
      <c r="BN189" s="39"/>
      <c r="BO189" s="39"/>
      <c r="BP189" s="71"/>
      <c r="BQ189" s="22"/>
      <c r="BR189" s="71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</row>
    <row r="190" customFormat="false" ht="12.75" hidden="false" customHeight="false" outlineLevel="0" collapsed="false">
      <c r="A190" s="224" t="n">
        <v>41699</v>
      </c>
      <c r="B190" s="217" t="n">
        <v>4.187</v>
      </c>
      <c r="C190" s="251" t="n">
        <v>-0.698</v>
      </c>
      <c r="D190" s="133" t="n">
        <v>-0.606938984498923</v>
      </c>
      <c r="E190" s="133" t="n">
        <v>-0.11</v>
      </c>
      <c r="F190" s="226" t="n">
        <v>0.185</v>
      </c>
      <c r="G190" s="227" t="n">
        <v>0.35</v>
      </c>
      <c r="H190" s="227" t="n">
        <v>0.305</v>
      </c>
      <c r="I190" s="228" t="n">
        <v>0.405</v>
      </c>
      <c r="J190" s="227" t="n">
        <v>0.14</v>
      </c>
      <c r="K190" s="227" t="n">
        <v>0.17</v>
      </c>
      <c r="L190" s="227" t="n">
        <v>0.72</v>
      </c>
      <c r="M190" s="226" t="n">
        <v>-0.15</v>
      </c>
      <c r="N190" s="227" t="n">
        <v>0.35</v>
      </c>
      <c r="O190" s="228" t="n">
        <v>0</v>
      </c>
      <c r="P190" s="183" t="n">
        <v>0.068</v>
      </c>
      <c r="Q190" s="160" t="n">
        <v>0.1625</v>
      </c>
      <c r="R190" s="232" t="n">
        <v>0.17</v>
      </c>
      <c r="S190" s="139" t="n">
        <v>0.17</v>
      </c>
      <c r="T190" s="56" t="n">
        <v>0.75</v>
      </c>
      <c r="U190" s="248" t="n">
        <v>0.17</v>
      </c>
      <c r="V190" s="12" t="n">
        <v>3.489</v>
      </c>
      <c r="W190" s="12" t="n">
        <v>3.58006101550108</v>
      </c>
      <c r="X190" s="142" t="n">
        <v>4.077</v>
      </c>
      <c r="Y190" s="13"/>
      <c r="Z190" s="221" t="n">
        <v>0.13</v>
      </c>
      <c r="AA190" s="237" t="n">
        <v>0.839437157376046</v>
      </c>
      <c r="AB190" s="242" t="n">
        <v>4.98094598994052</v>
      </c>
      <c r="AC190" s="90" t="n">
        <v>5.11094598994052</v>
      </c>
      <c r="AD190" s="142" t="n">
        <v>5.82038314731656</v>
      </c>
      <c r="AE190" s="182" t="n">
        <v>4.255</v>
      </c>
      <c r="AF190" s="78" t="n">
        <v>4.037</v>
      </c>
      <c r="AG190" s="147" t="n">
        <v>4.187</v>
      </c>
      <c r="AH190" s="185" t="n">
        <v>-0.1</v>
      </c>
      <c r="AI190" s="223" t="n">
        <v>1.50621294134786</v>
      </c>
      <c r="AJ190" s="37" t="n">
        <v>0.0625846379655859</v>
      </c>
      <c r="AK190" s="37" t="n">
        <v>0.0631652931143019</v>
      </c>
      <c r="AL190" s="39" t="n">
        <v>0.457865968721612</v>
      </c>
      <c r="AM190" s="149" t="n">
        <v>0.45461018292107</v>
      </c>
      <c r="AN190" s="129" t="n">
        <v>0.35</v>
      </c>
      <c r="AO190" s="150" t="n">
        <v>0.12</v>
      </c>
      <c r="AP190" s="22"/>
      <c r="AQ190" s="129" t="n">
        <v>-3.63025763997341</v>
      </c>
      <c r="AR190" s="151" t="n">
        <v>-2.93225763997341</v>
      </c>
      <c r="AS190" s="22"/>
      <c r="AT190" s="5" t="n">
        <v>0.0075</v>
      </c>
      <c r="AU190" s="22"/>
      <c r="AV190" s="129" t="n">
        <v>0.008</v>
      </c>
      <c r="AW190" s="22"/>
      <c r="AX190" s="22" t="n">
        <v>0.005</v>
      </c>
      <c r="AY190" s="39"/>
      <c r="AZ190" s="243" t="n">
        <v>0.75</v>
      </c>
      <c r="BA190" s="243"/>
      <c r="BB190" s="194" t="n">
        <v>-0.698</v>
      </c>
      <c r="BC190" s="96"/>
      <c r="BD190" s="39"/>
      <c r="BE190" s="22"/>
      <c r="BF190" s="96"/>
      <c r="BG190" s="22"/>
      <c r="BH190" s="71"/>
      <c r="BI190" s="71"/>
      <c r="BJ190" s="22"/>
      <c r="BK190" s="96"/>
      <c r="BL190" s="22"/>
      <c r="BM190" s="22"/>
      <c r="BN190" s="39"/>
      <c r="BO190" s="39"/>
      <c r="BP190" s="71"/>
      <c r="BQ190" s="22"/>
      <c r="BR190" s="71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</row>
    <row r="191" customFormat="false" ht="12.75" hidden="false" customHeight="false" outlineLevel="0" collapsed="false">
      <c r="A191" s="224" t="n">
        <v>41730</v>
      </c>
      <c r="B191" s="217" t="n">
        <v>3.967</v>
      </c>
      <c r="C191" s="252" t="n">
        <v>-0.798</v>
      </c>
      <c r="D191" s="133" t="n">
        <v>-0.70694273710705</v>
      </c>
      <c r="E191" s="133" t="n">
        <v>-0.727955951620808</v>
      </c>
      <c r="F191" s="226" t="n">
        <v>0.125</v>
      </c>
      <c r="G191" s="227" t="n">
        <v>0.125</v>
      </c>
      <c r="H191" s="227" t="n">
        <v>0.16</v>
      </c>
      <c r="I191" s="228" t="n">
        <v>0.12</v>
      </c>
      <c r="J191" s="227" t="n">
        <v>0.04</v>
      </c>
      <c r="K191" s="227" t="n">
        <v>0.11</v>
      </c>
      <c r="L191" s="227" t="n">
        <v>0.48</v>
      </c>
      <c r="M191" s="226" t="n">
        <v>-0.22</v>
      </c>
      <c r="N191" s="227" t="n">
        <v>0.43</v>
      </c>
      <c r="O191" s="228" t="n">
        <v>0</v>
      </c>
      <c r="P191" s="183" t="n">
        <v>-0.25</v>
      </c>
      <c r="Q191" s="160" t="n">
        <v>0.1625</v>
      </c>
      <c r="R191" s="232" t="n">
        <v>0.17</v>
      </c>
      <c r="S191" s="139" t="n">
        <v>0.17</v>
      </c>
      <c r="T191" s="56" t="n">
        <v>0.4</v>
      </c>
      <c r="U191" s="248" t="n">
        <v>0.17</v>
      </c>
      <c r="V191" s="12" t="n">
        <v>3.169</v>
      </c>
      <c r="W191" s="12" t="n">
        <v>3.26005726289295</v>
      </c>
      <c r="X191" s="142" t="n">
        <v>3.23904404837919</v>
      </c>
      <c r="Y191" s="13"/>
      <c r="Z191" s="221" t="n">
        <v>0.13</v>
      </c>
      <c r="AA191" s="237" t="n">
        <v>0.1</v>
      </c>
      <c r="AB191" s="242" t="n">
        <v>4.52429588713123</v>
      </c>
      <c r="AC191" s="90" t="n">
        <v>4.65429588713123</v>
      </c>
      <c r="AD191" s="142" t="n">
        <v>4.62429588713123</v>
      </c>
      <c r="AE191" s="182" t="n">
        <v>3.717</v>
      </c>
      <c r="AF191" s="78" t="n">
        <v>3.747</v>
      </c>
      <c r="AG191" s="147" t="n">
        <v>3.967</v>
      </c>
      <c r="AH191" s="185" t="n">
        <v>-0.1</v>
      </c>
      <c r="AI191" s="223" t="n">
        <v>1.50627501467123</v>
      </c>
      <c r="AJ191" s="37" t="n">
        <v>0.0626253319450765</v>
      </c>
      <c r="AK191" s="37" t="n">
        <v>0.0631988045933185</v>
      </c>
      <c r="AL191" s="39" t="n">
        <v>0.455248126390143</v>
      </c>
      <c r="AM191" s="149" t="n">
        <v>0.45202958355792</v>
      </c>
      <c r="AN191" s="129" t="n">
        <v>0.125</v>
      </c>
      <c r="AO191" s="150" t="n">
        <v>0.124</v>
      </c>
      <c r="AP191" s="22"/>
      <c r="AQ191" s="129" t="n">
        <v>-3.92698522914289</v>
      </c>
      <c r="AR191" s="151" t="n">
        <v>-3.12898522914289</v>
      </c>
      <c r="AS191" s="22"/>
      <c r="AT191" s="5" t="n">
        <v>0.0075</v>
      </c>
      <c r="AU191" s="22"/>
      <c r="AV191" s="129" t="n">
        <v>0.0025</v>
      </c>
      <c r="AW191" s="22"/>
      <c r="AX191" s="22" t="n">
        <v>-0.105</v>
      </c>
      <c r="AY191" s="39"/>
      <c r="AZ191" s="243" t="n">
        <v>0.4</v>
      </c>
      <c r="BA191" s="243"/>
      <c r="BB191" s="194" t="n">
        <v>-0.798</v>
      </c>
      <c r="BC191" s="96"/>
      <c r="BD191" s="39"/>
      <c r="BE191" s="22"/>
      <c r="BF191" s="96"/>
      <c r="BG191" s="22"/>
      <c r="BH191" s="71"/>
      <c r="BI191" s="71"/>
      <c r="BJ191" s="22"/>
      <c r="BK191" s="96"/>
      <c r="BL191" s="22"/>
      <c r="BM191" s="22"/>
      <c r="BN191" s="39"/>
      <c r="BO191" s="39"/>
      <c r="BP191" s="71"/>
      <c r="BQ191" s="22"/>
      <c r="BR191" s="71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</row>
    <row r="192" customFormat="false" ht="12.75" hidden="false" customHeight="false" outlineLevel="0" collapsed="false">
      <c r="A192" s="224" t="n">
        <v>41760</v>
      </c>
      <c r="B192" s="217" t="n">
        <v>3.957</v>
      </c>
      <c r="C192" s="251" t="n">
        <v>-0.798</v>
      </c>
      <c r="D192" s="133" t="n">
        <v>-0.706946470861711</v>
      </c>
      <c r="E192" s="133" t="n">
        <v>-0.727958823739778</v>
      </c>
      <c r="F192" s="226" t="n">
        <v>0.125</v>
      </c>
      <c r="G192" s="227" t="n">
        <v>0.125</v>
      </c>
      <c r="H192" s="227" t="n">
        <v>0.16</v>
      </c>
      <c r="I192" s="228" t="n">
        <v>0.12</v>
      </c>
      <c r="J192" s="227" t="n">
        <v>0.04</v>
      </c>
      <c r="K192" s="227" t="n">
        <v>0.11</v>
      </c>
      <c r="L192" s="227" t="n">
        <v>0.42</v>
      </c>
      <c r="M192" s="226" t="n">
        <v>-0.27</v>
      </c>
      <c r="N192" s="227" t="n">
        <v>0.43</v>
      </c>
      <c r="O192" s="228" t="n">
        <v>0</v>
      </c>
      <c r="P192" s="183" t="n">
        <v>-0.1</v>
      </c>
      <c r="Q192" s="160" t="n">
        <v>0.1625</v>
      </c>
      <c r="R192" s="232" t="n">
        <v>0.17</v>
      </c>
      <c r="S192" s="139" t="n">
        <v>0.17</v>
      </c>
      <c r="T192" s="56" t="n">
        <v>0.45</v>
      </c>
      <c r="U192" s="248" t="n">
        <v>0.17</v>
      </c>
      <c r="V192" s="12" t="n">
        <v>3.159</v>
      </c>
      <c r="W192" s="12" t="n">
        <v>3.25005352913829</v>
      </c>
      <c r="X192" s="142" t="n">
        <v>3.22904117626022</v>
      </c>
      <c r="Y192" s="13"/>
      <c r="Z192" s="221" t="n">
        <v>0.13</v>
      </c>
      <c r="AA192" s="237" t="n">
        <v>0.1</v>
      </c>
      <c r="AB192" s="242" t="n">
        <v>4.51020409517886</v>
      </c>
      <c r="AC192" s="90" t="n">
        <v>4.64020409517886</v>
      </c>
      <c r="AD192" s="142" t="n">
        <v>4.61020409517885</v>
      </c>
      <c r="AE192" s="182" t="n">
        <v>3.857</v>
      </c>
      <c r="AF192" s="78" t="n">
        <v>3.687</v>
      </c>
      <c r="AG192" s="147" t="n">
        <v>3.957</v>
      </c>
      <c r="AH192" s="185" t="n">
        <v>-0.1</v>
      </c>
      <c r="AI192" s="223" t="n">
        <v>1.5063367812102</v>
      </c>
      <c r="AJ192" s="37" t="n">
        <v>0.0626647132160745</v>
      </c>
      <c r="AK192" s="37" t="n">
        <v>0.0632312350572382</v>
      </c>
      <c r="AL192" s="39" t="n">
        <v>0.452726099579713</v>
      </c>
      <c r="AM192" s="149" t="n">
        <v>0.449543820442157</v>
      </c>
      <c r="AN192" s="129" t="n">
        <v>0.125</v>
      </c>
      <c r="AO192" s="150" t="n">
        <v>0.12</v>
      </c>
      <c r="AP192" s="22"/>
      <c r="AQ192" s="129" t="n">
        <v>-3.91698810006135</v>
      </c>
      <c r="AR192" s="151" t="n">
        <v>-3.11898810006135</v>
      </c>
      <c r="AS192" s="22"/>
      <c r="AT192" s="5" t="n">
        <v>0.0075</v>
      </c>
      <c r="AU192" s="22"/>
      <c r="AV192" s="129" t="n">
        <v>0.0025</v>
      </c>
      <c r="AW192" s="22"/>
      <c r="AX192" s="22" t="n">
        <v>-0.105</v>
      </c>
      <c r="AY192" s="39"/>
      <c r="AZ192" s="243" t="n">
        <v>0.45</v>
      </c>
      <c r="BA192" s="243"/>
      <c r="BB192" s="194" t="n">
        <v>-0.798</v>
      </c>
      <c r="BC192" s="96"/>
      <c r="BD192" s="39"/>
      <c r="BE192" s="22"/>
      <c r="BF192" s="96"/>
      <c r="BG192" s="22"/>
      <c r="BH192" s="71"/>
      <c r="BI192" s="71"/>
      <c r="BJ192" s="22"/>
      <c r="BK192" s="96"/>
      <c r="BL192" s="22"/>
      <c r="BM192" s="22"/>
      <c r="BN192" s="39"/>
      <c r="BO192" s="39"/>
      <c r="BP192" s="71"/>
      <c r="BQ192" s="22"/>
      <c r="BR192" s="71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</row>
    <row r="193" customFormat="false" ht="12.75" hidden="false" customHeight="false" outlineLevel="0" collapsed="false">
      <c r="A193" s="224" t="n">
        <v>41791</v>
      </c>
      <c r="B193" s="217" t="n">
        <v>3.993</v>
      </c>
      <c r="C193" s="251" t="n">
        <v>-0.798</v>
      </c>
      <c r="D193" s="133" t="n">
        <v>-0.706950434660948</v>
      </c>
      <c r="E193" s="133" t="n">
        <v>-0.727961872816114</v>
      </c>
      <c r="F193" s="226" t="n">
        <v>0.125</v>
      </c>
      <c r="G193" s="227" t="n">
        <v>0.125</v>
      </c>
      <c r="H193" s="227" t="n">
        <v>0.16</v>
      </c>
      <c r="I193" s="228" t="n">
        <v>0.12</v>
      </c>
      <c r="J193" s="227" t="n">
        <v>0.04</v>
      </c>
      <c r="K193" s="227" t="n">
        <v>0.11</v>
      </c>
      <c r="L193" s="227" t="n">
        <v>0.42</v>
      </c>
      <c r="M193" s="226" t="n">
        <v>-0.27</v>
      </c>
      <c r="N193" s="227" t="n">
        <v>0.43</v>
      </c>
      <c r="O193" s="228" t="n">
        <v>0</v>
      </c>
      <c r="P193" s="183" t="n">
        <v>-0.1</v>
      </c>
      <c r="Q193" s="160" t="n">
        <v>0.1625</v>
      </c>
      <c r="R193" s="232" t="n">
        <v>0.17</v>
      </c>
      <c r="S193" s="139" t="n">
        <v>0.17</v>
      </c>
      <c r="T193" s="56" t="n">
        <v>0.45</v>
      </c>
      <c r="U193" s="248" t="n">
        <v>0.17</v>
      </c>
      <c r="V193" s="12" t="n">
        <v>3.195</v>
      </c>
      <c r="W193" s="12" t="n">
        <v>3.28604956533905</v>
      </c>
      <c r="X193" s="142" t="n">
        <v>3.26503812718389</v>
      </c>
      <c r="Y193" s="13"/>
      <c r="Z193" s="221" t="n">
        <v>0.13</v>
      </c>
      <c r="AA193" s="237" t="n">
        <v>0.1</v>
      </c>
      <c r="AB193" s="242" t="n">
        <v>4.56180101962391</v>
      </c>
      <c r="AC193" s="90" t="n">
        <v>4.69180101962391</v>
      </c>
      <c r="AD193" s="142" t="n">
        <v>4.66180101962391</v>
      </c>
      <c r="AE193" s="182" t="n">
        <v>3.893</v>
      </c>
      <c r="AF193" s="78" t="n">
        <v>3.723</v>
      </c>
      <c r="AG193" s="147" t="n">
        <v>3.993</v>
      </c>
      <c r="AH193" s="185" t="n">
        <v>-0.1</v>
      </c>
      <c r="AI193" s="223" t="n">
        <v>1.50640235886082</v>
      </c>
      <c r="AJ193" s="37" t="n">
        <v>0.0627054071966469</v>
      </c>
      <c r="AK193" s="37" t="n">
        <v>0.063264746536988</v>
      </c>
      <c r="AL193" s="39" t="n">
        <v>0.450131720563584</v>
      </c>
      <c r="AM193" s="149" t="n">
        <v>0.446987136226145</v>
      </c>
      <c r="AN193" s="129" t="n">
        <v>0.125</v>
      </c>
      <c r="AO193" s="150" t="n">
        <v>0.124</v>
      </c>
      <c r="AP193" s="22"/>
      <c r="AQ193" s="129" t="n">
        <v>-3.95299114786321</v>
      </c>
      <c r="AR193" s="151" t="n">
        <v>-3.15499114786321</v>
      </c>
      <c r="AS193" s="22"/>
      <c r="AT193" s="5" t="n">
        <v>0.0075</v>
      </c>
      <c r="AU193" s="22"/>
      <c r="AV193" s="129" t="n">
        <v>0.0025</v>
      </c>
      <c r="AW193" s="22"/>
      <c r="AX193" s="22" t="n">
        <v>-0.105</v>
      </c>
      <c r="AY193" s="39"/>
      <c r="AZ193" s="243" t="n">
        <v>0.45</v>
      </c>
      <c r="BA193" s="243"/>
      <c r="BB193" s="194" t="n">
        <v>-0.798</v>
      </c>
      <c r="BC193" s="96"/>
      <c r="BD193" s="39"/>
      <c r="BE193" s="22"/>
      <c r="BF193" s="22"/>
      <c r="BG193" s="22"/>
      <c r="BH193" s="22"/>
      <c r="BI193" s="22"/>
      <c r="BJ193" s="22"/>
      <c r="BK193" s="96"/>
      <c r="BL193" s="22"/>
      <c r="BM193" s="22"/>
      <c r="BN193" s="39"/>
      <c r="BO193" s="39"/>
      <c r="BP193" s="71"/>
      <c r="BQ193" s="22"/>
      <c r="BR193" s="71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</row>
    <row r="194" customFormat="false" ht="12.75" hidden="false" customHeight="false" outlineLevel="0" collapsed="false">
      <c r="A194" s="224" t="n">
        <v>41821</v>
      </c>
      <c r="B194" s="217" t="n">
        <v>4.035</v>
      </c>
      <c r="C194" s="251" t="n">
        <v>-0.798</v>
      </c>
      <c r="D194" s="133" t="n">
        <v>-0.70695437275731</v>
      </c>
      <c r="E194" s="133" t="n">
        <v>-0.727964902121008</v>
      </c>
      <c r="F194" s="226" t="n">
        <v>0.125</v>
      </c>
      <c r="G194" s="227" t="n">
        <v>0.125</v>
      </c>
      <c r="H194" s="227" t="n">
        <v>0.16</v>
      </c>
      <c r="I194" s="228" t="n">
        <v>0.12</v>
      </c>
      <c r="J194" s="227" t="n">
        <v>0.04</v>
      </c>
      <c r="K194" s="227" t="n">
        <v>0.11</v>
      </c>
      <c r="L194" s="227" t="n">
        <v>0.48</v>
      </c>
      <c r="M194" s="226" t="n">
        <v>-0.27</v>
      </c>
      <c r="N194" s="227" t="n">
        <v>0.43</v>
      </c>
      <c r="O194" s="228" t="n">
        <v>0</v>
      </c>
      <c r="P194" s="183" t="n">
        <v>-0.1</v>
      </c>
      <c r="Q194" s="160" t="n">
        <v>0.1625</v>
      </c>
      <c r="R194" s="232" t="n">
        <v>0.17</v>
      </c>
      <c r="S194" s="139" t="n">
        <v>0.17</v>
      </c>
      <c r="T194" s="56" t="n">
        <v>0.5</v>
      </c>
      <c r="U194" s="248" t="n">
        <v>0.17</v>
      </c>
      <c r="V194" s="12" t="n">
        <v>3.237</v>
      </c>
      <c r="W194" s="12" t="n">
        <v>3.32804562724269</v>
      </c>
      <c r="X194" s="142" t="n">
        <v>3.30703509787899</v>
      </c>
      <c r="Y194" s="13"/>
      <c r="Z194" s="221" t="n">
        <v>0.13</v>
      </c>
      <c r="AA194" s="237" t="n">
        <v>0.1</v>
      </c>
      <c r="AB194" s="242" t="n">
        <v>4.62196826738633</v>
      </c>
      <c r="AC194" s="90" t="n">
        <v>4.75196826738633</v>
      </c>
      <c r="AD194" s="142" t="n">
        <v>4.72196826738633</v>
      </c>
      <c r="AE194" s="182" t="n">
        <v>3.935</v>
      </c>
      <c r="AF194" s="78" t="n">
        <v>3.765</v>
      </c>
      <c r="AG194" s="147" t="n">
        <v>4.035</v>
      </c>
      <c r="AH194" s="185" t="n">
        <v>-0.1</v>
      </c>
      <c r="AI194" s="223" t="n">
        <v>1.50646751693406</v>
      </c>
      <c r="AJ194" s="37" t="n">
        <v>0.0627447884686911</v>
      </c>
      <c r="AK194" s="37" t="n">
        <v>0.063297177001616</v>
      </c>
      <c r="AL194" s="39" t="n">
        <v>0.447632337377968</v>
      </c>
      <c r="AM194" s="149" t="n">
        <v>0.444524440203811</v>
      </c>
      <c r="AN194" s="129" t="n">
        <v>0.125</v>
      </c>
      <c r="AO194" s="150" t="n">
        <v>0.12</v>
      </c>
      <c r="AP194" s="22"/>
      <c r="AQ194" s="129" t="n">
        <v>-3.99499417590189</v>
      </c>
      <c r="AR194" s="151" t="n">
        <v>-3.19699417590189</v>
      </c>
      <c r="AS194" s="22"/>
      <c r="AT194" s="5" t="n">
        <v>0.0075</v>
      </c>
      <c r="AU194" s="22"/>
      <c r="AV194" s="129" t="n">
        <v>0.0025</v>
      </c>
      <c r="AW194" s="22"/>
      <c r="AX194" s="22" t="n">
        <v>-0.105</v>
      </c>
      <c r="AY194" s="39"/>
      <c r="AZ194" s="243" t="n">
        <v>0.5</v>
      </c>
      <c r="BA194" s="243"/>
      <c r="BB194" s="194" t="n">
        <v>-0.798</v>
      </c>
      <c r="BC194" s="96"/>
      <c r="BD194" s="39"/>
      <c r="BE194" s="22"/>
      <c r="BF194" s="22"/>
      <c r="BG194" s="22"/>
      <c r="BH194" s="22"/>
      <c r="BI194" s="22"/>
      <c r="BJ194" s="22"/>
      <c r="BK194" s="96"/>
      <c r="BL194" s="22"/>
      <c r="BM194" s="22"/>
      <c r="BN194" s="39"/>
      <c r="BO194" s="39"/>
      <c r="BP194" s="71"/>
      <c r="BQ194" s="22"/>
      <c r="BR194" s="71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</row>
    <row r="195" customFormat="false" ht="12.75" hidden="false" customHeight="false" outlineLevel="0" collapsed="false">
      <c r="A195" s="224" t="n">
        <v>41852</v>
      </c>
      <c r="B195" s="217" t="n">
        <v>4.084</v>
      </c>
      <c r="C195" s="251" t="n">
        <v>-0.798</v>
      </c>
      <c r="D195" s="133" t="n">
        <v>-0.706958547670896</v>
      </c>
      <c r="E195" s="133" t="n">
        <v>-0.727968113592997</v>
      </c>
      <c r="F195" s="226" t="n">
        <v>0.125</v>
      </c>
      <c r="G195" s="227" t="n">
        <v>0.125</v>
      </c>
      <c r="H195" s="227" t="n">
        <v>0.16</v>
      </c>
      <c r="I195" s="228" t="n">
        <v>0.12</v>
      </c>
      <c r="J195" s="227" t="n">
        <v>0.04</v>
      </c>
      <c r="K195" s="227" t="n">
        <v>0.11</v>
      </c>
      <c r="L195" s="227" t="n">
        <v>0.48</v>
      </c>
      <c r="M195" s="226" t="n">
        <v>-0.27</v>
      </c>
      <c r="N195" s="227" t="n">
        <v>0.43</v>
      </c>
      <c r="O195" s="228" t="n">
        <v>0</v>
      </c>
      <c r="P195" s="183" t="n">
        <v>-0.1</v>
      </c>
      <c r="Q195" s="160" t="n">
        <v>0.1625</v>
      </c>
      <c r="R195" s="232" t="n">
        <v>0.17</v>
      </c>
      <c r="S195" s="139" t="n">
        <v>0.17</v>
      </c>
      <c r="T195" s="56" t="n">
        <v>0.55</v>
      </c>
      <c r="U195" s="248" t="n">
        <v>0.17</v>
      </c>
      <c r="V195" s="12" t="n">
        <v>3.286</v>
      </c>
      <c r="W195" s="12" t="n">
        <v>3.37704145232911</v>
      </c>
      <c r="X195" s="142" t="n">
        <v>3.356031886407</v>
      </c>
      <c r="Y195" s="13"/>
      <c r="Z195" s="221" t="n">
        <v>0.13</v>
      </c>
      <c r="AA195" s="237" t="n">
        <v>0.1</v>
      </c>
      <c r="AB195" s="242" t="n">
        <v>4.69214834640151</v>
      </c>
      <c r="AC195" s="90" t="n">
        <v>4.82214834640151</v>
      </c>
      <c r="AD195" s="142" t="n">
        <v>4.79214834640151</v>
      </c>
      <c r="AE195" s="182" t="n">
        <v>3.984</v>
      </c>
      <c r="AF195" s="78" t="n">
        <v>3.814</v>
      </c>
      <c r="AG195" s="147" t="n">
        <v>4.084</v>
      </c>
      <c r="AH195" s="185" t="n">
        <v>-0.1</v>
      </c>
      <c r="AI195" s="223" t="n">
        <v>1.50653659944035</v>
      </c>
      <c r="AJ195" s="37" t="n">
        <v>0.0627854824503444</v>
      </c>
      <c r="AK195" s="37" t="n">
        <v>0.063330688482099</v>
      </c>
      <c r="AL195" s="39" t="n">
        <v>0.445061291780499</v>
      </c>
      <c r="AM195" s="149" t="n">
        <v>0.441991512894875</v>
      </c>
      <c r="AN195" s="129" t="n">
        <v>0.125</v>
      </c>
      <c r="AO195" s="150" t="n">
        <v>0.12</v>
      </c>
      <c r="AP195" s="22"/>
      <c r="AQ195" s="129" t="n">
        <v>-4.04399738603153</v>
      </c>
      <c r="AR195" s="151" t="n">
        <v>-3.24599738603153</v>
      </c>
      <c r="AS195" s="22"/>
      <c r="AT195" s="5" t="n">
        <v>0.0075</v>
      </c>
      <c r="AU195" s="22"/>
      <c r="AV195" s="129" t="n">
        <v>0.0025</v>
      </c>
      <c r="AW195" s="22"/>
      <c r="AX195" s="22" t="n">
        <v>-0.105</v>
      </c>
      <c r="AY195" s="39"/>
      <c r="AZ195" s="243" t="n">
        <v>0.55</v>
      </c>
      <c r="BA195" s="243"/>
      <c r="BB195" s="194" t="n">
        <v>-0.798</v>
      </c>
      <c r="BC195" s="96"/>
      <c r="BD195" s="39"/>
      <c r="BE195" s="22"/>
      <c r="BF195" s="22"/>
      <c r="BG195" s="22"/>
      <c r="BH195" s="22"/>
      <c r="BI195" s="22"/>
      <c r="BJ195" s="22"/>
      <c r="BK195" s="96"/>
      <c r="BL195" s="22"/>
      <c r="BM195" s="22"/>
      <c r="BN195" s="39"/>
      <c r="BO195" s="39"/>
      <c r="BP195" s="71"/>
      <c r="BQ195" s="22"/>
      <c r="BR195" s="71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</row>
    <row r="196" customFormat="false" ht="12.75" hidden="false" customHeight="false" outlineLevel="0" collapsed="false">
      <c r="A196" s="224" t="n">
        <v>41883</v>
      </c>
      <c r="B196" s="217" t="n">
        <v>4.099</v>
      </c>
      <c r="C196" s="251" t="n">
        <v>-0.798</v>
      </c>
      <c r="D196" s="133" t="n">
        <v>-0.706962829841762</v>
      </c>
      <c r="E196" s="133" t="n">
        <v>-0.727971407570586</v>
      </c>
      <c r="F196" s="226" t="n">
        <v>0.125</v>
      </c>
      <c r="G196" s="227" t="n">
        <v>0.125</v>
      </c>
      <c r="H196" s="227" t="n">
        <v>0.16</v>
      </c>
      <c r="I196" s="228" t="n">
        <v>0.12</v>
      </c>
      <c r="J196" s="227" t="n">
        <v>0.04</v>
      </c>
      <c r="K196" s="227" t="n">
        <v>0.11</v>
      </c>
      <c r="L196" s="227" t="n">
        <v>0.44</v>
      </c>
      <c r="M196" s="226" t="n">
        <v>-0.27</v>
      </c>
      <c r="N196" s="227" t="n">
        <v>0.43</v>
      </c>
      <c r="O196" s="228" t="n">
        <v>0</v>
      </c>
      <c r="P196" s="183" t="n">
        <v>-0.1</v>
      </c>
      <c r="Q196" s="160" t="n">
        <v>0.1625</v>
      </c>
      <c r="R196" s="232" t="n">
        <v>0.17</v>
      </c>
      <c r="S196" s="139" t="n">
        <v>0.17</v>
      </c>
      <c r="T196" s="56" t="n">
        <v>0.55</v>
      </c>
      <c r="U196" s="248" t="n">
        <v>0.17</v>
      </c>
      <c r="V196" s="12" t="n">
        <v>3.301</v>
      </c>
      <c r="W196" s="12" t="n">
        <v>3.39203717015824</v>
      </c>
      <c r="X196" s="142" t="n">
        <v>3.37102859242941</v>
      </c>
      <c r="Y196" s="13"/>
      <c r="Z196" s="221" t="n">
        <v>0.13</v>
      </c>
      <c r="AA196" s="237" t="n">
        <v>0.1</v>
      </c>
      <c r="AB196" s="242" t="n">
        <v>4.71378887606127</v>
      </c>
      <c r="AC196" s="90" t="n">
        <v>4.84378887606127</v>
      </c>
      <c r="AD196" s="142" t="n">
        <v>4.81378887606127</v>
      </c>
      <c r="AE196" s="182" t="n">
        <v>3.999</v>
      </c>
      <c r="AF196" s="78" t="n">
        <v>3.829</v>
      </c>
      <c r="AG196" s="147" t="n">
        <v>4.099</v>
      </c>
      <c r="AH196" s="185" t="n">
        <v>-0.1</v>
      </c>
      <c r="AI196" s="223" t="n">
        <v>1.50660746332072</v>
      </c>
      <c r="AJ196" s="37" t="n">
        <v>0.0628261764325471</v>
      </c>
      <c r="AK196" s="37" t="n">
        <v>0.0633641999629546</v>
      </c>
      <c r="AL196" s="39" t="n">
        <v>0.44250205425618</v>
      </c>
      <c r="AM196" s="149" t="n">
        <v>0.439470598205081</v>
      </c>
      <c r="AN196" s="129" t="n">
        <v>0.125</v>
      </c>
      <c r="AO196" s="150" t="n">
        <v>0.124</v>
      </c>
      <c r="AP196" s="22"/>
      <c r="AQ196" s="129" t="n">
        <v>-4.05900067863228</v>
      </c>
      <c r="AR196" s="151" t="n">
        <v>-3.26100067863228</v>
      </c>
      <c r="AS196" s="22"/>
      <c r="AT196" s="5" t="n">
        <v>0.0075</v>
      </c>
      <c r="AU196" s="22"/>
      <c r="AV196" s="129" t="n">
        <v>0.0025</v>
      </c>
      <c r="AW196" s="22"/>
      <c r="AX196" s="22" t="n">
        <v>-0.105</v>
      </c>
      <c r="AY196" s="39"/>
      <c r="AZ196" s="243" t="n">
        <v>0.55</v>
      </c>
      <c r="BA196" s="243"/>
      <c r="BB196" s="194" t="n">
        <v>-0.798</v>
      </c>
      <c r="BC196" s="96"/>
      <c r="BD196" s="39"/>
      <c r="BE196" s="22"/>
      <c r="BF196" s="22"/>
      <c r="BG196" s="22"/>
      <c r="BH196" s="22"/>
      <c r="BI196" s="22"/>
      <c r="BJ196" s="22"/>
      <c r="BK196" s="96"/>
      <c r="BL196" s="22"/>
      <c r="BM196" s="22"/>
      <c r="BN196" s="39"/>
      <c r="BO196" s="39"/>
      <c r="BP196" s="71"/>
      <c r="BQ196" s="22"/>
      <c r="BR196" s="71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</row>
    <row r="197" customFormat="false" ht="12.75" hidden="false" customHeight="false" outlineLevel="0" collapsed="false">
      <c r="A197" s="224" t="n">
        <v>41913</v>
      </c>
      <c r="B197" s="217" t="n">
        <v>4.128</v>
      </c>
      <c r="C197" s="251" t="n">
        <v>-0.798</v>
      </c>
      <c r="D197" s="133" t="n">
        <v>-0.706967075981574</v>
      </c>
      <c r="E197" s="133" t="n">
        <v>-0.72797467383198</v>
      </c>
      <c r="F197" s="226" t="n">
        <v>0.125</v>
      </c>
      <c r="G197" s="227" t="n">
        <v>0.125</v>
      </c>
      <c r="H197" s="227" t="n">
        <v>0.16</v>
      </c>
      <c r="I197" s="228" t="n">
        <v>0.12</v>
      </c>
      <c r="J197" s="227" t="n">
        <v>0.04</v>
      </c>
      <c r="K197" s="227" t="n">
        <v>0.11</v>
      </c>
      <c r="L197" s="227" t="n">
        <v>0.45</v>
      </c>
      <c r="M197" s="226" t="n">
        <v>-0.27</v>
      </c>
      <c r="N197" s="227" t="n">
        <v>0.43</v>
      </c>
      <c r="O197" s="228" t="n">
        <v>0</v>
      </c>
      <c r="P197" s="183" t="n">
        <v>-0.1</v>
      </c>
      <c r="Q197" s="160" t="n">
        <v>0.1625</v>
      </c>
      <c r="R197" s="232" t="n">
        <v>0.17</v>
      </c>
      <c r="S197" s="139" t="n">
        <v>0.17</v>
      </c>
      <c r="T197" s="56" t="n">
        <v>0.6</v>
      </c>
      <c r="U197" s="248" t="n">
        <v>0.17</v>
      </c>
      <c r="V197" s="12" t="n">
        <v>3.33</v>
      </c>
      <c r="W197" s="12" t="n">
        <v>3.42103292401843</v>
      </c>
      <c r="X197" s="142" t="n">
        <v>3.40002532616802</v>
      </c>
      <c r="Y197" s="13"/>
      <c r="Z197" s="221" t="n">
        <v>0.13</v>
      </c>
      <c r="AA197" s="237" t="n">
        <v>0.1</v>
      </c>
      <c r="AB197" s="242" t="n">
        <v>4.75542233392809</v>
      </c>
      <c r="AC197" s="90" t="n">
        <v>4.88542233392809</v>
      </c>
      <c r="AD197" s="142" t="n">
        <v>4.85542233392809</v>
      </c>
      <c r="AE197" s="182" t="n">
        <v>4.028</v>
      </c>
      <c r="AF197" s="78" t="n">
        <v>3.858</v>
      </c>
      <c r="AG197" s="147" t="n">
        <v>4.128</v>
      </c>
      <c r="AH197" s="185" t="n">
        <v>-0.1</v>
      </c>
      <c r="AI197" s="223" t="n">
        <v>1.50667773752097</v>
      </c>
      <c r="AJ197" s="37" t="n">
        <v>0.0628655577061696</v>
      </c>
      <c r="AK197" s="37" t="n">
        <v>0.0633966304286533</v>
      </c>
      <c r="AL197" s="39" t="n">
        <v>0.440036583913791</v>
      </c>
      <c r="AM197" s="149" t="n">
        <v>0.437042402556156</v>
      </c>
      <c r="AN197" s="129" t="n">
        <v>0.125</v>
      </c>
      <c r="AO197" s="150" t="n">
        <v>0.12</v>
      </c>
      <c r="AP197" s="22"/>
      <c r="AQ197" s="129" t="n">
        <v>-4.08800394352841</v>
      </c>
      <c r="AR197" s="151" t="n">
        <v>-3.29000394352841</v>
      </c>
      <c r="AS197" s="22"/>
      <c r="AT197" s="5" t="n">
        <v>0.0075</v>
      </c>
      <c r="AU197" s="22"/>
      <c r="AV197" s="129" t="n">
        <v>0.0025</v>
      </c>
      <c r="AW197" s="22"/>
      <c r="AX197" s="22" t="n">
        <v>-0.105</v>
      </c>
      <c r="AY197" s="39"/>
      <c r="AZ197" s="243" t="n">
        <v>0.6</v>
      </c>
      <c r="BA197" s="243"/>
      <c r="BB197" s="194" t="n">
        <v>-0.798</v>
      </c>
      <c r="BC197" s="96"/>
      <c r="BD197" s="39"/>
      <c r="BE197" s="22"/>
      <c r="BF197" s="22"/>
      <c r="BG197" s="22"/>
      <c r="BH197" s="22"/>
      <c r="BI197" s="22"/>
      <c r="BJ197" s="22"/>
      <c r="BK197" s="96"/>
      <c r="BL197" s="22"/>
      <c r="BM197" s="22"/>
      <c r="BN197" s="39"/>
      <c r="BO197" s="39"/>
      <c r="BP197" s="71"/>
      <c r="BQ197" s="22"/>
      <c r="BR197" s="71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</row>
    <row r="198" customFormat="false" ht="12.75" hidden="false" customHeight="false" outlineLevel="0" collapsed="false">
      <c r="A198" s="216" t="n">
        <v>41944</v>
      </c>
      <c r="B198" s="217" t="n">
        <v>4.268</v>
      </c>
      <c r="C198" s="252" t="n">
        <v>-0.738</v>
      </c>
      <c r="D198" s="133" t="n">
        <v>-0.646971569145575</v>
      </c>
      <c r="E198" s="133" t="n">
        <v>-0.249999999999999</v>
      </c>
      <c r="F198" s="226" t="n">
        <v>0</v>
      </c>
      <c r="G198" s="227" t="n">
        <v>0</v>
      </c>
      <c r="H198" s="227" t="n">
        <v>0</v>
      </c>
      <c r="I198" s="228" t="n">
        <v>0</v>
      </c>
      <c r="J198" s="227" t="n">
        <v>0</v>
      </c>
      <c r="K198" s="227" t="n">
        <v>0</v>
      </c>
      <c r="L198" s="227" t="n">
        <v>0.73</v>
      </c>
      <c r="M198" s="226" t="n">
        <v>-0.15</v>
      </c>
      <c r="N198" s="227" t="n">
        <v>0.35</v>
      </c>
      <c r="O198" s="228" t="n">
        <v>0</v>
      </c>
      <c r="P198" s="183" t="n">
        <v>0.248</v>
      </c>
      <c r="Q198" s="160" t="n">
        <v>0.1625</v>
      </c>
      <c r="R198" s="232" t="n">
        <v>0.17</v>
      </c>
      <c r="S198" s="139" t="n">
        <v>0.17</v>
      </c>
      <c r="T198" s="56" t="n">
        <v>0.8</v>
      </c>
      <c r="U198" s="248" t="n">
        <v>0.17</v>
      </c>
      <c r="V198" s="12" t="n">
        <v>3.53</v>
      </c>
      <c r="W198" s="12" t="n">
        <v>3.62102843085443</v>
      </c>
      <c r="X198" s="142" t="n">
        <v>4.018</v>
      </c>
      <c r="Y198" s="13"/>
      <c r="Z198" s="221" t="n">
        <v>0.13</v>
      </c>
      <c r="AA198" s="237" t="n">
        <v>0.696925118938442</v>
      </c>
      <c r="AB198" s="242" t="n">
        <v>5.04128211035389</v>
      </c>
      <c r="AC198" s="90" t="n">
        <v>5.17128211035389</v>
      </c>
      <c r="AD198" s="142" t="n">
        <v>5.73820722929233</v>
      </c>
      <c r="AE198" s="182" t="n">
        <v>4.516</v>
      </c>
      <c r="AF198" s="78" t="n">
        <v>4.118</v>
      </c>
      <c r="AG198" s="147" t="n">
        <v>4.268</v>
      </c>
      <c r="AH198" s="185" t="n">
        <v>-0.1</v>
      </c>
      <c r="AI198" s="223" t="n">
        <v>1.50675210714491</v>
      </c>
      <c r="AJ198" s="37" t="n">
        <v>0.0629062516894536</v>
      </c>
      <c r="AK198" s="37" t="n">
        <v>0.0634301419102417</v>
      </c>
      <c r="AL198" s="39" t="n">
        <v>0.437500483238908</v>
      </c>
      <c r="AM198" s="149" t="n">
        <v>0.434545006590073</v>
      </c>
      <c r="AN198" s="129" t="n">
        <v>0</v>
      </c>
      <c r="AO198" s="150" t="n">
        <v>0.124</v>
      </c>
      <c r="AP198" s="22"/>
      <c r="AQ198" s="129" t="n">
        <v>-3.81119465542305</v>
      </c>
      <c r="AR198" s="151" t="n">
        <v>-3.07319465542305</v>
      </c>
      <c r="AS198" s="22"/>
      <c r="AT198" s="5" t="n">
        <v>0.0075</v>
      </c>
      <c r="AU198" s="22"/>
      <c r="AV198" s="129" t="n">
        <v>0.008</v>
      </c>
      <c r="AW198" s="22"/>
      <c r="AX198" s="22" t="n">
        <v>0.005</v>
      </c>
      <c r="AY198" s="39"/>
      <c r="AZ198" s="243" t="n">
        <v>0.8</v>
      </c>
      <c r="BA198" s="243"/>
      <c r="BB198" s="194" t="n">
        <v>-0.738</v>
      </c>
      <c r="BC198" s="96"/>
      <c r="BD198" s="39"/>
      <c r="BE198" s="22"/>
      <c r="BF198" s="22"/>
      <c r="BG198" s="22"/>
      <c r="BH198" s="22"/>
      <c r="BI198" s="22"/>
      <c r="BJ198" s="22"/>
      <c r="BK198" s="96"/>
      <c r="BL198" s="22"/>
      <c r="BM198" s="22"/>
      <c r="BN198" s="39"/>
      <c r="BO198" s="39"/>
      <c r="BP198" s="71"/>
      <c r="BQ198" s="22"/>
      <c r="BR198" s="71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</row>
    <row r="199" customFormat="false" ht="12.75" hidden="false" customHeight="false" outlineLevel="0" collapsed="false">
      <c r="A199" s="224" t="n">
        <v>41974</v>
      </c>
      <c r="B199" s="217" t="n">
        <v>4.408</v>
      </c>
      <c r="C199" s="253" t="n">
        <v>-0.738</v>
      </c>
      <c r="D199" s="133" t="n">
        <v>-0.646976019432008</v>
      </c>
      <c r="E199" s="133" t="n">
        <v>-0.25</v>
      </c>
      <c r="F199" s="254" t="n">
        <v>0</v>
      </c>
      <c r="G199" s="255" t="n">
        <v>0</v>
      </c>
      <c r="H199" s="255" t="n">
        <v>0</v>
      </c>
      <c r="I199" s="256" t="n">
        <v>0</v>
      </c>
      <c r="J199" s="255" t="n">
        <v>0</v>
      </c>
      <c r="K199" s="255" t="n">
        <v>0</v>
      </c>
      <c r="L199" s="227" t="n">
        <v>1.14</v>
      </c>
      <c r="M199" s="254" t="n">
        <v>-0.15</v>
      </c>
      <c r="N199" s="255" t="n">
        <v>0.35</v>
      </c>
      <c r="O199" s="256" t="n">
        <v>0</v>
      </c>
      <c r="P199" s="257" t="n">
        <v>0.308</v>
      </c>
      <c r="Q199" s="160" t="n">
        <v>0.1625</v>
      </c>
      <c r="R199" s="232" t="n">
        <v>0.17</v>
      </c>
      <c r="S199" s="139" t="n">
        <v>0.17</v>
      </c>
      <c r="T199" s="56" t="n">
        <v>1</v>
      </c>
      <c r="U199" s="258" t="n">
        <v>0.17</v>
      </c>
      <c r="V199" s="12" t="n">
        <v>3.67</v>
      </c>
      <c r="W199" s="259" t="n">
        <v>3.76102398056799</v>
      </c>
      <c r="X199" s="260" t="n">
        <v>4.158</v>
      </c>
      <c r="Y199" s="261"/>
      <c r="Z199" s="262" t="n">
        <v>0.13</v>
      </c>
      <c r="AA199" s="263" t="n">
        <v>0.696959192557086</v>
      </c>
      <c r="AB199" s="242" t="n">
        <v>5.2414758948453</v>
      </c>
      <c r="AC199" s="264" t="n">
        <v>5.3714758948453</v>
      </c>
      <c r="AD199" s="260" t="n">
        <v>5.93843508740239</v>
      </c>
      <c r="AE199" s="265" t="n">
        <v>4.716</v>
      </c>
      <c r="AF199" s="266" t="n">
        <v>4.258</v>
      </c>
      <c r="AG199" s="267" t="n">
        <v>4.408</v>
      </c>
      <c r="AH199" s="268" t="n">
        <v>-0.1</v>
      </c>
      <c r="AI199" s="223" t="n">
        <v>1.50682577430842</v>
      </c>
      <c r="AJ199" s="37" t="n">
        <v>0.062945632964122</v>
      </c>
      <c r="AK199" s="37" t="n">
        <v>0.0634625723766495</v>
      </c>
      <c r="AL199" s="39" t="n">
        <v>0.435057340170537</v>
      </c>
      <c r="AM199" s="149" t="n">
        <v>0.432139494707335</v>
      </c>
      <c r="AN199" s="269" t="n">
        <v>0</v>
      </c>
      <c r="AO199" s="270" t="n">
        <v>0.12</v>
      </c>
      <c r="AP199" s="271"/>
      <c r="AQ199" s="269" t="n">
        <v>-3.95121388780185</v>
      </c>
      <c r="AR199" s="272" t="n">
        <v>-3.21321388780185</v>
      </c>
      <c r="AS199" s="22"/>
      <c r="AT199" s="5" t="n">
        <v>0.0075</v>
      </c>
      <c r="AU199" s="22"/>
      <c r="AV199" s="129" t="n">
        <v>0.008</v>
      </c>
      <c r="AW199" s="22"/>
      <c r="AX199" s="22" t="n">
        <v>0.01</v>
      </c>
      <c r="AY199" s="39"/>
      <c r="AZ199" s="243" t="n">
        <v>1</v>
      </c>
      <c r="BA199" s="243"/>
      <c r="BB199" s="194" t="n">
        <v>-0.738</v>
      </c>
      <c r="BC199" s="96"/>
      <c r="BD199" s="39"/>
      <c r="BE199" s="22"/>
      <c r="BF199" s="22"/>
      <c r="BG199" s="22"/>
      <c r="BH199" s="22"/>
      <c r="BI199" s="22"/>
      <c r="BJ199" s="22"/>
      <c r="BK199" s="96"/>
      <c r="BL199" s="22"/>
      <c r="BM199" s="22"/>
      <c r="BN199" s="39"/>
      <c r="BO199" s="39"/>
      <c r="BP199" s="71"/>
      <c r="BQ199" s="22"/>
      <c r="BR199" s="71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</row>
    <row r="200" customFormat="false" ht="12.75" hidden="false" customHeight="false" outlineLevel="0" collapsed="false">
      <c r="A200" s="224" t="n">
        <v>42005</v>
      </c>
      <c r="B200" s="217" t="n">
        <v>4.518</v>
      </c>
      <c r="C200" s="39" t="n">
        <v>-0.738</v>
      </c>
      <c r="D200" s="40" t="n">
        <v>-0.646980723505164</v>
      </c>
      <c r="E200" s="26" t="n">
        <v>-0.25</v>
      </c>
      <c r="F200" s="26" t="n">
        <v>0</v>
      </c>
      <c r="G200" s="273" t="n">
        <v>0</v>
      </c>
      <c r="H200" s="273" t="n">
        <v>0</v>
      </c>
      <c r="I200" s="273" t="n">
        <v>0</v>
      </c>
      <c r="J200" s="274" t="n">
        <v>0</v>
      </c>
      <c r="K200" s="273" t="n">
        <v>0</v>
      </c>
      <c r="L200" s="275" t="n">
        <v>1.63</v>
      </c>
      <c r="M200" s="275" t="n">
        <v>-0.15</v>
      </c>
      <c r="N200" s="274" t="n">
        <v>0.35</v>
      </c>
      <c r="O200" s="180" t="n">
        <v>0</v>
      </c>
      <c r="P200" s="180" t="n">
        <v>0.378</v>
      </c>
      <c r="Q200" s="274" t="n">
        <v>0.1625</v>
      </c>
      <c r="R200" s="2" t="n">
        <v>0.17</v>
      </c>
      <c r="S200" s="274" t="n">
        <v>0.17</v>
      </c>
      <c r="T200" s="274" t="n">
        <v>1</v>
      </c>
      <c r="U200" s="274" t="n">
        <v>0.17</v>
      </c>
      <c r="V200" s="274" t="n">
        <v>3.78</v>
      </c>
      <c r="W200" s="274" t="n">
        <v>3.87101927649484</v>
      </c>
      <c r="X200" s="274" t="n">
        <v>4.268</v>
      </c>
      <c r="Y200" s="275"/>
      <c r="Z200" s="22" t="n">
        <v>0.13</v>
      </c>
      <c r="AA200" s="276" t="n">
        <v>0.69699521291624</v>
      </c>
      <c r="AB200" s="40" t="n">
        <v>5.398856362343</v>
      </c>
      <c r="AC200" s="22" t="n">
        <v>5.528856362343</v>
      </c>
      <c r="AD200" s="22" t="n">
        <v>6.09585157525924</v>
      </c>
      <c r="AE200" s="22" t="n">
        <v>4.896</v>
      </c>
      <c r="AF200" s="22" t="n">
        <v>4.368</v>
      </c>
      <c r="AG200" s="277" t="n">
        <v>4.518</v>
      </c>
      <c r="AH200" s="22" t="n">
        <v>-0.1</v>
      </c>
      <c r="AI200" s="223" t="n">
        <v>1.50690365032491</v>
      </c>
      <c r="AJ200" s="37" t="n">
        <v>0.0629863269484874</v>
      </c>
      <c r="AK200" s="37" t="n">
        <v>0.0634960838589711</v>
      </c>
      <c r="AL200" s="39" t="n">
        <v>0.43254424559963</v>
      </c>
      <c r="AM200" s="149" t="n">
        <v>0.429665459868897</v>
      </c>
      <c r="AN200" s="22" t="n">
        <v>0</v>
      </c>
      <c r="AO200" s="22" t="n">
        <v>0.12</v>
      </c>
      <c r="AP200" s="22"/>
      <c r="AQ200" s="22" t="n">
        <v>-4.06123393418921</v>
      </c>
      <c r="AR200" s="22" t="n">
        <v>-3.32323393418921</v>
      </c>
      <c r="AS200" s="22"/>
      <c r="AT200" s="5" t="n">
        <v>0.0075</v>
      </c>
      <c r="AU200" s="22"/>
      <c r="AV200" s="22" t="n">
        <v>0.008</v>
      </c>
      <c r="AW200" s="22"/>
      <c r="AX200" s="39" t="n">
        <v>0.03</v>
      </c>
      <c r="AY200" s="22"/>
      <c r="AZ200" s="25" t="n">
        <v>1</v>
      </c>
      <c r="BA200" s="80"/>
      <c r="BB200" s="80" t="n">
        <v>-0.738</v>
      </c>
      <c r="BC200" s="39"/>
      <c r="BD200" s="22"/>
      <c r="BE200" s="22"/>
      <c r="BF200" s="22"/>
      <c r="BG200" s="22"/>
      <c r="BH200" s="22"/>
      <c r="BI200" s="22"/>
      <c r="BJ200" s="96"/>
      <c r="BK200" s="22"/>
      <c r="BL200" s="22"/>
      <c r="BM200" s="39"/>
      <c r="BN200" s="39"/>
      <c r="BO200" s="71"/>
      <c r="BP200" s="22"/>
      <c r="BQ200" s="71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</row>
    <row r="201" customFormat="false" ht="12.75" hidden="false" customHeight="false" outlineLevel="0" collapsed="false">
      <c r="A201" s="224" t="n">
        <v>42036</v>
      </c>
      <c r="B201" s="217" t="n">
        <v>4.4</v>
      </c>
      <c r="C201" s="39" t="n">
        <v>-0.738</v>
      </c>
      <c r="D201" s="40" t="n">
        <v>-0.646985534728561</v>
      </c>
      <c r="E201" s="26" t="n">
        <v>-0.25</v>
      </c>
      <c r="F201" s="26" t="n">
        <v>0</v>
      </c>
      <c r="G201" s="273" t="n">
        <v>0</v>
      </c>
      <c r="H201" s="273" t="n">
        <v>0</v>
      </c>
      <c r="I201" s="273" t="n">
        <v>0</v>
      </c>
      <c r="J201" s="274" t="n">
        <v>0</v>
      </c>
      <c r="K201" s="273" t="n">
        <v>0</v>
      </c>
      <c r="L201" s="275" t="n">
        <v>1.63</v>
      </c>
      <c r="M201" s="275" t="n">
        <v>-0.15</v>
      </c>
      <c r="N201" s="274" t="n">
        <v>0.35</v>
      </c>
      <c r="O201" s="180" t="n">
        <v>0</v>
      </c>
      <c r="P201" s="180" t="n">
        <v>0.248</v>
      </c>
      <c r="Q201" s="274" t="n">
        <v>0.1625</v>
      </c>
      <c r="R201" s="2" t="n">
        <v>0.17</v>
      </c>
      <c r="S201" s="274" t="n">
        <v>0.17</v>
      </c>
      <c r="T201" s="274" t="n">
        <v>1</v>
      </c>
      <c r="U201" s="274" t="n">
        <v>0.17</v>
      </c>
      <c r="V201" s="274" t="n">
        <v>3.662</v>
      </c>
      <c r="W201" s="274" t="n">
        <v>3.75301446527144</v>
      </c>
      <c r="X201" s="274" t="n">
        <v>4.15</v>
      </c>
      <c r="Y201" s="275"/>
      <c r="Z201" s="22" t="n">
        <v>0.13</v>
      </c>
      <c r="AA201" s="276" t="n">
        <v>0.697032057605333</v>
      </c>
      <c r="AB201" s="40" t="n">
        <v>5.23059712080068</v>
      </c>
      <c r="AC201" s="22" t="n">
        <v>5.36059712080068</v>
      </c>
      <c r="AD201" s="22" t="n">
        <v>5.92762917840601</v>
      </c>
      <c r="AE201" s="22" t="n">
        <v>4.648</v>
      </c>
      <c r="AF201" s="22" t="n">
        <v>4.25</v>
      </c>
      <c r="AG201" s="277" t="n">
        <v>4.4</v>
      </c>
      <c r="AH201" s="22" t="n">
        <v>-0.1</v>
      </c>
      <c r="AI201" s="223" t="n">
        <v>1.50698330854273</v>
      </c>
      <c r="AJ201" s="37" t="n">
        <v>0.0630270209334021</v>
      </c>
      <c r="AK201" s="37" t="n">
        <v>0.0635295953416648</v>
      </c>
      <c r="AL201" s="39" t="n">
        <v>0.430042792450402</v>
      </c>
      <c r="AM201" s="149" t="n">
        <v>0.427203236771168</v>
      </c>
      <c r="AN201" s="22" t="n">
        <v>0</v>
      </c>
      <c r="AO201" s="22" t="n">
        <v>0.12</v>
      </c>
      <c r="AP201" s="22"/>
      <c r="AQ201" s="22" t="n">
        <v>-3.9432541563121</v>
      </c>
      <c r="AR201" s="22" t="n">
        <v>-3.2052541563121</v>
      </c>
      <c r="AS201" s="22"/>
      <c r="AT201" s="5" t="n">
        <v>0.0075</v>
      </c>
      <c r="AU201" s="22"/>
      <c r="AV201" s="22" t="n">
        <v>0.008</v>
      </c>
      <c r="AW201" s="22"/>
      <c r="AX201" s="39" t="n">
        <v>0.025</v>
      </c>
      <c r="AY201" s="22"/>
      <c r="AZ201" s="25" t="n">
        <v>1</v>
      </c>
      <c r="BA201" s="80"/>
      <c r="BB201" s="80" t="n">
        <v>-0.738</v>
      </c>
      <c r="BC201" s="39"/>
      <c r="BD201" s="22"/>
      <c r="BE201" s="22"/>
      <c r="BF201" s="22"/>
      <c r="BG201" s="22"/>
      <c r="BH201" s="22"/>
      <c r="BI201" s="22"/>
      <c r="BJ201" s="96"/>
      <c r="BK201" s="22"/>
      <c r="BL201" s="22"/>
      <c r="BM201" s="39"/>
      <c r="BN201" s="39"/>
      <c r="BO201" s="71"/>
      <c r="BP201" s="22"/>
      <c r="BQ201" s="71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</row>
    <row r="202" customFormat="false" ht="12.75" hidden="false" customHeight="false" outlineLevel="0" collapsed="false">
      <c r="A202" s="224" t="n">
        <v>42064</v>
      </c>
      <c r="B202" s="217" t="n">
        <v>4.267</v>
      </c>
      <c r="C202" s="39" t="n">
        <v>-0.738</v>
      </c>
      <c r="D202" s="40" t="n">
        <v>-0.646989972428647</v>
      </c>
      <c r="E202" s="26" t="n">
        <v>-0.25</v>
      </c>
      <c r="F202" s="26" t="n">
        <v>0</v>
      </c>
      <c r="G202" s="273" t="n">
        <v>0</v>
      </c>
      <c r="H202" s="273" t="n">
        <v>0</v>
      </c>
      <c r="I202" s="273" t="n">
        <v>0</v>
      </c>
      <c r="J202" s="274" t="n">
        <v>0</v>
      </c>
      <c r="K202" s="273" t="n">
        <v>0</v>
      </c>
      <c r="L202" s="275" t="n">
        <v>0.72</v>
      </c>
      <c r="M202" s="275" t="n">
        <v>-0.15</v>
      </c>
      <c r="N202" s="274" t="n">
        <v>0.35</v>
      </c>
      <c r="O202" s="180" t="n">
        <v>0</v>
      </c>
      <c r="P202" s="180" t="n">
        <v>0.068</v>
      </c>
      <c r="Q202" s="274" t="n">
        <v>0.1625</v>
      </c>
      <c r="R202" s="2" t="n">
        <v>0.17</v>
      </c>
      <c r="S202" s="274" t="n">
        <v>0.17</v>
      </c>
      <c r="T202" s="274" t="n">
        <v>0.75</v>
      </c>
      <c r="U202" s="274" t="n">
        <v>0.17</v>
      </c>
      <c r="V202" s="274" t="n">
        <v>3.529</v>
      </c>
      <c r="W202" s="274" t="n">
        <v>3.62001002757135</v>
      </c>
      <c r="X202" s="274" t="n">
        <v>4.017</v>
      </c>
      <c r="Y202" s="275"/>
      <c r="Z202" s="22" t="n">
        <v>0.13</v>
      </c>
      <c r="AA202" s="276" t="n">
        <v>0.697066045280143</v>
      </c>
      <c r="AB202" s="40" t="n">
        <v>5.04087310203612</v>
      </c>
      <c r="AC202" s="22" t="n">
        <v>5.17087310203612</v>
      </c>
      <c r="AD202" s="22" t="n">
        <v>5.73793914731626</v>
      </c>
      <c r="AE202" s="22" t="n">
        <v>4.335</v>
      </c>
      <c r="AF202" s="22" t="n">
        <v>4.117</v>
      </c>
      <c r="AG202" s="277" t="n">
        <v>4.267</v>
      </c>
      <c r="AH202" s="22" t="n">
        <v>-0.1</v>
      </c>
      <c r="AI202" s="223" t="n">
        <v>1.50705678989567</v>
      </c>
      <c r="AJ202" s="37" t="n">
        <v>0.0630637767912163</v>
      </c>
      <c r="AK202" s="37" t="n">
        <v>0.0635598637779671</v>
      </c>
      <c r="AL202" s="39" t="n">
        <v>0.427793393277795</v>
      </c>
      <c r="AM202" s="149" t="n">
        <v>0.424989412005147</v>
      </c>
      <c r="AN202" s="22" t="n">
        <v>0</v>
      </c>
      <c r="AO202" s="22" t="n">
        <v>0.12</v>
      </c>
      <c r="AP202" s="22"/>
      <c r="AQ202" s="22" t="n">
        <v>-3.81027257247957</v>
      </c>
      <c r="AR202" s="22" t="n">
        <v>-3.07227257247957</v>
      </c>
      <c r="AS202" s="22"/>
      <c r="AT202" s="5" t="n">
        <v>0.0075</v>
      </c>
      <c r="AU202" s="22"/>
      <c r="AV202" s="22" t="n">
        <v>0.008</v>
      </c>
      <c r="AW202" s="22"/>
      <c r="AX202" s="39" t="n">
        <v>0.005</v>
      </c>
      <c r="AY202" s="22"/>
      <c r="AZ202" s="25" t="n">
        <v>1</v>
      </c>
      <c r="BA202" s="80"/>
      <c r="BB202" s="80" t="n">
        <v>-0.738</v>
      </c>
      <c r="BC202" s="39"/>
      <c r="BD202" s="22"/>
      <c r="BE202" s="22"/>
      <c r="BF202" s="22"/>
      <c r="BG202" s="22"/>
      <c r="BH202" s="22"/>
      <c r="BI202" s="22"/>
      <c r="BJ202" s="96"/>
      <c r="BK202" s="22"/>
      <c r="BL202" s="22"/>
      <c r="BM202" s="39"/>
      <c r="BN202" s="39"/>
      <c r="BO202" s="71"/>
      <c r="BP202" s="22"/>
      <c r="BQ202" s="71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</row>
    <row r="203" customFormat="false" ht="12.75" hidden="false" customHeight="false" outlineLevel="0" collapsed="false">
      <c r="A203" s="224" t="n">
        <v>42095</v>
      </c>
      <c r="B203" s="217" t="n">
        <v>4.047</v>
      </c>
      <c r="C203" s="39" t="n">
        <v>-0.838</v>
      </c>
      <c r="D203" s="40" t="n">
        <v>-0.746994987519821</v>
      </c>
      <c r="E203" s="26" t="n">
        <v>-0.25</v>
      </c>
      <c r="F203" s="26" t="n">
        <v>0</v>
      </c>
      <c r="G203" s="273" t="n">
        <v>0</v>
      </c>
      <c r="H203" s="273" t="n">
        <v>0</v>
      </c>
      <c r="I203" s="273" t="n">
        <v>0</v>
      </c>
      <c r="J203" s="274" t="n">
        <v>0</v>
      </c>
      <c r="K203" s="273" t="n">
        <v>0</v>
      </c>
      <c r="L203" s="275" t="n">
        <v>0.48</v>
      </c>
      <c r="M203" s="275" t="n">
        <v>-0.22</v>
      </c>
      <c r="N203" s="274" t="n">
        <v>0.43</v>
      </c>
      <c r="O203" s="180" t="n">
        <v>0</v>
      </c>
      <c r="P203" s="180" t="n">
        <v>-0.25</v>
      </c>
      <c r="Q203" s="274" t="n">
        <v>0.1625</v>
      </c>
      <c r="R203" s="2" t="n">
        <v>0.17</v>
      </c>
      <c r="S203" s="274" t="n">
        <v>0.17</v>
      </c>
      <c r="T203" s="274" t="n">
        <v>0.4</v>
      </c>
      <c r="U203" s="274" t="n">
        <v>0.17</v>
      </c>
      <c r="V203" s="274" t="n">
        <v>3.209</v>
      </c>
      <c r="W203" s="274" t="n">
        <v>3.30000501248018</v>
      </c>
      <c r="X203" s="274" t="n">
        <v>3.797</v>
      </c>
      <c r="Y203" s="275"/>
      <c r="Z203" s="22" t="n">
        <v>0.13</v>
      </c>
      <c r="AA203" s="276" t="n">
        <v>0.83995373350066</v>
      </c>
      <c r="AB203" s="40" t="n">
        <v>4.58403321565242</v>
      </c>
      <c r="AC203" s="22" t="n">
        <v>4.71403321565242</v>
      </c>
      <c r="AD203" s="22" t="n">
        <v>5.42398694915308</v>
      </c>
      <c r="AE203" s="22" t="n">
        <v>3.797</v>
      </c>
      <c r="AF203" s="22" t="n">
        <v>3.827</v>
      </c>
      <c r="AG203" s="277" t="n">
        <v>4.047</v>
      </c>
      <c r="AH203" s="22" t="n">
        <v>-0.1</v>
      </c>
      <c r="AI203" s="223" t="n">
        <v>1.50713984056509</v>
      </c>
      <c r="AJ203" s="37" t="n">
        <v>0.0631044707771768</v>
      </c>
      <c r="AK203" s="37" t="n">
        <v>0.0635933752613695</v>
      </c>
      <c r="AL203" s="39" t="n">
        <v>0.425314002734933</v>
      </c>
      <c r="AM203" s="149" t="n">
        <v>0.422549557199756</v>
      </c>
      <c r="AN203" s="22" t="n">
        <v>0</v>
      </c>
      <c r="AO203" s="22" t="n">
        <v>0.12</v>
      </c>
      <c r="AP203" s="22"/>
      <c r="AQ203" s="22" t="n">
        <v>-3.49055811443422</v>
      </c>
      <c r="AR203" s="22" t="n">
        <v>-2.65255811443422</v>
      </c>
      <c r="AS203" s="22"/>
      <c r="AT203" s="5" t="n">
        <v>0.0075</v>
      </c>
      <c r="AU203" s="22"/>
      <c r="AV203" s="22" t="n">
        <v>0.008</v>
      </c>
      <c r="AW203" s="22"/>
      <c r="AX203" s="39" t="n">
        <v>-0.105</v>
      </c>
      <c r="AY203" s="22"/>
      <c r="AZ203" s="25" t="n">
        <v>1</v>
      </c>
      <c r="BA203" s="80"/>
      <c r="BB203" s="80" t="n">
        <v>-0.838</v>
      </c>
      <c r="BC203" s="39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</row>
    <row r="204" customFormat="false" ht="12.75" hidden="false" customHeight="false" outlineLevel="0" collapsed="false">
      <c r="A204" s="224" t="n">
        <v>42125</v>
      </c>
      <c r="B204" s="217" t="n">
        <v>4.037</v>
      </c>
      <c r="C204" s="39" t="n">
        <v>-0.838</v>
      </c>
      <c r="D204" s="40"/>
      <c r="E204" s="26"/>
      <c r="F204" s="26"/>
      <c r="G204" s="273"/>
      <c r="H204" s="273"/>
      <c r="I204" s="273"/>
      <c r="J204" s="274"/>
      <c r="K204" s="273"/>
      <c r="L204" s="275"/>
      <c r="M204" s="275"/>
      <c r="N204" s="274"/>
      <c r="O204" s="180"/>
      <c r="P204" s="180" t="n">
        <v>-0.1</v>
      </c>
      <c r="Q204" s="274"/>
      <c r="S204" s="274"/>
      <c r="T204" s="274"/>
      <c r="U204" s="274"/>
      <c r="V204" s="274" t="n">
        <v>3.199</v>
      </c>
      <c r="W204" s="274"/>
      <c r="X204" s="274"/>
      <c r="Y204" s="275"/>
      <c r="Z204" s="22"/>
      <c r="AA204" s="276"/>
      <c r="AB204" s="40" t="n">
        <v>4.56999712699698</v>
      </c>
      <c r="AC204" s="22"/>
      <c r="AD204" s="22"/>
      <c r="AE204" s="22"/>
      <c r="AF204" s="22"/>
      <c r="AG204" s="277"/>
      <c r="AH204" s="22"/>
      <c r="AI204" s="223" t="n">
        <v>1.50722190960329</v>
      </c>
      <c r="AJ204" s="37" t="n">
        <v>0.0631438520544352</v>
      </c>
      <c r="AK204" s="37" t="n">
        <v>0.0636258057295334</v>
      </c>
      <c r="AL204" s="39" t="n">
        <v>0.422925583298484</v>
      </c>
      <c r="AM204" s="149" t="n">
        <v>0.420199542042996</v>
      </c>
      <c r="AN204" s="22"/>
      <c r="AO204" s="22"/>
      <c r="AP204" s="22"/>
      <c r="AQ204" s="22"/>
      <c r="AR204" s="22"/>
      <c r="AS204" s="22"/>
      <c r="AU204" s="22"/>
      <c r="AV204" s="22"/>
      <c r="AW204" s="22"/>
      <c r="AX204" s="39"/>
      <c r="AY204" s="22"/>
      <c r="AZ204" s="25"/>
      <c r="BA204" s="80"/>
      <c r="BB204" s="80"/>
      <c r="BC204" s="39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</row>
    <row r="205" customFormat="false" ht="12.75" hidden="false" customHeight="false" outlineLevel="0" collapsed="false">
      <c r="A205" s="224" t="n">
        <v>42156</v>
      </c>
      <c r="B205" s="217" t="n">
        <v>4.073</v>
      </c>
      <c r="C205" s="22" t="n">
        <v>-0.838</v>
      </c>
      <c r="D205" s="22"/>
      <c r="E205" s="22"/>
      <c r="F205" s="22"/>
      <c r="G205" s="273"/>
      <c r="H205" s="273"/>
      <c r="I205" s="273"/>
      <c r="J205" s="274"/>
      <c r="K205" s="273"/>
      <c r="L205" s="275"/>
      <c r="M205" s="275"/>
      <c r="N205" s="274"/>
      <c r="O205" s="180"/>
      <c r="P205" s="180" t="n">
        <v>-0.1</v>
      </c>
      <c r="Q205" s="274"/>
      <c r="S205" s="274"/>
      <c r="T205" s="274"/>
      <c r="U205" s="274"/>
      <c r="V205" s="274" t="n">
        <v>3.235</v>
      </c>
      <c r="W205" s="274"/>
      <c r="X205" s="274"/>
      <c r="Y205" s="39"/>
      <c r="Z205" s="22"/>
      <c r="AA205" s="24"/>
      <c r="AB205" s="22" t="n">
        <v>4.62169107187508</v>
      </c>
      <c r="AC205" s="22"/>
      <c r="AD205" s="22"/>
      <c r="AE205" s="22"/>
      <c r="AF205" s="22"/>
      <c r="AG205" s="277"/>
      <c r="AH205" s="22"/>
      <c r="AI205" s="223" t="n">
        <v>1.50730846847859</v>
      </c>
      <c r="AJ205" s="37" t="n">
        <v>0.0631845460414766</v>
      </c>
      <c r="AK205" s="37" t="n">
        <v>0.0636593172136695</v>
      </c>
      <c r="AL205" s="39" t="n">
        <v>0.420468873923194</v>
      </c>
      <c r="AM205" s="149" t="n">
        <v>0.417782659456879</v>
      </c>
      <c r="AN205" s="22"/>
      <c r="AO205" s="22"/>
      <c r="AP205" s="22"/>
      <c r="AQ205" s="22"/>
      <c r="AR205" s="22"/>
      <c r="AS205" s="22"/>
      <c r="AU205" s="22"/>
      <c r="AV205" s="22"/>
      <c r="AW205" s="22"/>
      <c r="AX205" s="22"/>
      <c r="AY205" s="22"/>
      <c r="AZ205" s="25"/>
      <c r="BA205" s="25"/>
      <c r="BB205" s="25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</row>
    <row r="206" customFormat="false" ht="12.75" hidden="false" customHeight="false" outlineLevel="0" collapsed="false">
      <c r="A206" s="224" t="n">
        <v>42186</v>
      </c>
      <c r="B206" s="217" t="n">
        <v>4.115</v>
      </c>
      <c r="C206" s="22" t="n">
        <v>-0.838</v>
      </c>
      <c r="D206" s="22"/>
      <c r="E206" s="22"/>
      <c r="F206" s="22"/>
      <c r="G206" s="273"/>
      <c r="H206" s="273"/>
      <c r="I206" s="273"/>
      <c r="J206" s="274"/>
      <c r="K206" s="273"/>
      <c r="L206" s="275"/>
      <c r="M206" s="275"/>
      <c r="N206" s="274"/>
      <c r="O206" s="180"/>
      <c r="P206" s="180" t="n">
        <v>-0.1</v>
      </c>
      <c r="Q206" s="274"/>
      <c r="S206" s="274"/>
      <c r="T206" s="274"/>
      <c r="U206" s="274"/>
      <c r="V206" s="274" t="n">
        <v>3.277</v>
      </c>
      <c r="W206" s="274"/>
      <c r="X206" s="274"/>
      <c r="Y206" s="22"/>
      <c r="Z206" s="22"/>
      <c r="AA206" s="24"/>
      <c r="AB206" s="22" t="n">
        <v>4.68195993222802</v>
      </c>
      <c r="AC206" s="22"/>
      <c r="AD206" s="22"/>
      <c r="AE206" s="22"/>
      <c r="AF206" s="22"/>
      <c r="AG206" s="277"/>
      <c r="AH206" s="22"/>
      <c r="AI206" s="223" t="n">
        <v>1.50739393294378</v>
      </c>
      <c r="AJ206" s="37" t="n">
        <v>0.0632239273197817</v>
      </c>
      <c r="AK206" s="37" t="n">
        <v>0.0636917476825429</v>
      </c>
      <c r="AL206" s="39" t="n">
        <v>0.418102340289046</v>
      </c>
      <c r="AM206" s="149" t="n">
        <v>0.415454799671261</v>
      </c>
      <c r="AN206" s="22"/>
      <c r="AO206" s="22"/>
      <c r="AP206" s="22"/>
      <c r="AQ206" s="22"/>
      <c r="AR206" s="22"/>
      <c r="AS206" s="22"/>
      <c r="AU206" s="22"/>
      <c r="AV206" s="22"/>
      <c r="AW206" s="22"/>
      <c r="AX206" s="22"/>
      <c r="AY206" s="22"/>
      <c r="AZ206" s="25"/>
      <c r="BA206" s="25"/>
      <c r="BB206" s="25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</row>
    <row r="207" customFormat="false" ht="12.75" hidden="false" customHeight="false" outlineLevel="0" collapsed="false">
      <c r="A207" s="224" t="n">
        <v>42217</v>
      </c>
      <c r="B207" s="217" t="n">
        <v>4.164</v>
      </c>
      <c r="C207" s="22" t="n">
        <v>-0.838</v>
      </c>
      <c r="D207" s="22"/>
      <c r="E207" s="22"/>
      <c r="F207" s="22"/>
      <c r="G207" s="273"/>
      <c r="H207" s="273"/>
      <c r="I207" s="273"/>
      <c r="J207" s="274"/>
      <c r="K207" s="273"/>
      <c r="L207" s="275"/>
      <c r="M207" s="275"/>
      <c r="N207" s="274"/>
      <c r="O207" s="180"/>
      <c r="P207" s="180" t="n">
        <v>-0.1</v>
      </c>
      <c r="Q207" s="274"/>
      <c r="S207" s="274"/>
      <c r="T207" s="274"/>
      <c r="U207" s="274"/>
      <c r="V207" s="274" t="n">
        <v>3.326</v>
      </c>
      <c r="W207" s="274"/>
      <c r="X207" s="274"/>
      <c r="Y207" s="22"/>
      <c r="Z207" s="22"/>
      <c r="AA207" s="24"/>
      <c r="AB207" s="22" t="n">
        <v>4.75225181108627</v>
      </c>
      <c r="AC207" s="22"/>
      <c r="AD207" s="22"/>
      <c r="AE207" s="22"/>
      <c r="AF207" s="22"/>
      <c r="AG207" s="277"/>
      <c r="AH207" s="22"/>
      <c r="AI207" s="223" t="n">
        <v>1.50748400084108</v>
      </c>
      <c r="AJ207" s="37" t="n">
        <v>0.063264621307904</v>
      </c>
      <c r="AK207" s="37" t="n">
        <v>0.0637252591674113</v>
      </c>
      <c r="AL207" s="39" t="n">
        <v>0.415668180339647</v>
      </c>
      <c r="AM207" s="149" t="n">
        <v>0.413060732709783</v>
      </c>
      <c r="AN207" s="22"/>
      <c r="AO207" s="22"/>
      <c r="AP207" s="22"/>
      <c r="AQ207" s="22"/>
      <c r="AR207" s="22"/>
      <c r="AS207" s="22"/>
      <c r="AU207" s="22"/>
      <c r="AV207" s="22"/>
      <c r="AW207" s="22"/>
      <c r="AX207" s="22"/>
      <c r="AY207" s="22"/>
      <c r="AZ207" s="25"/>
      <c r="BA207" s="25"/>
      <c r="BB207" s="25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</row>
    <row r="208" customFormat="false" ht="12.75" hidden="false" customHeight="false" outlineLevel="0" collapsed="false">
      <c r="A208" s="224" t="n">
        <v>42248</v>
      </c>
      <c r="B208" s="217" t="n">
        <v>4.179</v>
      </c>
      <c r="C208" s="22" t="n">
        <v>-0.838</v>
      </c>
      <c r="D208" s="22"/>
      <c r="E208" s="22"/>
      <c r="F208" s="22"/>
      <c r="G208" s="273"/>
      <c r="H208" s="273"/>
      <c r="I208" s="273"/>
      <c r="J208" s="274"/>
      <c r="K208" s="273"/>
      <c r="L208" s="275"/>
      <c r="M208" s="275"/>
      <c r="N208" s="274"/>
      <c r="O208" s="180"/>
      <c r="P208" s="180" t="n">
        <v>-0.1</v>
      </c>
      <c r="Q208" s="274"/>
      <c r="S208" s="274"/>
      <c r="T208" s="274"/>
      <c r="U208" s="274"/>
      <c r="V208" s="274" t="n">
        <v>3.341</v>
      </c>
      <c r="W208" s="274"/>
      <c r="X208" s="274"/>
      <c r="Y208" s="22"/>
      <c r="Z208" s="22"/>
      <c r="AA208" s="24"/>
      <c r="AB208" s="22" t="n">
        <v>4.77397495741266</v>
      </c>
      <c r="AC208" s="22"/>
      <c r="AD208" s="22"/>
      <c r="AE208" s="22"/>
      <c r="AF208" s="22"/>
      <c r="AG208" s="277"/>
      <c r="AH208" s="22"/>
      <c r="AI208" s="223" t="n">
        <v>1.50757585234001</v>
      </c>
      <c r="AJ208" s="37" t="n">
        <v>0.0633053152965757</v>
      </c>
      <c r="AK208" s="37" t="n">
        <v>0.0637587706526523</v>
      </c>
      <c r="AL208" s="39" t="n">
        <v>0.413245429366782</v>
      </c>
      <c r="AM208" s="149" t="n">
        <v>0.410678200661331</v>
      </c>
      <c r="AN208" s="22"/>
      <c r="AO208" s="22"/>
      <c r="AP208" s="22"/>
      <c r="AQ208" s="22"/>
      <c r="AR208" s="22"/>
      <c r="AS208" s="22"/>
      <c r="AU208" s="22"/>
      <c r="AV208" s="22"/>
      <c r="AW208" s="22"/>
      <c r="AX208" s="22"/>
      <c r="AY208" s="22"/>
      <c r="AZ208" s="25"/>
      <c r="BA208" s="25"/>
      <c r="BB208" s="25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</row>
    <row r="209" customFormat="false" ht="12.75" hidden="false" customHeight="false" outlineLevel="0" collapsed="false">
      <c r="A209" s="224" t="n">
        <v>42278</v>
      </c>
      <c r="B209" s="217" t="n">
        <v>4.208</v>
      </c>
      <c r="C209" s="22" t="n">
        <v>-0.838</v>
      </c>
      <c r="D209" s="22"/>
      <c r="E209" s="22"/>
      <c r="F209" s="22"/>
      <c r="G209" s="273"/>
      <c r="H209" s="273"/>
      <c r="I209" s="273"/>
      <c r="J209" s="274"/>
      <c r="K209" s="273"/>
      <c r="L209" s="275"/>
      <c r="M209" s="275"/>
      <c r="N209" s="274"/>
      <c r="O209" s="180"/>
      <c r="P209" s="180" t="n">
        <v>-0.1</v>
      </c>
      <c r="Q209" s="274"/>
      <c r="S209" s="274"/>
      <c r="T209" s="274"/>
      <c r="U209" s="274"/>
      <c r="V209" s="274" t="n">
        <v>3.37</v>
      </c>
      <c r="W209" s="274"/>
      <c r="X209" s="274"/>
      <c r="Y209" s="22"/>
      <c r="Z209" s="22"/>
      <c r="AA209" s="24"/>
      <c r="AB209" s="22" t="n">
        <v>4.8157025793336</v>
      </c>
      <c r="AC209" s="22"/>
      <c r="AD209" s="22"/>
      <c r="AE209" s="22"/>
      <c r="AF209" s="22"/>
      <c r="AG209" s="277"/>
      <c r="AH209" s="22"/>
      <c r="AI209" s="223" t="n">
        <v>1.50766643932979</v>
      </c>
      <c r="AJ209" s="37" t="n">
        <v>0.0633446965764581</v>
      </c>
      <c r="AK209" s="37" t="n">
        <v>0.0637912011225956</v>
      </c>
      <c r="AL209" s="39" t="n">
        <v>0.410911662379489</v>
      </c>
      <c r="AM209" s="149" t="n">
        <v>0.408383469280666</v>
      </c>
      <c r="AN209" s="22"/>
      <c r="AO209" s="22"/>
      <c r="AP209" s="22"/>
      <c r="AQ209" s="22"/>
      <c r="AR209" s="22"/>
      <c r="AS209" s="22"/>
      <c r="AU209" s="22"/>
      <c r="AV209" s="22"/>
      <c r="AW209" s="22"/>
      <c r="AX209" s="22"/>
      <c r="AY209" s="22"/>
      <c r="AZ209" s="25"/>
      <c r="BA209" s="25"/>
      <c r="BB209" s="25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</row>
    <row r="210" customFormat="false" ht="12.75" hidden="false" customHeight="false" outlineLevel="0" collapsed="false">
      <c r="A210" s="224" t="n">
        <v>42309</v>
      </c>
      <c r="B210" s="217" t="n">
        <v>4.348</v>
      </c>
      <c r="C210" s="22" t="n">
        <v>-0.738</v>
      </c>
      <c r="D210" s="22"/>
      <c r="E210" s="22"/>
      <c r="F210" s="22"/>
      <c r="G210" s="273"/>
      <c r="H210" s="273"/>
      <c r="I210" s="273"/>
      <c r="J210" s="274"/>
      <c r="K210" s="273"/>
      <c r="L210" s="275"/>
      <c r="M210" s="275"/>
      <c r="N210" s="274"/>
      <c r="O210" s="278"/>
      <c r="P210" s="274"/>
      <c r="Q210" s="274"/>
      <c r="S210" s="274"/>
      <c r="T210" s="274"/>
      <c r="U210" s="274"/>
      <c r="V210" s="274" t="n">
        <v>3.61</v>
      </c>
      <c r="W210" s="274"/>
      <c r="X210" s="274"/>
      <c r="Y210" s="22"/>
      <c r="Z210" s="22"/>
      <c r="AA210" s="24"/>
      <c r="AB210" s="22" t="n">
        <v>5.15898691845065</v>
      </c>
      <c r="AC210" s="22"/>
      <c r="AD210" s="22"/>
      <c r="AE210" s="22"/>
      <c r="AF210" s="22"/>
      <c r="AG210" s="277"/>
      <c r="AH210" s="22"/>
      <c r="AI210" s="223" t="n">
        <v>1.50776180117254</v>
      </c>
      <c r="AJ210" s="37" t="n">
        <v>0.0633853905662107</v>
      </c>
      <c r="AK210" s="37" t="n">
        <v>0.0638247126085698</v>
      </c>
      <c r="AL210" s="39" t="n">
        <v>0.408511261674948</v>
      </c>
      <c r="AM210" s="149" t="n">
        <v>0.406023517272434</v>
      </c>
      <c r="AN210" s="22"/>
      <c r="AO210" s="22"/>
      <c r="AP210" s="22"/>
      <c r="AQ210" s="22"/>
      <c r="AR210" s="22"/>
      <c r="AS210" s="22"/>
      <c r="AU210" s="22"/>
      <c r="AV210" s="22"/>
      <c r="AW210" s="22"/>
      <c r="AX210" s="22"/>
      <c r="AY210" s="22"/>
      <c r="AZ210" s="25"/>
      <c r="BA210" s="25"/>
      <c r="BB210" s="25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</row>
    <row r="211" customFormat="false" ht="12.75" hidden="false" customHeight="false" outlineLevel="0" collapsed="false">
      <c r="A211" s="224" t="n">
        <v>42339</v>
      </c>
      <c r="B211" s="217" t="n">
        <v>4.488</v>
      </c>
      <c r="C211" s="22" t="n">
        <v>-0.738</v>
      </c>
      <c r="D211" s="22"/>
      <c r="E211" s="22"/>
      <c r="F211" s="22"/>
      <c r="G211" s="273"/>
      <c r="H211" s="273"/>
      <c r="I211" s="273"/>
      <c r="J211" s="274"/>
      <c r="K211" s="273"/>
      <c r="L211" s="275"/>
      <c r="M211" s="275"/>
      <c r="N211" s="274"/>
      <c r="O211" s="278"/>
      <c r="P211" s="274"/>
      <c r="Q211" s="274"/>
      <c r="S211" s="274"/>
      <c r="T211" s="274"/>
      <c r="U211" s="274"/>
      <c r="V211" s="274" t="n">
        <v>3.75</v>
      </c>
      <c r="W211" s="274"/>
      <c r="X211" s="274"/>
      <c r="Y211" s="22"/>
      <c r="Z211" s="22"/>
      <c r="AA211" s="24"/>
      <c r="AB211" s="22" t="n">
        <v>5.35939248384688</v>
      </c>
      <c r="AC211" s="22"/>
      <c r="AD211" s="22"/>
      <c r="AE211" s="22"/>
      <c r="AF211" s="22"/>
      <c r="AG211" s="277"/>
      <c r="AH211" s="22"/>
      <c r="AI211" s="223" t="n">
        <v>1.50785578571668</v>
      </c>
      <c r="AJ211" s="37" t="n">
        <v>0.0634247718471395</v>
      </c>
      <c r="AK211" s="37" t="n">
        <v>0.0638571430792214</v>
      </c>
      <c r="AL211" s="39" t="n">
        <v>0.406199059973097</v>
      </c>
      <c r="AM211" s="149" t="n">
        <v>0.403750562118069</v>
      </c>
      <c r="AN211" s="22"/>
      <c r="AO211" s="22"/>
      <c r="AP211" s="22"/>
      <c r="AQ211" s="22"/>
      <c r="AR211" s="22"/>
      <c r="AS211" s="22"/>
      <c r="AU211" s="22"/>
      <c r="AV211" s="22"/>
      <c r="AW211" s="22"/>
      <c r="AX211" s="22"/>
      <c r="AY211" s="22"/>
      <c r="AZ211" s="25"/>
      <c r="BA211" s="25"/>
      <c r="BB211" s="25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</row>
    <row r="212" customFormat="false" ht="12.75" hidden="false" customHeight="false" outlineLevel="0" collapsed="false">
      <c r="A212" s="224" t="n">
        <v>42370</v>
      </c>
      <c r="B212" s="217" t="n">
        <v>4.598</v>
      </c>
      <c r="C212" s="22" t="n">
        <v>-0.738</v>
      </c>
      <c r="D212" s="22"/>
      <c r="E212" s="22"/>
      <c r="F212" s="22"/>
      <c r="G212" s="273"/>
      <c r="H212" s="273"/>
      <c r="I212" s="273"/>
      <c r="J212" s="274"/>
      <c r="K212" s="273"/>
      <c r="L212" s="275"/>
      <c r="M212" s="275"/>
      <c r="N212" s="274"/>
      <c r="O212" s="278"/>
      <c r="P212" s="274"/>
      <c r="Q212" s="274"/>
      <c r="S212" s="274"/>
      <c r="T212" s="274"/>
      <c r="U212" s="274"/>
      <c r="V212" s="274" t="n">
        <v>3.86</v>
      </c>
      <c r="W212" s="274"/>
      <c r="X212" s="274"/>
      <c r="Y212" s="22"/>
      <c r="Z212" s="22"/>
      <c r="AA212" s="24"/>
      <c r="AB212" s="22" t="n">
        <v>5.51696306463585</v>
      </c>
      <c r="AC212" s="22"/>
      <c r="AD212" s="22"/>
      <c r="AE212" s="22"/>
      <c r="AF212" s="22"/>
      <c r="AG212" s="277"/>
      <c r="AH212" s="22"/>
      <c r="AI212" s="223" t="n">
        <v>1.50795465884001</v>
      </c>
      <c r="AJ212" s="37" t="n">
        <v>0.063465465837973</v>
      </c>
      <c r="AK212" s="37" t="n">
        <v>0.0638906545659288</v>
      </c>
      <c r="AL212" s="39" t="n">
        <v>0.403820877202638</v>
      </c>
      <c r="AM212" s="149" t="n">
        <v>0.401413034353709</v>
      </c>
      <c r="AN212" s="22"/>
      <c r="AO212" s="22"/>
      <c r="AP212" s="22"/>
      <c r="AQ212" s="22"/>
      <c r="AR212" s="22"/>
      <c r="AS212" s="22"/>
      <c r="AU212" s="22"/>
      <c r="AV212" s="22"/>
      <c r="AW212" s="22"/>
      <c r="AX212" s="22"/>
      <c r="AY212" s="22"/>
      <c r="AZ212" s="25"/>
      <c r="BA212" s="25"/>
      <c r="BB212" s="25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</row>
    <row r="213" customFormat="false" ht="12.75" hidden="false" customHeight="false" outlineLevel="0" collapsed="false">
      <c r="A213" s="224" t="n">
        <v>42401</v>
      </c>
      <c r="B213" s="217" t="n">
        <v>4.48</v>
      </c>
      <c r="C213" s="22" t="n">
        <v>-0.738</v>
      </c>
      <c r="D213" s="22"/>
      <c r="E213" s="22"/>
      <c r="F213" s="22"/>
      <c r="G213" s="273"/>
      <c r="H213" s="273"/>
      <c r="I213" s="273"/>
      <c r="J213" s="274"/>
      <c r="K213" s="273"/>
      <c r="L213" s="275"/>
      <c r="M213" s="275"/>
      <c r="N213" s="274"/>
      <c r="O213" s="278"/>
      <c r="P213" s="274"/>
      <c r="Q213" s="274"/>
      <c r="S213" s="274"/>
      <c r="T213" s="274"/>
      <c r="U213" s="274"/>
      <c r="V213" s="274" t="n">
        <v>3.742</v>
      </c>
      <c r="W213" s="274"/>
      <c r="X213" s="274"/>
      <c r="Y213" s="22"/>
      <c r="Z213" s="22"/>
      <c r="AA213" s="24"/>
      <c r="AB213" s="22" t="n">
        <v>5.34866679618182</v>
      </c>
      <c r="AC213" s="22"/>
      <c r="AD213" s="22"/>
      <c r="AE213" s="22"/>
      <c r="AF213" s="22"/>
      <c r="AG213" s="277"/>
      <c r="AH213" s="22"/>
      <c r="AI213" s="223" t="n">
        <v>1.50805531675906</v>
      </c>
      <c r="AJ213" s="37" t="n">
        <v>0.0635061598293563</v>
      </c>
      <c r="AK213" s="37" t="n">
        <v>0.0639241660530083</v>
      </c>
      <c r="AL213" s="39" t="n">
        <v>0.401453934731861</v>
      </c>
      <c r="AM213" s="149" t="n">
        <v>0.399086842917749</v>
      </c>
      <c r="AN213" s="22"/>
      <c r="AO213" s="22"/>
      <c r="AP213" s="22"/>
      <c r="AQ213" s="22"/>
      <c r="AR213" s="22"/>
      <c r="AS213" s="22"/>
      <c r="AU213" s="22"/>
      <c r="AV213" s="22"/>
      <c r="AW213" s="22"/>
      <c r="AX213" s="22"/>
      <c r="AY213" s="22"/>
      <c r="AZ213" s="25"/>
      <c r="BA213" s="25"/>
      <c r="BB213" s="25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</row>
    <row r="214" customFormat="false" ht="12.75" hidden="false" customHeight="false" outlineLevel="0" collapsed="false">
      <c r="A214" s="224" t="n">
        <v>42430</v>
      </c>
      <c r="B214" s="217" t="n">
        <v>4.347</v>
      </c>
      <c r="C214" s="22" t="n">
        <v>-0.738</v>
      </c>
      <c r="D214" s="22"/>
      <c r="E214" s="22"/>
      <c r="F214" s="22"/>
      <c r="G214" s="273"/>
      <c r="H214" s="273"/>
      <c r="I214" s="273"/>
      <c r="J214" s="274"/>
      <c r="K214" s="273"/>
      <c r="L214" s="275"/>
      <c r="M214" s="275"/>
      <c r="N214" s="274"/>
      <c r="O214" s="278"/>
      <c r="P214" s="274"/>
      <c r="Q214" s="274"/>
      <c r="S214" s="274"/>
      <c r="T214" s="274"/>
      <c r="U214" s="274"/>
      <c r="V214" s="274" t="n">
        <v>3.609</v>
      </c>
      <c r="W214" s="274"/>
      <c r="X214" s="274"/>
      <c r="Y214" s="22"/>
      <c r="Z214" s="22"/>
      <c r="AA214" s="24"/>
      <c r="AB214" s="22" t="n">
        <v>5.15888948810794</v>
      </c>
      <c r="AC214" s="22"/>
      <c r="AD214" s="22"/>
      <c r="AE214" s="22"/>
      <c r="AF214" s="22"/>
      <c r="AG214" s="277"/>
      <c r="AH214" s="22"/>
      <c r="AI214" s="223" t="n">
        <v>1.50815109663763</v>
      </c>
      <c r="AJ214" s="37" t="n">
        <v>0.0635442284024372</v>
      </c>
      <c r="AK214" s="37" t="n">
        <v>0.0639555155090004</v>
      </c>
      <c r="AL214" s="39" t="n">
        <v>0.399249843803189</v>
      </c>
      <c r="AM214" s="149" t="n">
        <v>0.396920955678433</v>
      </c>
      <c r="AN214" s="22"/>
      <c r="AO214" s="22"/>
      <c r="AP214" s="22"/>
      <c r="AQ214" s="22"/>
      <c r="AR214" s="22"/>
      <c r="AS214" s="22"/>
      <c r="AU214" s="22"/>
      <c r="AV214" s="22"/>
      <c r="AW214" s="22"/>
      <c r="AX214" s="22"/>
      <c r="AY214" s="22"/>
      <c r="AZ214" s="25"/>
      <c r="BA214" s="25"/>
      <c r="BB214" s="25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</row>
    <row r="215" customFormat="false" ht="12.75" hidden="false" customHeight="false" outlineLevel="0" collapsed="false">
      <c r="A215" s="224" t="n">
        <v>42461</v>
      </c>
      <c r="B215" s="217" t="n">
        <v>4.127</v>
      </c>
      <c r="C215" s="22" t="n">
        <v>-0.838</v>
      </c>
      <c r="D215" s="22"/>
      <c r="E215" s="22"/>
      <c r="F215" s="22"/>
      <c r="G215" s="273"/>
      <c r="H215" s="273"/>
      <c r="I215" s="273"/>
      <c r="J215" s="274"/>
      <c r="K215" s="273"/>
      <c r="L215" s="275"/>
      <c r="M215" s="275"/>
      <c r="N215" s="274"/>
      <c r="O215" s="278"/>
      <c r="P215" s="274"/>
      <c r="Q215" s="274"/>
      <c r="S215" s="274"/>
      <c r="T215" s="274"/>
      <c r="U215" s="274"/>
      <c r="V215" s="274" t="n">
        <v>3.289</v>
      </c>
      <c r="W215" s="274"/>
      <c r="X215" s="274"/>
      <c r="Y215" s="22"/>
      <c r="Z215" s="22"/>
      <c r="AA215" s="24"/>
      <c r="AB215" s="22" t="n">
        <v>4.70178965368191</v>
      </c>
      <c r="AC215" s="22"/>
      <c r="AD215" s="22"/>
      <c r="AE215" s="22"/>
      <c r="AF215" s="22"/>
      <c r="AG215" s="277"/>
      <c r="AH215" s="22"/>
      <c r="AI215" s="223" t="n">
        <v>1.50825520974613</v>
      </c>
      <c r="AJ215" s="37" t="n">
        <v>0.0635849223948832</v>
      </c>
      <c r="AK215" s="37" t="n">
        <v>0.0639890269968002</v>
      </c>
      <c r="AL215" s="39" t="n">
        <v>0.396904559413643</v>
      </c>
      <c r="AM215" s="149" t="n">
        <v>0.394616591633237</v>
      </c>
      <c r="AN215" s="22"/>
      <c r="AO215" s="22"/>
      <c r="AP215" s="22"/>
      <c r="AQ215" s="22"/>
      <c r="AR215" s="22"/>
      <c r="AS215" s="22"/>
      <c r="AU215" s="22"/>
      <c r="AV215" s="22"/>
      <c r="AW215" s="22"/>
      <c r="AX215" s="22"/>
      <c r="AY215" s="22"/>
      <c r="AZ215" s="25"/>
      <c r="BA215" s="25"/>
      <c r="BB215" s="25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</row>
    <row r="216" customFormat="false" ht="12.75" hidden="false" customHeight="false" outlineLevel="0" collapsed="false">
      <c r="A216" s="224" t="n">
        <v>42491</v>
      </c>
      <c r="B216" s="217" t="n">
        <v>4.117</v>
      </c>
      <c r="C216" s="22" t="n">
        <v>-0.838</v>
      </c>
      <c r="D216" s="22"/>
      <c r="E216" s="22"/>
      <c r="F216" s="22"/>
      <c r="G216" s="273"/>
      <c r="H216" s="273"/>
      <c r="I216" s="273"/>
      <c r="J216" s="274"/>
      <c r="K216" s="273"/>
      <c r="L216" s="275"/>
      <c r="M216" s="275"/>
      <c r="N216" s="274"/>
      <c r="O216" s="278"/>
      <c r="P216" s="274"/>
      <c r="Q216" s="274"/>
      <c r="S216" s="274"/>
      <c r="T216" s="274"/>
      <c r="U216" s="274"/>
      <c r="V216" s="274" t="n">
        <v>3.279</v>
      </c>
      <c r="W216" s="274"/>
      <c r="X216" s="274"/>
      <c r="Y216" s="22"/>
      <c r="Z216" s="22"/>
      <c r="AA216" s="24"/>
      <c r="AB216" s="22" t="n">
        <v>4.68781257280004</v>
      </c>
      <c r="AC216" s="22"/>
      <c r="AD216" s="22"/>
      <c r="AE216" s="22"/>
      <c r="AF216" s="22"/>
      <c r="AG216" s="277"/>
      <c r="AH216" s="22"/>
      <c r="AI216" s="223" t="n">
        <v>1.50835766447335</v>
      </c>
      <c r="AJ216" s="37" t="n">
        <v>0.0636243036784183</v>
      </c>
      <c r="AK216" s="37" t="n">
        <v>0.0640214574692197</v>
      </c>
      <c r="AL216" s="39" t="n">
        <v>0.394645536161454</v>
      </c>
      <c r="AM216" s="149" t="n">
        <v>0.392397244047016</v>
      </c>
      <c r="AN216" s="22"/>
      <c r="AO216" s="22"/>
      <c r="AP216" s="22"/>
      <c r="AQ216" s="22"/>
      <c r="AR216" s="22"/>
      <c r="AS216" s="22"/>
      <c r="AU216" s="22"/>
      <c r="AV216" s="22"/>
      <c r="AW216" s="22"/>
      <c r="AX216" s="22"/>
      <c r="AY216" s="22"/>
      <c r="AZ216" s="25"/>
      <c r="BA216" s="25"/>
      <c r="BB216" s="25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</row>
    <row r="217" customFormat="false" ht="12.75" hidden="false" customHeight="false" outlineLevel="0" collapsed="false">
      <c r="A217" s="224" t="n">
        <v>42522</v>
      </c>
      <c r="B217" s="217" t="n">
        <v>4.153</v>
      </c>
      <c r="C217" s="22" t="n">
        <v>-0.838</v>
      </c>
      <c r="D217" s="22"/>
      <c r="E217" s="22"/>
      <c r="F217" s="22"/>
      <c r="G217" s="273"/>
      <c r="H217" s="273"/>
      <c r="I217" s="273"/>
      <c r="J217" s="274"/>
      <c r="K217" s="273"/>
      <c r="L217" s="275"/>
      <c r="M217" s="275"/>
      <c r="N217" s="274"/>
      <c r="O217" s="278"/>
      <c r="P217" s="274"/>
      <c r="Q217" s="274"/>
      <c r="S217" s="274"/>
      <c r="T217" s="274"/>
      <c r="U217" s="274"/>
      <c r="V217" s="274" t="n">
        <v>3.315</v>
      </c>
      <c r="W217" s="274"/>
      <c r="X217" s="274"/>
      <c r="Y217" s="22"/>
      <c r="Z217" s="22"/>
      <c r="AA217" s="24"/>
      <c r="AB217" s="22" t="n">
        <v>4.73961803071242</v>
      </c>
      <c r="AC217" s="22"/>
      <c r="AD217" s="22"/>
      <c r="AE217" s="22"/>
      <c r="AF217" s="22"/>
      <c r="AG217" s="277"/>
      <c r="AH217" s="22"/>
      <c r="AI217" s="223" t="n">
        <v>1.50846529140613</v>
      </c>
      <c r="AJ217" s="37" t="n">
        <v>0.0636649976719452</v>
      </c>
      <c r="AK217" s="37" t="n">
        <v>0.0640549689577528</v>
      </c>
      <c r="AL217" s="39" t="n">
        <v>0.392322139088048</v>
      </c>
      <c r="AM217" s="149" t="n">
        <v>0.390114917511226</v>
      </c>
      <c r="AN217" s="22"/>
      <c r="AO217" s="22"/>
      <c r="AP217" s="22"/>
      <c r="AQ217" s="22"/>
      <c r="AR217" s="22"/>
      <c r="AS217" s="22"/>
      <c r="AU217" s="22"/>
      <c r="AV217" s="22"/>
      <c r="AW217" s="22"/>
      <c r="AX217" s="22"/>
      <c r="AY217" s="22"/>
      <c r="AZ217" s="25"/>
      <c r="BA217" s="25"/>
      <c r="BB217" s="25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</row>
    <row r="218" customFormat="false" ht="12.75" hidden="false" customHeight="false" outlineLevel="0" collapsed="false">
      <c r="A218" s="224" t="n">
        <v>42552</v>
      </c>
      <c r="B218" s="217" t="n">
        <v>4.195</v>
      </c>
      <c r="C218" s="22" t="n">
        <v>-0.838</v>
      </c>
      <c r="D218" s="22"/>
      <c r="E218" s="22"/>
      <c r="F218" s="22"/>
      <c r="G218" s="273"/>
      <c r="H218" s="273"/>
      <c r="I218" s="273"/>
      <c r="J218" s="274"/>
      <c r="K218" s="273"/>
      <c r="L218" s="275"/>
      <c r="M218" s="275"/>
      <c r="N218" s="274"/>
      <c r="O218" s="278"/>
      <c r="P218" s="274"/>
      <c r="Q218" s="133"/>
      <c r="S218" s="133"/>
      <c r="T218" s="39"/>
      <c r="U218" s="39"/>
      <c r="V218" s="39" t="n">
        <v>3.357</v>
      </c>
      <c r="W218" s="22"/>
      <c r="X218" s="22"/>
      <c r="Y218" s="22"/>
      <c r="Z218" s="22"/>
      <c r="AA218" s="24"/>
      <c r="AB218" s="22" t="n">
        <v>4.79975228020122</v>
      </c>
      <c r="AC218" s="22"/>
      <c r="AD218" s="22"/>
      <c r="AE218" s="22"/>
      <c r="AF218" s="22"/>
      <c r="AG218" s="277"/>
      <c r="AH218" s="22"/>
      <c r="AI218" s="223" t="n">
        <v>1.50849193974977</v>
      </c>
      <c r="AJ218" s="37" t="n">
        <v>0.0637007698443366</v>
      </c>
      <c r="AK218" s="37" t="n">
        <v>0.0640873994308815</v>
      </c>
      <c r="AL218" s="39" t="n">
        <v>0.390104715191561</v>
      </c>
      <c r="AM218" s="149" t="n">
        <v>0.387916821703922</v>
      </c>
      <c r="AN218" s="22"/>
      <c r="AO218" s="22"/>
      <c r="AP218" s="22"/>
      <c r="AQ218" s="22"/>
      <c r="AR218" s="22"/>
      <c r="AS218" s="22"/>
      <c r="AU218" s="22"/>
      <c r="AV218" s="22"/>
      <c r="AW218" s="22"/>
      <c r="AX218" s="22"/>
      <c r="AY218" s="22"/>
      <c r="AZ218" s="25"/>
      <c r="BA218" s="25"/>
      <c r="BB218" s="25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</row>
    <row r="219" customFormat="false" ht="12.75" hidden="false" customHeight="false" outlineLevel="0" collapsed="false">
      <c r="A219" s="224" t="n">
        <v>42583</v>
      </c>
      <c r="B219" s="217" t="n">
        <v>4.244</v>
      </c>
      <c r="C219" s="22" t="n">
        <v>-0.838</v>
      </c>
      <c r="D219" s="22"/>
      <c r="E219" s="22"/>
      <c r="F219" s="22"/>
      <c r="G219" s="273"/>
      <c r="H219" s="273"/>
      <c r="I219" s="273"/>
      <c r="J219" s="274"/>
      <c r="K219" s="273"/>
      <c r="L219" s="275"/>
      <c r="M219" s="275"/>
      <c r="N219" s="274"/>
      <c r="O219" s="278"/>
      <c r="P219" s="274"/>
      <c r="Q219" s="133"/>
      <c r="S219" s="133"/>
      <c r="T219" s="39"/>
      <c r="U219" s="39"/>
      <c r="V219" s="39" t="n">
        <v>3.406</v>
      </c>
      <c r="W219" s="22"/>
      <c r="X219" s="22"/>
      <c r="Y219" s="22"/>
      <c r="Z219" s="22"/>
      <c r="AA219" s="24"/>
      <c r="AB219" s="22" t="n">
        <v>4.86817599604583</v>
      </c>
      <c r="AC219" s="22"/>
      <c r="AD219" s="22"/>
      <c r="AE219" s="22"/>
      <c r="AF219" s="22"/>
      <c r="AG219" s="277"/>
      <c r="AH219" s="22"/>
      <c r="AI219" s="223" t="n">
        <v>1.50798540624901</v>
      </c>
      <c r="AJ219" s="37" t="n">
        <v>0.0637134932191947</v>
      </c>
      <c r="AK219" s="37" t="n">
        <v>0.0641209109201477</v>
      </c>
      <c r="AL219" s="39" t="n">
        <v>0.387961795348244</v>
      </c>
      <c r="AM219" s="149" t="n">
        <v>0.385656378093153</v>
      </c>
      <c r="AN219" s="22"/>
      <c r="AO219" s="22"/>
      <c r="AP219" s="22"/>
      <c r="AQ219" s="22"/>
      <c r="AR219" s="22"/>
      <c r="AS219" s="22"/>
      <c r="AU219" s="22"/>
      <c r="AV219" s="22"/>
      <c r="AW219" s="22"/>
      <c r="AX219" s="22"/>
      <c r="AY219" s="22"/>
      <c r="AZ219" s="25"/>
      <c r="BA219" s="25"/>
      <c r="BB219" s="25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</row>
    <row r="220" customFormat="false" ht="12.75" hidden="false" customHeight="false" outlineLevel="0" collapsed="false">
      <c r="A220" s="224" t="n">
        <v>42614</v>
      </c>
      <c r="B220" s="217" t="n">
        <v>4.259</v>
      </c>
      <c r="C220" s="22" t="n">
        <v>-0.838</v>
      </c>
      <c r="D220" s="22"/>
      <c r="E220" s="22"/>
      <c r="F220" s="22"/>
      <c r="G220" s="273"/>
      <c r="H220" s="273"/>
      <c r="I220" s="273"/>
      <c r="J220" s="274"/>
      <c r="K220" s="273"/>
      <c r="L220" s="275"/>
      <c r="M220" s="275"/>
      <c r="N220" s="274"/>
      <c r="O220" s="278"/>
      <c r="P220" s="274"/>
      <c r="Q220" s="133"/>
      <c r="S220" s="133"/>
      <c r="T220" s="39"/>
      <c r="U220" s="39"/>
      <c r="V220" s="39" t="n">
        <v>3.421</v>
      </c>
      <c r="W220" s="22"/>
      <c r="X220" s="22"/>
      <c r="Y220" s="22"/>
      <c r="Z220" s="22"/>
      <c r="AA220" s="24"/>
      <c r="AB220" s="22" t="n">
        <v>4.88795685748</v>
      </c>
      <c r="AC220" s="22"/>
      <c r="AD220" s="22"/>
      <c r="AE220" s="22"/>
      <c r="AF220" s="22"/>
      <c r="AG220" s="277"/>
      <c r="AH220" s="22"/>
      <c r="AI220" s="223" t="n">
        <v>1.5074738995105</v>
      </c>
      <c r="AJ220" s="37" t="n">
        <v>0.0637262165941062</v>
      </c>
      <c r="AK220" s="37" t="n">
        <v>0.0641544224097856</v>
      </c>
      <c r="AL220" s="39" t="n">
        <v>0.385829839845279</v>
      </c>
      <c r="AM220" s="149" t="n">
        <v>0.383406996189236</v>
      </c>
      <c r="AN220" s="22"/>
      <c r="AO220" s="22"/>
      <c r="AP220" s="22"/>
      <c r="AQ220" s="22"/>
      <c r="AR220" s="22"/>
      <c r="AS220" s="22"/>
      <c r="AU220" s="22"/>
      <c r="AV220" s="22"/>
      <c r="AW220" s="22"/>
      <c r="AX220" s="22"/>
      <c r="AY220" s="22"/>
      <c r="AZ220" s="25"/>
      <c r="BA220" s="25"/>
      <c r="BB220" s="25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</row>
    <row r="221" customFormat="false" ht="12.75" hidden="false" customHeight="false" outlineLevel="0" collapsed="false">
      <c r="A221" s="224" t="n">
        <v>42644</v>
      </c>
      <c r="B221" s="217" t="n">
        <v>4.288</v>
      </c>
      <c r="C221" s="22" t="n">
        <v>-0.838</v>
      </c>
      <c r="D221" s="22"/>
      <c r="E221" s="22"/>
      <c r="F221" s="22"/>
      <c r="G221" s="273"/>
      <c r="H221" s="273"/>
      <c r="I221" s="273"/>
      <c r="J221" s="274"/>
      <c r="K221" s="273"/>
      <c r="L221" s="275"/>
      <c r="M221" s="275"/>
      <c r="N221" s="274"/>
      <c r="O221" s="278"/>
      <c r="P221" s="274"/>
      <c r="Q221" s="133"/>
      <c r="S221" s="133"/>
      <c r="T221" s="22"/>
      <c r="U221" s="22"/>
      <c r="V221" s="22" t="n">
        <v>3.45</v>
      </c>
      <c r="W221" s="22"/>
      <c r="X221" s="22"/>
      <c r="Y221" s="22"/>
      <c r="Z221" s="22"/>
      <c r="AA221" s="24"/>
      <c r="AB221" s="22" t="n">
        <v>4.92775820601705</v>
      </c>
      <c r="AC221" s="22"/>
      <c r="AD221" s="22"/>
      <c r="AE221" s="22"/>
      <c r="AF221" s="22"/>
      <c r="AG221" s="277"/>
      <c r="AH221" s="22"/>
      <c r="AI221" s="223" t="n">
        <v>1.50697416284276</v>
      </c>
      <c r="AJ221" s="37" t="n">
        <v>0.0637385295376207</v>
      </c>
      <c r="AK221" s="37" t="n">
        <v>0.0641868528839837</v>
      </c>
      <c r="AL221" s="39" t="n">
        <v>0.383777048245548</v>
      </c>
      <c r="AM221" s="149" t="n">
        <v>0.381240669741659</v>
      </c>
      <c r="AN221" s="22"/>
      <c r="AO221" s="22"/>
      <c r="AP221" s="22"/>
      <c r="AQ221" s="22"/>
      <c r="AR221" s="22"/>
      <c r="AS221" s="22"/>
      <c r="AU221" s="22"/>
      <c r="AV221" s="22"/>
      <c r="AW221" s="22"/>
      <c r="AX221" s="22"/>
      <c r="AY221" s="22"/>
      <c r="AZ221" s="25"/>
      <c r="BA221" s="25"/>
      <c r="BB221" s="25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</row>
    <row r="222" customFormat="false" ht="12.75" hidden="false" customHeight="false" outlineLevel="0" collapsed="false">
      <c r="A222" s="224" t="n">
        <v>42675</v>
      </c>
      <c r="B222" s="217" t="n">
        <v>4.428</v>
      </c>
      <c r="C222" s="22" t="n">
        <v>-0.738</v>
      </c>
      <c r="D222" s="22"/>
      <c r="E222" s="22"/>
      <c r="F222" s="22"/>
      <c r="G222" s="273"/>
      <c r="H222" s="273"/>
      <c r="I222" s="273"/>
      <c r="J222" s="274"/>
      <c r="K222" s="273"/>
      <c r="L222" s="275"/>
      <c r="M222" s="275"/>
      <c r="N222" s="274"/>
      <c r="O222" s="278"/>
      <c r="P222" s="274"/>
      <c r="Q222" s="133"/>
      <c r="S222" s="133"/>
      <c r="T222" s="22"/>
      <c r="U222" s="22"/>
      <c r="V222" s="22" t="n">
        <v>3.69</v>
      </c>
      <c r="W222" s="22"/>
      <c r="X222" s="22"/>
      <c r="Y222" s="22"/>
      <c r="Z222" s="22"/>
      <c r="AA222" s="24"/>
      <c r="AB222" s="22" t="n">
        <v>5.26873563897178</v>
      </c>
      <c r="AC222" s="22"/>
      <c r="AD222" s="22"/>
      <c r="AE222" s="22"/>
      <c r="AF222" s="22"/>
      <c r="AG222" s="277"/>
      <c r="AH222" s="22"/>
      <c r="AI222" s="223" t="n">
        <v>1.50645288572114</v>
      </c>
      <c r="AJ222" s="37" t="n">
        <v>0.0637512529126378</v>
      </c>
      <c r="AK222" s="37" t="n">
        <v>0.0642203643743548</v>
      </c>
      <c r="AL222" s="39" t="n">
        <v>0.381666518002604</v>
      </c>
      <c r="AM222" s="149" t="n">
        <v>0.379012938317837</v>
      </c>
      <c r="AN222" s="22"/>
      <c r="AO222" s="22"/>
      <c r="AP222" s="22"/>
      <c r="AQ222" s="22"/>
      <c r="AR222" s="22"/>
      <c r="AS222" s="22"/>
      <c r="AU222" s="22"/>
      <c r="AV222" s="22"/>
      <c r="AW222" s="22"/>
      <c r="AX222" s="22"/>
      <c r="AY222" s="22"/>
      <c r="AZ222" s="25"/>
      <c r="BA222" s="25"/>
      <c r="BB222" s="25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</row>
    <row r="223" customFormat="false" ht="12.75" hidden="false" customHeight="false" outlineLevel="0" collapsed="false">
      <c r="A223" s="224" t="n">
        <v>42705</v>
      </c>
      <c r="B223" s="217" t="n">
        <v>4.568</v>
      </c>
      <c r="C223" s="22" t="n">
        <v>-0.738</v>
      </c>
      <c r="D223" s="22"/>
      <c r="E223" s="22"/>
      <c r="F223" s="22"/>
      <c r="G223" s="273"/>
      <c r="H223" s="273"/>
      <c r="I223" s="273"/>
      <c r="J223" s="274"/>
      <c r="K223" s="273"/>
      <c r="L223" s="275"/>
      <c r="M223" s="275"/>
      <c r="N223" s="274"/>
      <c r="O223" s="278"/>
      <c r="P223" s="274"/>
      <c r="Q223" s="133"/>
      <c r="S223" s="133"/>
      <c r="T223" s="22"/>
      <c r="U223" s="22"/>
      <c r="V223" s="22" t="n">
        <v>3.83</v>
      </c>
      <c r="W223" s="22"/>
      <c r="X223" s="22"/>
      <c r="Y223" s="22"/>
      <c r="Z223" s="22"/>
      <c r="AA223" s="24"/>
      <c r="AB223" s="22" t="n">
        <v>5.46678506763938</v>
      </c>
      <c r="AC223" s="22"/>
      <c r="AD223" s="22"/>
      <c r="AE223" s="22"/>
      <c r="AF223" s="22"/>
      <c r="AG223" s="277"/>
      <c r="AH223" s="22"/>
      <c r="AI223" s="223" t="n">
        <v>1.50594370400087</v>
      </c>
      <c r="AJ223" s="37" t="n">
        <v>0.0637635658562541</v>
      </c>
      <c r="AK223" s="37" t="n">
        <v>0.0642527948492622</v>
      </c>
      <c r="AL223" s="39" t="n">
        <v>0.379634364909248</v>
      </c>
      <c r="AM223" s="149" t="n">
        <v>0.376867489556656</v>
      </c>
      <c r="AN223" s="22"/>
      <c r="AO223" s="22"/>
      <c r="AP223" s="22"/>
      <c r="AQ223" s="22"/>
      <c r="AR223" s="22"/>
      <c r="AS223" s="22"/>
      <c r="AU223" s="22"/>
      <c r="AV223" s="22"/>
      <c r="AW223" s="22"/>
      <c r="AX223" s="22"/>
      <c r="AY223" s="22"/>
      <c r="AZ223" s="25"/>
      <c r="BA223" s="25"/>
      <c r="BB223" s="25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</row>
    <row r="224" customFormat="false" ht="12.75" hidden="false" customHeight="false" outlineLevel="0" collapsed="false">
      <c r="A224" s="224" t="n">
        <v>42736</v>
      </c>
      <c r="B224" s="217" t="n">
        <v>4.678</v>
      </c>
      <c r="C224" s="22" t="n">
        <v>-0.738</v>
      </c>
      <c r="D224" s="22"/>
      <c r="E224" s="22"/>
      <c r="F224" s="22"/>
      <c r="G224" s="273"/>
      <c r="H224" s="273"/>
      <c r="I224" s="273"/>
      <c r="J224" s="274"/>
      <c r="K224" s="273"/>
      <c r="L224" s="275"/>
      <c r="M224" s="275"/>
      <c r="N224" s="274"/>
      <c r="O224" s="278"/>
      <c r="P224" s="274"/>
      <c r="Q224" s="133"/>
      <c r="S224" s="133"/>
      <c r="T224" s="22"/>
      <c r="U224" s="22"/>
      <c r="V224" s="22" t="n">
        <v>3.94</v>
      </c>
      <c r="W224" s="22"/>
      <c r="X224" s="22"/>
      <c r="Y224" s="22"/>
      <c r="Z224" s="22"/>
      <c r="AA224" s="24"/>
      <c r="AB224" s="22" t="n">
        <v>5.62181149594605</v>
      </c>
      <c r="AC224" s="22"/>
      <c r="AD224" s="22"/>
      <c r="AE224" s="22"/>
      <c r="AF224" s="22"/>
      <c r="AG224" s="277"/>
      <c r="AH224" s="22"/>
      <c r="AI224" s="223" t="n">
        <v>1.50541267758042</v>
      </c>
      <c r="AJ224" s="37" t="n">
        <v>0.0637762892313774</v>
      </c>
      <c r="AK224" s="37" t="n">
        <v>0.0642863063403651</v>
      </c>
      <c r="AL224" s="39" t="n">
        <v>0.377545062726835</v>
      </c>
      <c r="AM224" s="149" t="n">
        <v>0.374661254968276</v>
      </c>
      <c r="AN224" s="22"/>
      <c r="AO224" s="22"/>
      <c r="AP224" s="22"/>
      <c r="AQ224" s="22"/>
      <c r="AR224" s="22"/>
      <c r="AS224" s="22"/>
      <c r="AU224" s="22"/>
      <c r="AV224" s="22"/>
      <c r="AW224" s="22"/>
      <c r="AX224" s="22"/>
      <c r="AY224" s="22"/>
      <c r="AZ224" s="25"/>
      <c r="BA224" s="25"/>
      <c r="BB224" s="25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</row>
    <row r="225" customFormat="false" ht="12.75" hidden="false" customHeight="false" outlineLevel="0" collapsed="false">
      <c r="A225" s="224" t="n">
        <v>42767</v>
      </c>
      <c r="B225" s="217" t="n">
        <v>4.56</v>
      </c>
      <c r="C225" s="22" t="n">
        <v>-0.738</v>
      </c>
      <c r="D225" s="22"/>
      <c r="E225" s="22"/>
      <c r="F225" s="22"/>
      <c r="G225" s="273"/>
      <c r="H225" s="273"/>
      <c r="I225" s="273"/>
      <c r="J225" s="274"/>
      <c r="K225" s="273"/>
      <c r="L225" s="275"/>
      <c r="M225" s="275"/>
      <c r="N225" s="274"/>
      <c r="O225" s="278"/>
      <c r="P225" s="274"/>
      <c r="Q225" s="133"/>
      <c r="S225" s="133"/>
      <c r="T225" s="22"/>
      <c r="U225" s="22"/>
      <c r="V225" s="22" t="n">
        <v>3.822</v>
      </c>
      <c r="W225" s="22"/>
      <c r="X225" s="22"/>
      <c r="Y225" s="22"/>
      <c r="Z225" s="22"/>
      <c r="AA225" s="24"/>
      <c r="AB225" s="22" t="n">
        <v>5.45150093050458</v>
      </c>
      <c r="AC225" s="22"/>
      <c r="AD225" s="22"/>
      <c r="AE225" s="22"/>
      <c r="AF225" s="22"/>
      <c r="AG225" s="277"/>
      <c r="AH225" s="22"/>
      <c r="AI225" s="223" t="n">
        <v>1.50487670479708</v>
      </c>
      <c r="AJ225" s="37" t="n">
        <v>0.0637890126065543</v>
      </c>
      <c r="AK225" s="37" t="n">
        <v>0.0643198178318416</v>
      </c>
      <c r="AL225" s="39" t="n">
        <v>0.375466473520294</v>
      </c>
      <c r="AM225" s="149" t="n">
        <v>0.372465886244562</v>
      </c>
      <c r="AN225" s="22"/>
      <c r="AO225" s="22"/>
      <c r="AP225" s="22"/>
      <c r="AQ225" s="22"/>
      <c r="AR225" s="22"/>
      <c r="AS225" s="22"/>
      <c r="AU225" s="22"/>
      <c r="AV225" s="22"/>
      <c r="AW225" s="22"/>
      <c r="AX225" s="22"/>
      <c r="AY225" s="22"/>
      <c r="AZ225" s="25"/>
      <c r="BA225" s="25"/>
      <c r="BB225" s="25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</row>
    <row r="226" customFormat="false" ht="12.75" hidden="false" customHeight="false" outlineLevel="0" collapsed="false">
      <c r="A226" s="224" t="n">
        <v>42795</v>
      </c>
      <c r="B226" s="217" t="n">
        <v>4.427</v>
      </c>
      <c r="C226" s="22" t="n">
        <v>-0.738</v>
      </c>
      <c r="D226" s="22"/>
      <c r="E226" s="22"/>
      <c r="F226" s="22"/>
      <c r="G226" s="273"/>
      <c r="H226" s="273"/>
      <c r="I226" s="273"/>
      <c r="J226" s="274"/>
      <c r="K226" s="273"/>
      <c r="L226" s="275"/>
      <c r="M226" s="275"/>
      <c r="N226" s="274"/>
      <c r="O226" s="278"/>
      <c r="P226" s="274"/>
      <c r="Q226" s="133"/>
      <c r="S226" s="133"/>
      <c r="T226" s="22"/>
      <c r="U226" s="22"/>
      <c r="V226" s="22" t="n">
        <v>3.689</v>
      </c>
      <c r="W226" s="22"/>
      <c r="X226" s="22"/>
      <c r="Y226" s="22"/>
      <c r="Z226" s="22"/>
      <c r="AA226" s="24"/>
      <c r="AB226" s="22" t="n">
        <v>5.26008916685939</v>
      </c>
      <c r="AC226" s="22"/>
      <c r="AD226" s="22"/>
      <c r="AE226" s="22"/>
      <c r="AF226" s="22"/>
      <c r="AG226" s="277"/>
      <c r="AH226" s="22"/>
      <c r="AI226" s="223" t="n">
        <v>1.50438835349146</v>
      </c>
      <c r="AJ226" s="37" t="n">
        <v>0.0638005046874048</v>
      </c>
      <c r="AK226" s="37" t="n">
        <v>0.0643500862760758</v>
      </c>
      <c r="AL226" s="39" t="n">
        <v>0.373598204294611</v>
      </c>
      <c r="AM226" s="149" t="n">
        <v>0.370492279120723</v>
      </c>
      <c r="AN226" s="22"/>
      <c r="AO226" s="22"/>
      <c r="AP226" s="22"/>
      <c r="AQ226" s="22"/>
      <c r="AR226" s="22"/>
      <c r="AS226" s="22"/>
      <c r="AU226" s="22"/>
      <c r="AV226" s="22"/>
      <c r="AW226" s="22"/>
      <c r="AX226" s="22"/>
      <c r="AY226" s="22"/>
      <c r="AZ226" s="25"/>
      <c r="BA226" s="25"/>
      <c r="BB226" s="25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</row>
    <row r="227" customFormat="false" ht="12.75" hidden="false" customHeight="false" outlineLevel="0" collapsed="false">
      <c r="A227" s="224" t="n">
        <v>42826</v>
      </c>
      <c r="B227" s="217" t="n">
        <v>4.207</v>
      </c>
      <c r="C227" s="22" t="n">
        <v>-0.838</v>
      </c>
      <c r="D227" s="22"/>
      <c r="E227" s="22"/>
      <c r="F227" s="22"/>
      <c r="G227" s="273"/>
      <c r="H227" s="273"/>
      <c r="I227" s="273"/>
      <c r="J227" s="274"/>
      <c r="K227" s="273"/>
      <c r="L227" s="275"/>
      <c r="M227" s="275"/>
      <c r="N227" s="274"/>
      <c r="O227" s="278"/>
      <c r="P227" s="274"/>
      <c r="Q227" s="133"/>
      <c r="S227" s="133"/>
      <c r="T227" s="22"/>
      <c r="U227" s="22"/>
      <c r="V227" s="22" t="n">
        <v>3.369</v>
      </c>
      <c r="W227" s="22"/>
      <c r="X227" s="22"/>
      <c r="Y227" s="22"/>
      <c r="Z227" s="22"/>
      <c r="AA227" s="24"/>
      <c r="AB227" s="22" t="n">
        <v>4.80206454145231</v>
      </c>
      <c r="AC227" s="22"/>
      <c r="AD227" s="22"/>
      <c r="AE227" s="22"/>
      <c r="AF227" s="22"/>
      <c r="AG227" s="277"/>
      <c r="AH227" s="22"/>
      <c r="AI227" s="223" t="n">
        <v>1.503842982145</v>
      </c>
      <c r="AJ227" s="37" t="n">
        <v>0.0638132280626835</v>
      </c>
      <c r="AK227" s="37" t="n">
        <v>0.0643835977682605</v>
      </c>
      <c r="AL227" s="39" t="n">
        <v>0.371539865505175</v>
      </c>
      <c r="AM227" s="149" t="n">
        <v>0.368317481428512</v>
      </c>
      <c r="AN227" s="22"/>
      <c r="AO227" s="22"/>
      <c r="AP227" s="22"/>
      <c r="AQ227" s="22"/>
      <c r="AR227" s="22"/>
      <c r="AS227" s="22"/>
      <c r="AU227" s="22"/>
      <c r="AV227" s="22"/>
      <c r="AW227" s="22"/>
      <c r="AX227" s="22"/>
      <c r="AY227" s="22"/>
      <c r="AZ227" s="25"/>
      <c r="BA227" s="25"/>
      <c r="BB227" s="25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</row>
    <row r="228" customFormat="false" ht="12.75" hidden="false" customHeight="false" outlineLevel="0" collapsed="false">
      <c r="A228" s="224" t="n">
        <v>42856</v>
      </c>
      <c r="B228" s="217" t="n">
        <v>4.197</v>
      </c>
      <c r="C228" s="22" t="n">
        <v>-0.838</v>
      </c>
      <c r="D228" s="22"/>
      <c r="E228" s="22"/>
      <c r="F228" s="22"/>
      <c r="G228" s="273"/>
      <c r="H228" s="273"/>
      <c r="I228" s="273"/>
      <c r="J228" s="274"/>
      <c r="K228" s="273"/>
      <c r="L228" s="275"/>
      <c r="M228" s="275"/>
      <c r="N228" s="274"/>
      <c r="O228" s="278"/>
      <c r="P228" s="274"/>
      <c r="Q228" s="133"/>
      <c r="S228" s="133"/>
      <c r="T228" s="22"/>
      <c r="U228" s="22"/>
      <c r="V228" s="22" t="n">
        <v>3.359</v>
      </c>
      <c r="W228" s="22"/>
      <c r="X228" s="22"/>
      <c r="Y228" s="22"/>
      <c r="Z228" s="22"/>
      <c r="AA228" s="24"/>
      <c r="AB228" s="22" t="n">
        <v>4.78611561935253</v>
      </c>
      <c r="AC228" s="22"/>
      <c r="AD228" s="22"/>
      <c r="AE228" s="22"/>
      <c r="AF228" s="22"/>
      <c r="AG228" s="277"/>
      <c r="AH228" s="22"/>
      <c r="AI228" s="223" t="n">
        <v>1.50331050934552</v>
      </c>
      <c r="AJ228" s="37" t="n">
        <v>0.0638255410065534</v>
      </c>
      <c r="AK228" s="37" t="n">
        <v>0.0644160282449229</v>
      </c>
      <c r="AL228" s="39" t="n">
        <v>0.36955798693681</v>
      </c>
      <c r="AM228" s="149" t="n">
        <v>0.366223075527144</v>
      </c>
      <c r="AN228" s="22"/>
      <c r="AO228" s="22"/>
      <c r="AP228" s="22"/>
      <c r="AQ228" s="22"/>
      <c r="AR228" s="22"/>
      <c r="AS228" s="22"/>
      <c r="AU228" s="22"/>
      <c r="AV228" s="22"/>
      <c r="AW228" s="22"/>
      <c r="AX228" s="22"/>
      <c r="AY228" s="22"/>
      <c r="AZ228" s="25"/>
      <c r="BA228" s="25"/>
      <c r="BB228" s="25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</row>
    <row r="229" customFormat="false" ht="12.75" hidden="false" customHeight="false" outlineLevel="0" collapsed="false">
      <c r="A229" s="224" t="n">
        <v>42887</v>
      </c>
      <c r="B229" s="217" t="n">
        <v>4.233</v>
      </c>
      <c r="C229" s="22" t="n">
        <v>-0.838</v>
      </c>
      <c r="D229" s="22"/>
      <c r="E229" s="22"/>
      <c r="F229" s="22"/>
      <c r="G229" s="273"/>
      <c r="H229" s="273"/>
      <c r="I229" s="273"/>
      <c r="J229" s="274"/>
      <c r="K229" s="273"/>
      <c r="L229" s="275"/>
      <c r="M229" s="275"/>
      <c r="N229" s="274"/>
      <c r="O229" s="278"/>
      <c r="P229" s="274"/>
      <c r="Q229" s="133"/>
      <c r="S229" s="133"/>
      <c r="T229" s="22"/>
      <c r="U229" s="22"/>
      <c r="V229" s="22" t="n">
        <v>3.395</v>
      </c>
      <c r="W229" s="22"/>
      <c r="X229" s="22"/>
      <c r="Y229" s="22"/>
      <c r="Z229" s="22"/>
      <c r="AA229" s="24"/>
      <c r="AB229" s="22" t="n">
        <v>4.83562458033204</v>
      </c>
      <c r="AC229" s="22"/>
      <c r="AD229" s="22"/>
      <c r="AE229" s="22"/>
      <c r="AF229" s="22"/>
      <c r="AG229" s="277"/>
      <c r="AH229" s="22"/>
      <c r="AI229" s="223" t="n">
        <v>1.50275544248212</v>
      </c>
      <c r="AJ229" s="37" t="n">
        <v>0.0638382643819377</v>
      </c>
      <c r="AK229" s="37" t="n">
        <v>0.0644495397378404</v>
      </c>
      <c r="AL229" s="39" t="n">
        <v>0.367520394982303</v>
      </c>
      <c r="AM229" s="149" t="n">
        <v>0.364069396033508</v>
      </c>
      <c r="AN229" s="22"/>
      <c r="AO229" s="22"/>
      <c r="AP229" s="22"/>
      <c r="AQ229" s="22"/>
      <c r="AR229" s="22"/>
      <c r="AS229" s="22"/>
      <c r="AU229" s="22"/>
      <c r="AV229" s="22"/>
      <c r="AW229" s="22"/>
      <c r="AX229" s="22"/>
      <c r="AY229" s="22"/>
      <c r="AZ229" s="25"/>
      <c r="BA229" s="25"/>
      <c r="BB229" s="25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</row>
    <row r="230" customFormat="false" ht="12.75" hidden="false" customHeight="false" outlineLevel="0" collapsed="false">
      <c r="A230" s="224" t="n">
        <v>42917</v>
      </c>
      <c r="B230" s="217" t="n">
        <v>4.275</v>
      </c>
      <c r="C230" s="22" t="n">
        <v>-0.838</v>
      </c>
      <c r="D230" s="22"/>
      <c r="E230" s="22"/>
      <c r="F230" s="22"/>
      <c r="G230" s="273"/>
      <c r="H230" s="273"/>
      <c r="I230" s="273"/>
      <c r="J230" s="274"/>
      <c r="K230" s="273"/>
      <c r="L230" s="275"/>
      <c r="M230" s="275"/>
      <c r="N230" s="274"/>
      <c r="O230" s="278"/>
      <c r="P230" s="274"/>
      <c r="Q230" s="133"/>
      <c r="S230" s="133"/>
      <c r="T230" s="22"/>
      <c r="U230" s="22"/>
      <c r="V230" s="22" t="n">
        <v>3.437</v>
      </c>
      <c r="W230" s="22"/>
      <c r="X230" s="22"/>
      <c r="Y230" s="22"/>
      <c r="Z230" s="22"/>
      <c r="AA230" s="24"/>
      <c r="AB230" s="22" t="n">
        <v>4.8936816010715</v>
      </c>
      <c r="AC230" s="22"/>
      <c r="AD230" s="22"/>
      <c r="AE230" s="22"/>
      <c r="AF230" s="22"/>
      <c r="AG230" s="277"/>
      <c r="AH230" s="22"/>
      <c r="AI230" s="223" t="n">
        <v>1.50221359770151</v>
      </c>
      <c r="AJ230" s="37" t="n">
        <v>0.0638505773259093</v>
      </c>
      <c r="AK230" s="37" t="n">
        <v>0.064481970215212</v>
      </c>
      <c r="AL230" s="39" t="n">
        <v>0.365558501077548</v>
      </c>
      <c r="AM230" s="149" t="n">
        <v>0.361995353377767</v>
      </c>
      <c r="AN230" s="22"/>
      <c r="AO230" s="22"/>
      <c r="AP230" s="22"/>
      <c r="AQ230" s="22"/>
      <c r="AR230" s="22"/>
      <c r="AS230" s="22"/>
      <c r="AU230" s="22"/>
      <c r="AV230" s="22"/>
      <c r="AW230" s="22"/>
      <c r="AX230" s="22"/>
      <c r="AY230" s="22"/>
      <c r="AZ230" s="25"/>
      <c r="BA230" s="25"/>
      <c r="BB230" s="25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</row>
    <row r="231" customFormat="false" ht="12.75" hidden="false" customHeight="false" outlineLevel="0" collapsed="false">
      <c r="A231" s="224" t="n">
        <v>42948</v>
      </c>
      <c r="B231" s="217" t="n">
        <v>4.324</v>
      </c>
      <c r="C231" s="22" t="n">
        <v>-0.838</v>
      </c>
      <c r="D231" s="22"/>
      <c r="E231" s="22"/>
      <c r="F231" s="22"/>
      <c r="G231" s="273"/>
      <c r="H231" s="273"/>
      <c r="I231" s="273"/>
      <c r="J231" s="274"/>
      <c r="K231" s="273"/>
      <c r="L231" s="275"/>
      <c r="M231" s="275"/>
      <c r="N231" s="274"/>
      <c r="O231" s="278"/>
      <c r="P231" s="274"/>
      <c r="Q231" s="133"/>
      <c r="S231" s="133"/>
      <c r="T231" s="22"/>
      <c r="U231" s="22"/>
      <c r="V231" s="22" t="n">
        <v>3.486</v>
      </c>
      <c r="W231" s="22"/>
      <c r="X231" s="22"/>
      <c r="Y231" s="22"/>
      <c r="Z231" s="22"/>
      <c r="AA231" s="24"/>
      <c r="AB231" s="22" t="n">
        <v>4.96158300402412</v>
      </c>
      <c r="AC231" s="22"/>
      <c r="AD231" s="22"/>
      <c r="AE231" s="22"/>
      <c r="AF231" s="22"/>
      <c r="AG231" s="277"/>
      <c r="AH231" s="22"/>
      <c r="AI231" s="223" t="n">
        <v>1.50164885768608</v>
      </c>
      <c r="AJ231" s="37" t="n">
        <v>0.0638633007013998</v>
      </c>
      <c r="AK231" s="37" t="n">
        <v>0.0645154817088618</v>
      </c>
      <c r="AL231" s="39" t="n">
        <v>0.363541464323935</v>
      </c>
      <c r="AM231" s="149" t="n">
        <v>0.359862639830958</v>
      </c>
      <c r="AN231" s="22"/>
      <c r="AO231" s="22"/>
      <c r="AP231" s="22"/>
      <c r="AQ231" s="22"/>
      <c r="AR231" s="22"/>
      <c r="AS231" s="22"/>
      <c r="AU231" s="22"/>
      <c r="AV231" s="22"/>
      <c r="AW231" s="22"/>
      <c r="AX231" s="22"/>
      <c r="AY231" s="22"/>
      <c r="AZ231" s="25"/>
      <c r="BA231" s="25"/>
      <c r="BB231" s="25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</row>
    <row r="232" customFormat="false" ht="12.75" hidden="false" customHeight="false" outlineLevel="0" collapsed="false">
      <c r="A232" s="224" t="n">
        <v>42979</v>
      </c>
      <c r="B232" s="217" t="n">
        <v>4.339</v>
      </c>
      <c r="C232" s="22" t="n">
        <v>-0.838</v>
      </c>
      <c r="D232" s="22"/>
      <c r="E232" s="22"/>
      <c r="F232" s="22"/>
      <c r="G232" s="273"/>
      <c r="H232" s="273"/>
      <c r="I232" s="273"/>
      <c r="J232" s="274"/>
      <c r="K232" s="273"/>
      <c r="L232" s="275"/>
      <c r="M232" s="275"/>
      <c r="N232" s="274"/>
      <c r="O232" s="278"/>
      <c r="P232" s="274"/>
      <c r="Q232" s="133"/>
      <c r="S232" s="133"/>
      <c r="T232" s="22"/>
      <c r="U232" s="22"/>
      <c r="V232" s="22" t="n">
        <v>3.501</v>
      </c>
      <c r="W232" s="22"/>
      <c r="X232" s="22"/>
      <c r="Y232" s="22"/>
      <c r="Z232" s="22"/>
      <c r="AA232" s="24"/>
      <c r="AB232" s="22" t="n">
        <v>4.98104206406214</v>
      </c>
      <c r="AC232" s="22"/>
      <c r="AD232" s="22"/>
      <c r="AE232" s="22"/>
      <c r="AF232" s="22"/>
      <c r="AG232" s="277"/>
      <c r="AH232" s="22"/>
      <c r="AI232" s="223" t="n">
        <v>1.50107921049447</v>
      </c>
      <c r="AJ232" s="37" t="n">
        <v>0.0638760240769436</v>
      </c>
      <c r="AK232" s="37" t="n">
        <v>0.0645489932028842</v>
      </c>
      <c r="AL232" s="39" t="n">
        <v>0.361534800721669</v>
      </c>
      <c r="AM232" s="149" t="n">
        <v>0.357740522896214</v>
      </c>
      <c r="AN232" s="22"/>
      <c r="AO232" s="22"/>
      <c r="AP232" s="22"/>
      <c r="AQ232" s="22"/>
      <c r="AR232" s="22"/>
      <c r="AS232" s="22"/>
      <c r="AU232" s="22"/>
      <c r="AV232" s="22"/>
      <c r="AW232" s="22"/>
      <c r="AX232" s="22"/>
      <c r="AY232" s="22"/>
      <c r="AZ232" s="25"/>
      <c r="BA232" s="25"/>
      <c r="BB232" s="25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</row>
    <row r="233" customFormat="false" ht="12.75" hidden="false" customHeight="false" outlineLevel="0" collapsed="false">
      <c r="A233" s="224" t="n">
        <v>43009</v>
      </c>
      <c r="B233" s="217" t="n">
        <v>4.368</v>
      </c>
      <c r="C233" s="22" t="n">
        <v>-0.838</v>
      </c>
      <c r="D233" s="22"/>
      <c r="E233" s="22"/>
      <c r="F233" s="22"/>
      <c r="G233" s="273"/>
      <c r="H233" s="273"/>
      <c r="I233" s="273"/>
      <c r="J233" s="274"/>
      <c r="K233" s="273"/>
      <c r="L233" s="275"/>
      <c r="M233" s="275"/>
      <c r="N233" s="274"/>
      <c r="O233" s="278"/>
      <c r="P233" s="274"/>
      <c r="Q233" s="133"/>
      <c r="S233" s="133"/>
      <c r="T233" s="22"/>
      <c r="U233" s="22"/>
      <c r="V233" s="22" t="n">
        <v>3.53</v>
      </c>
      <c r="W233" s="22"/>
      <c r="X233" s="22"/>
      <c r="Y233" s="22"/>
      <c r="Z233" s="22"/>
      <c r="AA233" s="24"/>
      <c r="AB233" s="22" t="n">
        <v>5.02044171233066</v>
      </c>
      <c r="AC233" s="22"/>
      <c r="AD233" s="22"/>
      <c r="AE233" s="22"/>
      <c r="AF233" s="22"/>
      <c r="AG233" s="277"/>
      <c r="AH233" s="22"/>
      <c r="AI233" s="223" t="n">
        <v>1.50052327230729</v>
      </c>
      <c r="AJ233" s="37" t="n">
        <v>0.0638883370210692</v>
      </c>
      <c r="AK233" s="37" t="n">
        <v>0.0645814236813247</v>
      </c>
      <c r="AL233" s="39" t="n">
        <v>0.359602698784696</v>
      </c>
      <c r="AM233" s="149" t="n">
        <v>0.355696913850326</v>
      </c>
      <c r="AN233" s="22"/>
      <c r="AO233" s="22"/>
      <c r="AP233" s="22"/>
      <c r="AQ233" s="22"/>
      <c r="AR233" s="22"/>
      <c r="AS233" s="22"/>
      <c r="AU233" s="22"/>
      <c r="AV233" s="22"/>
      <c r="AW233" s="22"/>
      <c r="AX233" s="22"/>
      <c r="AY233" s="22"/>
      <c r="AZ233" s="25"/>
      <c r="BA233" s="25"/>
      <c r="BB233" s="25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</row>
    <row r="234" customFormat="false" ht="12.75" hidden="false" customHeight="false" outlineLevel="0" collapsed="false">
      <c r="A234" s="224" t="n">
        <v>43040</v>
      </c>
      <c r="B234" s="217" t="n">
        <v>4.508</v>
      </c>
      <c r="C234" s="22" t="n">
        <v>-0.738</v>
      </c>
      <c r="D234" s="22"/>
      <c r="E234" s="22"/>
      <c r="F234" s="22"/>
      <c r="G234" s="273"/>
      <c r="H234" s="273"/>
      <c r="I234" s="273"/>
      <c r="J234" s="274"/>
      <c r="K234" s="273"/>
      <c r="L234" s="275"/>
      <c r="M234" s="275"/>
      <c r="N234" s="274"/>
      <c r="O234" s="278"/>
      <c r="P234" s="274"/>
      <c r="Q234" s="133"/>
      <c r="S234" s="133"/>
      <c r="T234" s="22"/>
      <c r="U234" s="22"/>
      <c r="V234" s="22" t="n">
        <v>3.77</v>
      </c>
      <c r="W234" s="22"/>
      <c r="X234" s="22"/>
      <c r="Y234" s="22"/>
      <c r="Z234" s="22"/>
      <c r="AA234" s="24"/>
      <c r="AB234" s="22" t="n">
        <v>5.35970491487614</v>
      </c>
      <c r="AC234" s="22"/>
      <c r="AD234" s="22"/>
      <c r="AE234" s="22"/>
      <c r="AF234" s="22"/>
      <c r="AG234" s="277"/>
      <c r="AH234" s="22"/>
      <c r="AI234" s="223" t="n">
        <v>1.4999439863845</v>
      </c>
      <c r="AJ234" s="37" t="n">
        <v>0.0639010603967187</v>
      </c>
      <c r="AK234" s="37" t="n">
        <v>0.0646149351760799</v>
      </c>
      <c r="AL234" s="39" t="n">
        <v>0.357616304340205</v>
      </c>
      <c r="AM234" s="149" t="n">
        <v>0.353595534033052</v>
      </c>
      <c r="AN234" s="22"/>
      <c r="AO234" s="22"/>
      <c r="AP234" s="22"/>
      <c r="AQ234" s="22"/>
      <c r="AR234" s="22"/>
      <c r="AS234" s="22"/>
      <c r="AU234" s="22"/>
      <c r="AV234" s="22"/>
      <c r="AW234" s="22"/>
      <c r="AX234" s="22"/>
      <c r="AY234" s="22"/>
      <c r="AZ234" s="25"/>
      <c r="BA234" s="25"/>
      <c r="BB234" s="25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</row>
    <row r="235" customFormat="false" ht="12.75" hidden="false" customHeight="false" outlineLevel="0" collapsed="false">
      <c r="A235" s="224" t="n">
        <v>43070</v>
      </c>
      <c r="B235" s="217" t="n">
        <v>4.648</v>
      </c>
      <c r="C235" s="22" t="n">
        <v>-0.738</v>
      </c>
      <c r="D235" s="22"/>
      <c r="E235" s="22"/>
      <c r="F235" s="22"/>
      <c r="G235" s="273"/>
      <c r="H235" s="273"/>
      <c r="I235" s="273"/>
      <c r="J235" s="274"/>
      <c r="K235" s="273"/>
      <c r="L235" s="275"/>
      <c r="M235" s="275"/>
      <c r="N235" s="274"/>
      <c r="O235" s="278"/>
      <c r="P235" s="274"/>
      <c r="Q235" s="133"/>
      <c r="S235" s="133"/>
      <c r="T235" s="22"/>
      <c r="U235" s="22"/>
      <c r="V235" s="22" t="n">
        <v>3.91</v>
      </c>
      <c r="W235" s="22"/>
      <c r="X235" s="22"/>
      <c r="Y235" s="22"/>
      <c r="Z235" s="22"/>
      <c r="AA235" s="24"/>
      <c r="AB235" s="22" t="n">
        <v>5.55664423557108</v>
      </c>
      <c r="AC235" s="22"/>
      <c r="AD235" s="22"/>
      <c r="AE235" s="22"/>
      <c r="AF235" s="22"/>
      <c r="AG235" s="277"/>
      <c r="AH235" s="22"/>
      <c r="AI235" s="223" t="n">
        <v>1.49937873161245</v>
      </c>
      <c r="AJ235" s="37" t="n">
        <v>0.0639133733409474</v>
      </c>
      <c r="AK235" s="37" t="n">
        <v>0.06464736565523</v>
      </c>
      <c r="AL235" s="39" t="n">
        <v>0.355703726705501</v>
      </c>
      <c r="AM235" s="149" t="n">
        <v>0.35157191995881</v>
      </c>
      <c r="AN235" s="22"/>
      <c r="AO235" s="22"/>
      <c r="AP235" s="22"/>
      <c r="AQ235" s="22"/>
      <c r="AR235" s="22"/>
      <c r="AS235" s="22"/>
      <c r="AU235" s="22"/>
      <c r="AV235" s="22"/>
      <c r="AW235" s="22"/>
      <c r="AX235" s="22"/>
      <c r="AY235" s="22"/>
      <c r="AZ235" s="25"/>
      <c r="BA235" s="25"/>
      <c r="BB235" s="25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</row>
    <row r="236" customFormat="false" ht="12.75" hidden="false" customHeight="false" outlineLevel="0" collapsed="false">
      <c r="A236" s="224" t="n">
        <v>43101</v>
      </c>
      <c r="B236" s="217" t="n">
        <v>4.758</v>
      </c>
      <c r="C236" s="22" t="n">
        <v>-0.738</v>
      </c>
      <c r="D236" s="22"/>
      <c r="E236" s="22"/>
      <c r="F236" s="22"/>
      <c r="G236" s="273"/>
      <c r="H236" s="273"/>
      <c r="I236" s="273"/>
      <c r="J236" s="274"/>
      <c r="K236" s="273"/>
      <c r="L236" s="275"/>
      <c r="M236" s="275"/>
      <c r="N236" s="274"/>
      <c r="O236" s="278"/>
      <c r="P236" s="274"/>
      <c r="Q236" s="133"/>
      <c r="S236" s="133"/>
      <c r="T236" s="22"/>
      <c r="U236" s="22"/>
      <c r="V236" s="22" t="n">
        <v>4.02</v>
      </c>
      <c r="W236" s="22"/>
      <c r="X236" s="22"/>
      <c r="Y236" s="22"/>
      <c r="Z236" s="22"/>
      <c r="AA236" s="24"/>
      <c r="AB236" s="22" t="n">
        <v>5.71072541888814</v>
      </c>
      <c r="AC236" s="22"/>
      <c r="AD236" s="22"/>
      <c r="AE236" s="22"/>
      <c r="AF236" s="22"/>
      <c r="AG236" s="277"/>
      <c r="AH236" s="22"/>
      <c r="AI236" s="223" t="n">
        <v>1.49878983023643</v>
      </c>
      <c r="AJ236" s="37" t="n">
        <v>0.0639260967167021</v>
      </c>
      <c r="AK236" s="37" t="n">
        <v>0.064680877150717</v>
      </c>
      <c r="AL236" s="39" t="n">
        <v>0.353737413718758</v>
      </c>
      <c r="AM236" s="149" t="n">
        <v>0.349491126075025</v>
      </c>
      <c r="AN236" s="22"/>
      <c r="AO236" s="22"/>
      <c r="AP236" s="22"/>
      <c r="AQ236" s="22"/>
      <c r="AR236" s="22"/>
      <c r="AS236" s="22"/>
      <c r="AU236" s="22"/>
      <c r="AV236" s="22"/>
      <c r="AW236" s="22"/>
      <c r="AX236" s="22"/>
      <c r="AY236" s="22"/>
      <c r="AZ236" s="25"/>
      <c r="BA236" s="25"/>
      <c r="BB236" s="25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</row>
    <row r="237" customFormat="false" ht="12.75" hidden="false" customHeight="false" outlineLevel="0" collapsed="false">
      <c r="A237" s="224" t="n">
        <v>43132</v>
      </c>
      <c r="B237" s="217" t="n">
        <v>4.64</v>
      </c>
      <c r="C237" s="22" t="n">
        <v>-0.738</v>
      </c>
      <c r="D237" s="22"/>
      <c r="E237" s="22"/>
      <c r="F237" s="22"/>
      <c r="G237" s="273"/>
      <c r="H237" s="273"/>
      <c r="I237" s="273"/>
      <c r="J237" s="274"/>
      <c r="K237" s="273"/>
      <c r="L237" s="275"/>
      <c r="M237" s="275"/>
      <c r="N237" s="274"/>
      <c r="O237" s="278"/>
      <c r="P237" s="274"/>
      <c r="Q237" s="133"/>
      <c r="S237" s="133"/>
      <c r="T237" s="22"/>
      <c r="U237" s="22"/>
      <c r="V237" s="22" t="n">
        <v>3.902</v>
      </c>
      <c r="W237" s="22"/>
      <c r="X237" s="22"/>
      <c r="Y237" s="22"/>
      <c r="Z237" s="22"/>
      <c r="AA237" s="24"/>
      <c r="AB237" s="22" t="n">
        <v>5.54090113926478</v>
      </c>
      <c r="AC237" s="22"/>
      <c r="AD237" s="22"/>
      <c r="AE237" s="22"/>
      <c r="AF237" s="22"/>
      <c r="AG237" s="277"/>
      <c r="AH237" s="22"/>
      <c r="AI237" s="223" t="n">
        <v>1.49819605135524</v>
      </c>
      <c r="AJ237" s="37" t="n">
        <v>0.0639388200925111</v>
      </c>
      <c r="AK237" s="37" t="n">
        <v>0.0647143886465771</v>
      </c>
      <c r="AL237" s="39" t="n">
        <v>0.351781234627513</v>
      </c>
      <c r="AM237" s="149" t="n">
        <v>0.347420736097439</v>
      </c>
      <c r="AN237" s="22"/>
      <c r="AO237" s="22"/>
      <c r="AP237" s="22"/>
      <c r="AQ237" s="22"/>
      <c r="AR237" s="22"/>
      <c r="AS237" s="22"/>
      <c r="AU237" s="22"/>
      <c r="AV237" s="22"/>
      <c r="AW237" s="22"/>
      <c r="AX237" s="22"/>
      <c r="AY237" s="22"/>
      <c r="AZ237" s="25"/>
      <c r="BA237" s="25"/>
      <c r="BB237" s="25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</row>
    <row r="238" customFormat="false" ht="12.75" hidden="false" customHeight="false" outlineLevel="0" collapsed="false">
      <c r="A238" s="224" t="n">
        <v>43160</v>
      </c>
      <c r="B238" s="217" t="n">
        <v>4.507</v>
      </c>
      <c r="C238" s="22" t="n">
        <v>-0.738</v>
      </c>
      <c r="D238" s="22"/>
      <c r="E238" s="22"/>
      <c r="F238" s="22"/>
      <c r="G238" s="273"/>
      <c r="H238" s="273"/>
      <c r="I238" s="273"/>
      <c r="J238" s="274"/>
      <c r="K238" s="273"/>
      <c r="L238" s="275"/>
      <c r="M238" s="275"/>
      <c r="N238" s="274"/>
      <c r="O238" s="278"/>
      <c r="P238" s="274"/>
      <c r="Q238" s="133"/>
      <c r="S238" s="133"/>
      <c r="T238" s="22"/>
      <c r="U238" s="22"/>
      <c r="V238" s="22" t="n">
        <v>3.769</v>
      </c>
      <c r="W238" s="22"/>
      <c r="X238" s="22"/>
      <c r="Y238" s="22"/>
      <c r="Z238" s="22"/>
      <c r="AA238" s="24"/>
      <c r="AB238" s="22" t="n">
        <v>5.35010820226093</v>
      </c>
      <c r="AC238" s="22"/>
      <c r="AD238" s="22"/>
      <c r="AE238" s="22"/>
      <c r="AF238" s="22"/>
      <c r="AG238" s="277"/>
      <c r="AH238" s="22"/>
      <c r="AI238" s="223" t="n">
        <v>1.49765554774333</v>
      </c>
      <c r="AJ238" s="37" t="n">
        <v>0.0639503121739331</v>
      </c>
      <c r="AK238" s="37" t="n">
        <v>0.0647446570947707</v>
      </c>
      <c r="AL238" s="39" t="n">
        <v>0.350023033664597</v>
      </c>
      <c r="AM238" s="149" t="n">
        <v>0.345559616483676</v>
      </c>
      <c r="AN238" s="22"/>
      <c r="AO238" s="22"/>
      <c r="AP238" s="22"/>
      <c r="AQ238" s="22"/>
      <c r="AR238" s="22"/>
      <c r="AS238" s="22"/>
      <c r="AU238" s="22"/>
      <c r="AV238" s="22"/>
      <c r="AW238" s="22"/>
      <c r="AX238" s="22"/>
      <c r="AY238" s="22"/>
      <c r="AZ238" s="25"/>
      <c r="BA238" s="25"/>
      <c r="BB238" s="25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</row>
    <row r="239" customFormat="false" ht="12.75" hidden="false" customHeight="false" outlineLevel="0" collapsed="false">
      <c r="A239" s="224" t="n">
        <v>43191</v>
      </c>
      <c r="B239" s="217" t="n">
        <v>4.287</v>
      </c>
      <c r="C239" s="22" t="n">
        <v>-0.838</v>
      </c>
      <c r="D239" s="22"/>
      <c r="E239" s="22"/>
      <c r="F239" s="22"/>
      <c r="G239" s="273"/>
      <c r="H239" s="273"/>
      <c r="I239" s="273"/>
      <c r="J239" s="274"/>
      <c r="K239" s="273"/>
      <c r="L239" s="275"/>
      <c r="M239" s="275"/>
      <c r="N239" s="274"/>
      <c r="O239" s="278"/>
      <c r="P239" s="274"/>
      <c r="Q239" s="133"/>
      <c r="S239" s="133"/>
      <c r="T239" s="22"/>
      <c r="U239" s="22"/>
      <c r="V239" s="22" t="n">
        <v>3.449</v>
      </c>
      <c r="W239" s="22"/>
      <c r="X239" s="22"/>
      <c r="Y239" s="22"/>
      <c r="Z239" s="22"/>
      <c r="AA239" s="24"/>
      <c r="AB239" s="22" t="n">
        <v>4.89389575768546</v>
      </c>
      <c r="AC239" s="22"/>
      <c r="AD239" s="22"/>
      <c r="AE239" s="22"/>
      <c r="AF239" s="22"/>
      <c r="AG239" s="277"/>
      <c r="AH239" s="22"/>
      <c r="AI239" s="223" t="n">
        <v>1.49705250290536</v>
      </c>
      <c r="AJ239" s="37" t="n">
        <v>0.0639630355498442</v>
      </c>
      <c r="AK239" s="37" t="n">
        <v>0.0647781685913396</v>
      </c>
      <c r="AL239" s="39" t="n">
        <v>0.348086009569989</v>
      </c>
      <c r="AM239" s="149" t="n">
        <v>0.343508920140469</v>
      </c>
      <c r="AN239" s="22"/>
      <c r="AO239" s="22"/>
      <c r="AP239" s="22"/>
      <c r="AQ239" s="22"/>
      <c r="AR239" s="22"/>
      <c r="AS239" s="22"/>
      <c r="AU239" s="22"/>
      <c r="AV239" s="22"/>
      <c r="AW239" s="22"/>
      <c r="AX239" s="22"/>
      <c r="AY239" s="22"/>
      <c r="AZ239" s="25"/>
      <c r="BA239" s="25"/>
      <c r="BB239" s="25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</row>
    <row r="240" customFormat="false" ht="12.75" hidden="false" customHeight="false" outlineLevel="0" collapsed="false">
      <c r="A240" s="224" t="n">
        <v>43221</v>
      </c>
      <c r="B240" s="217" t="n">
        <v>4.277</v>
      </c>
      <c r="C240" s="22" t="n">
        <v>-0.838</v>
      </c>
      <c r="D240" s="22"/>
      <c r="E240" s="22"/>
      <c r="F240" s="22"/>
      <c r="G240" s="273"/>
      <c r="H240" s="273"/>
      <c r="I240" s="273"/>
      <c r="J240" s="274"/>
      <c r="K240" s="273"/>
      <c r="L240" s="275"/>
      <c r="M240" s="275"/>
      <c r="N240" s="274"/>
      <c r="O240" s="278"/>
      <c r="P240" s="274"/>
      <c r="Q240" s="133"/>
      <c r="S240" s="133"/>
      <c r="T240" s="22"/>
      <c r="U240" s="22"/>
      <c r="V240" s="22" t="n">
        <v>3.439</v>
      </c>
      <c r="W240" s="22"/>
      <c r="X240" s="22"/>
      <c r="Y240" s="22"/>
      <c r="Z240" s="22"/>
      <c r="AA240" s="24"/>
      <c r="AB240" s="22" t="n">
        <v>4.8777891156698</v>
      </c>
      <c r="AC240" s="22"/>
      <c r="AD240" s="22"/>
      <c r="AE240" s="22"/>
      <c r="AF240" s="22"/>
      <c r="AG240" s="277"/>
      <c r="AH240" s="22"/>
      <c r="AI240" s="223" t="n">
        <v>1.4964642841588</v>
      </c>
      <c r="AJ240" s="37" t="n">
        <v>0.0639753484943251</v>
      </c>
      <c r="AK240" s="37" t="n">
        <v>0.0648105990722438</v>
      </c>
      <c r="AL240" s="39" t="n">
        <v>0.346220987621443</v>
      </c>
      <c r="AM240" s="149" t="n">
        <v>0.341534174292468</v>
      </c>
      <c r="AN240" s="22"/>
      <c r="AO240" s="22"/>
      <c r="AP240" s="22"/>
      <c r="AQ240" s="22"/>
      <c r="AR240" s="22"/>
      <c r="AS240" s="22"/>
      <c r="AU240" s="22"/>
      <c r="AV240" s="22"/>
      <c r="AW240" s="22"/>
      <c r="AX240" s="22"/>
      <c r="AY240" s="22"/>
      <c r="AZ240" s="25"/>
      <c r="BA240" s="25"/>
      <c r="BB240" s="25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</row>
    <row r="241" customFormat="false" ht="12.75" hidden="false" customHeight="false" outlineLevel="0" collapsed="false">
      <c r="A241" s="224" t="n">
        <v>43252</v>
      </c>
      <c r="B241" s="217" t="n">
        <v>4.313</v>
      </c>
      <c r="C241" s="22" t="n">
        <v>-0.838</v>
      </c>
      <c r="D241" s="22"/>
      <c r="E241" s="22"/>
      <c r="F241" s="22"/>
      <c r="G241" s="273"/>
      <c r="H241" s="273"/>
      <c r="I241" s="273"/>
      <c r="J241" s="275"/>
      <c r="K241" s="273"/>
      <c r="L241" s="275"/>
      <c r="M241" s="275"/>
      <c r="N241" s="275"/>
      <c r="O241" s="278"/>
      <c r="P241" s="22"/>
      <c r="Q241" s="26"/>
      <c r="S241" s="26"/>
      <c r="T241" s="22"/>
      <c r="U241" s="22"/>
      <c r="V241" s="22" t="n">
        <v>3.475</v>
      </c>
      <c r="W241" s="22"/>
      <c r="X241" s="22"/>
      <c r="Y241" s="22"/>
      <c r="Z241" s="22"/>
      <c r="AA241" s="24"/>
      <c r="AB241" s="22" t="n">
        <v>4.92683288713316</v>
      </c>
      <c r="AC241" s="22"/>
      <c r="AD241" s="22"/>
      <c r="AE241" s="22"/>
      <c r="AF241" s="22"/>
      <c r="AG241" s="277"/>
      <c r="AH241" s="22"/>
      <c r="AI241" s="223" t="n">
        <v>1.49585168304091</v>
      </c>
      <c r="AJ241" s="37" t="n">
        <v>0.0639880718703418</v>
      </c>
      <c r="AK241" s="37" t="n">
        <v>0.064844110569545</v>
      </c>
      <c r="AL241" s="39" t="n">
        <v>0.344303586991973</v>
      </c>
      <c r="AM241" s="149" t="n">
        <v>0.339503691548428</v>
      </c>
      <c r="AN241" s="22"/>
      <c r="AO241" s="22"/>
      <c r="AP241" s="22"/>
      <c r="AQ241" s="22"/>
      <c r="AR241" s="22"/>
      <c r="AS241" s="22"/>
      <c r="AU241" s="22"/>
      <c r="AV241" s="22"/>
      <c r="AW241" s="22"/>
      <c r="AX241" s="22"/>
      <c r="AY241" s="22"/>
      <c r="AZ241" s="25"/>
      <c r="BA241" s="25"/>
      <c r="BB241" s="25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</row>
    <row r="242" customFormat="false" ht="12.75" hidden="false" customHeight="false" outlineLevel="0" collapsed="false">
      <c r="A242" s="224" t="n">
        <v>43282</v>
      </c>
      <c r="B242" s="217" t="n">
        <v>4.355</v>
      </c>
      <c r="C242" s="22" t="n">
        <v>-0.838</v>
      </c>
      <c r="D242" s="22"/>
      <c r="E242" s="22"/>
      <c r="F242" s="22"/>
      <c r="G242" s="273"/>
      <c r="H242" s="273"/>
      <c r="I242" s="273"/>
      <c r="J242" s="275"/>
      <c r="K242" s="273"/>
      <c r="L242" s="275"/>
      <c r="M242" s="275"/>
      <c r="N242" s="275"/>
      <c r="O242" s="278"/>
      <c r="P242" s="22"/>
      <c r="Q242" s="26"/>
      <c r="S242" s="26"/>
      <c r="T242" s="22"/>
      <c r="U242" s="22"/>
      <c r="V242" s="22" t="n">
        <v>3.517</v>
      </c>
      <c r="W242" s="22"/>
      <c r="X242" s="22"/>
      <c r="Y242" s="22"/>
      <c r="Z242" s="22"/>
      <c r="AA242" s="24"/>
      <c r="AB242" s="22" t="n">
        <v>4.98438862036587</v>
      </c>
      <c r="AC242" s="22"/>
      <c r="AD242" s="22"/>
      <c r="AE242" s="22"/>
      <c r="AF242" s="22"/>
      <c r="AG242" s="277"/>
      <c r="AH242" s="22"/>
      <c r="AI242" s="223" t="n">
        <v>1.49525422810598</v>
      </c>
      <c r="AJ242" s="37" t="n">
        <v>0.0640003848149253</v>
      </c>
      <c r="AK242" s="37" t="n">
        <v>0.0648765410511585</v>
      </c>
      <c r="AL242" s="39" t="n">
        <v>0.342457467069509</v>
      </c>
      <c r="AM242" s="149" t="n">
        <v>0.337548434793769</v>
      </c>
      <c r="AN242" s="22"/>
      <c r="AO242" s="22"/>
      <c r="AP242" s="22"/>
      <c r="AQ242" s="22"/>
      <c r="AR242" s="22"/>
      <c r="AS242" s="22"/>
      <c r="AU242" s="22"/>
      <c r="AV242" s="22"/>
      <c r="AW242" s="22"/>
      <c r="AX242" s="22"/>
      <c r="AY242" s="22"/>
      <c r="AZ242" s="25"/>
      <c r="BA242" s="25"/>
      <c r="BB242" s="25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</row>
    <row r="243" customFormat="false" ht="12.75" hidden="false" customHeight="false" outlineLevel="0" collapsed="false">
      <c r="A243" s="224" t="n">
        <v>43313</v>
      </c>
      <c r="B243" s="217" t="n">
        <v>4.404</v>
      </c>
      <c r="C243" s="22" t="n">
        <v>-0.838</v>
      </c>
      <c r="D243" s="22"/>
      <c r="E243" s="22"/>
      <c r="F243" s="22"/>
      <c r="G243" s="273"/>
      <c r="H243" s="273"/>
      <c r="I243" s="273"/>
      <c r="J243" s="275"/>
      <c r="K243" s="273"/>
      <c r="L243" s="275"/>
      <c r="M243" s="275"/>
      <c r="N243" s="275"/>
      <c r="O243" s="278"/>
      <c r="P243" s="22"/>
      <c r="Q243" s="26"/>
      <c r="S243" s="26"/>
      <c r="T243" s="22"/>
      <c r="U243" s="22"/>
      <c r="V243" s="22" t="n">
        <v>3.566</v>
      </c>
      <c r="W243" s="22"/>
      <c r="X243" s="22"/>
      <c r="Y243" s="22"/>
      <c r="Z243" s="22"/>
      <c r="AA243" s="24"/>
      <c r="AB243" s="22" t="n">
        <v>5.05173000448129</v>
      </c>
      <c r="AC243" s="22"/>
      <c r="AD243" s="22"/>
      <c r="AE243" s="22"/>
      <c r="AF243" s="22"/>
      <c r="AG243" s="277"/>
      <c r="AH243" s="22"/>
      <c r="AI243" s="223" t="n">
        <v>1.494632095235</v>
      </c>
      <c r="AJ243" s="37" t="n">
        <v>0.0640131081910473</v>
      </c>
      <c r="AK243" s="37" t="n">
        <v>0.0649100525491919</v>
      </c>
      <c r="AL243" s="39" t="n">
        <v>0.340559507543574</v>
      </c>
      <c r="AM243" s="149" t="n">
        <v>0.335538016026402</v>
      </c>
      <c r="AN243" s="22"/>
      <c r="AO243" s="22"/>
      <c r="AP243" s="22"/>
      <c r="AQ243" s="22"/>
      <c r="AR243" s="22"/>
      <c r="AS243" s="22"/>
      <c r="AU243" s="22"/>
      <c r="AV243" s="22"/>
      <c r="AW243" s="22"/>
      <c r="AX243" s="22"/>
      <c r="AY243" s="22"/>
      <c r="AZ243" s="25"/>
      <c r="BA243" s="25"/>
      <c r="BB243" s="25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</row>
    <row r="244" customFormat="false" ht="12.75" hidden="false" customHeight="false" outlineLevel="0" collapsed="false">
      <c r="A244" s="224" t="n">
        <v>43344</v>
      </c>
      <c r="B244" s="217" t="n">
        <v>4.419</v>
      </c>
      <c r="C244" s="22" t="n">
        <v>-0.838</v>
      </c>
      <c r="D244" s="22"/>
      <c r="E244" s="22"/>
      <c r="F244" s="22"/>
      <c r="G244" s="273"/>
      <c r="H244" s="273"/>
      <c r="I244" s="273"/>
      <c r="J244" s="275"/>
      <c r="K244" s="273"/>
      <c r="L244" s="275"/>
      <c r="M244" s="275"/>
      <c r="N244" s="275"/>
      <c r="O244" s="278"/>
      <c r="P244" s="22"/>
      <c r="Q244" s="26"/>
      <c r="S244" s="26"/>
      <c r="T244" s="22"/>
      <c r="U244" s="22"/>
      <c r="V244" s="22" t="n">
        <v>3.581</v>
      </c>
      <c r="W244" s="22"/>
      <c r="X244" s="22"/>
      <c r="Y244" s="22"/>
      <c r="Z244" s="22"/>
      <c r="AA244" s="24"/>
      <c r="AB244" s="22" t="n">
        <v>5.07085155945184</v>
      </c>
      <c r="AC244" s="22"/>
      <c r="AD244" s="22"/>
      <c r="AE244" s="22"/>
      <c r="AF244" s="22"/>
      <c r="AG244" s="277"/>
      <c r="AH244" s="22"/>
      <c r="AI244" s="223" t="n">
        <v>1.49400512787183</v>
      </c>
      <c r="AJ244" s="37" t="n">
        <v>0.0640258315672235</v>
      </c>
      <c r="AK244" s="37" t="n">
        <v>0.0649435640475979</v>
      </c>
      <c r="AL244" s="39" t="n">
        <v>0.33867135852112</v>
      </c>
      <c r="AM244" s="149" t="n">
        <v>0.333537736515407</v>
      </c>
      <c r="AN244" s="22"/>
      <c r="AO244" s="22"/>
      <c r="AP244" s="22"/>
      <c r="AQ244" s="22"/>
      <c r="AR244" s="22"/>
      <c r="AS244" s="22"/>
      <c r="AU244" s="22"/>
      <c r="AV244" s="22"/>
      <c r="AW244" s="22"/>
      <c r="AX244" s="22"/>
      <c r="AY244" s="22"/>
      <c r="AZ244" s="25"/>
      <c r="BA244" s="25"/>
      <c r="BB244" s="25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</row>
    <row r="245" customFormat="false" ht="12.75" hidden="false" customHeight="false" outlineLevel="0" collapsed="false">
      <c r="A245" s="224" t="n">
        <v>43374</v>
      </c>
      <c r="B245" s="217" t="n">
        <v>4.448</v>
      </c>
      <c r="C245" s="22" t="n">
        <v>-0.838</v>
      </c>
      <c r="D245" s="22"/>
      <c r="E245" s="22"/>
      <c r="F245" s="22"/>
      <c r="G245" s="273"/>
      <c r="H245" s="273"/>
      <c r="I245" s="273"/>
      <c r="J245" s="275"/>
      <c r="K245" s="273"/>
      <c r="L245" s="275"/>
      <c r="M245" s="275"/>
      <c r="N245" s="275"/>
      <c r="O245" s="278"/>
      <c r="P245" s="22"/>
      <c r="Q245" s="26"/>
      <c r="S245" s="26"/>
      <c r="T245" s="22"/>
      <c r="U245" s="22"/>
      <c r="V245" s="22" t="n">
        <v>3.61</v>
      </c>
      <c r="W245" s="22"/>
      <c r="X245" s="22"/>
      <c r="Y245" s="22"/>
      <c r="Z245" s="22"/>
      <c r="AA245" s="24"/>
      <c r="AB245" s="22" t="n">
        <v>5.10982504784985</v>
      </c>
      <c r="AC245" s="22"/>
      <c r="AD245" s="22"/>
      <c r="AE245" s="22"/>
      <c r="AF245" s="22"/>
      <c r="AG245" s="277"/>
      <c r="AH245" s="22"/>
      <c r="AI245" s="223" t="n">
        <v>1.49339378827819</v>
      </c>
      <c r="AJ245" s="37" t="n">
        <v>0.0640381445119611</v>
      </c>
      <c r="AK245" s="37" t="n">
        <v>0.0649759945302804</v>
      </c>
      <c r="AL245" s="39" t="n">
        <v>0.336853414629274</v>
      </c>
      <c r="AM245" s="149" t="n">
        <v>0.331611599846838</v>
      </c>
      <c r="AN245" s="22"/>
      <c r="AO245" s="22"/>
      <c r="AP245" s="22"/>
      <c r="AQ245" s="22"/>
      <c r="AR245" s="22"/>
      <c r="AS245" s="22"/>
      <c r="AU245" s="22"/>
      <c r="AV245" s="22"/>
      <c r="AW245" s="22"/>
      <c r="AX245" s="22"/>
      <c r="AY245" s="22"/>
      <c r="AZ245" s="25"/>
      <c r="BA245" s="25"/>
      <c r="BB245" s="25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</row>
    <row r="246" customFormat="false" ht="12.75" hidden="false" customHeight="false" outlineLevel="0" collapsed="false">
      <c r="A246" s="224" t="n">
        <v>43405</v>
      </c>
      <c r="B246" s="217" t="n">
        <v>4.588</v>
      </c>
      <c r="C246" s="22" t="n">
        <v>-0.738</v>
      </c>
      <c r="D246" s="22"/>
      <c r="E246" s="22"/>
      <c r="F246" s="22"/>
      <c r="G246" s="273"/>
      <c r="H246" s="273"/>
      <c r="I246" s="273"/>
      <c r="J246" s="275"/>
      <c r="K246" s="273"/>
      <c r="L246" s="275"/>
      <c r="M246" s="275"/>
      <c r="N246" s="275"/>
      <c r="O246" s="278"/>
      <c r="P246" s="22"/>
      <c r="Q246" s="26"/>
      <c r="S246" s="26"/>
      <c r="T246" s="22"/>
      <c r="U246" s="22"/>
      <c r="V246" s="22" t="n">
        <v>3.85</v>
      </c>
      <c r="W246" s="22"/>
      <c r="X246" s="22"/>
      <c r="Y246" s="22"/>
      <c r="Z246" s="22"/>
      <c r="AA246" s="24"/>
      <c r="AB246" s="22" t="n">
        <v>5.44721389981037</v>
      </c>
      <c r="AC246" s="22"/>
      <c r="AD246" s="22"/>
      <c r="AE246" s="22"/>
      <c r="AF246" s="22"/>
      <c r="AG246" s="277"/>
      <c r="AH246" s="22"/>
      <c r="AI246" s="223" t="n">
        <v>1.49275732682554</v>
      </c>
      <c r="AJ246" s="37" t="n">
        <v>0.0640508678882426</v>
      </c>
      <c r="AK246" s="37" t="n">
        <v>0.0650095060294187</v>
      </c>
      <c r="AL246" s="39" t="n">
        <v>0.334984434529817</v>
      </c>
      <c r="AM246" s="149" t="n">
        <v>0.329631159536514</v>
      </c>
      <c r="AN246" s="22"/>
      <c r="AO246" s="22"/>
      <c r="AP246" s="22"/>
      <c r="AQ246" s="22"/>
      <c r="AR246" s="22"/>
      <c r="AS246" s="22"/>
      <c r="AU246" s="22"/>
      <c r="AV246" s="22"/>
      <c r="AW246" s="22"/>
      <c r="AX246" s="22"/>
      <c r="AY246" s="22"/>
      <c r="AZ246" s="25"/>
      <c r="BA246" s="25"/>
      <c r="BB246" s="25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</row>
    <row r="247" customFormat="false" ht="12.75" hidden="false" customHeight="false" outlineLevel="0" collapsed="false">
      <c r="A247" s="224" t="n">
        <v>43435</v>
      </c>
      <c r="B247" s="217" t="n">
        <v>4.728</v>
      </c>
      <c r="C247" s="22" t="n">
        <v>-0.738</v>
      </c>
      <c r="D247" s="22"/>
      <c r="E247" s="22"/>
      <c r="F247" s="22"/>
      <c r="G247" s="273"/>
      <c r="H247" s="273"/>
      <c r="I247" s="273"/>
      <c r="J247" s="275"/>
      <c r="K247" s="273"/>
      <c r="L247" s="275"/>
      <c r="M247" s="275"/>
      <c r="N247" s="275"/>
      <c r="O247" s="278"/>
      <c r="P247" s="22"/>
      <c r="Q247" s="26"/>
      <c r="S247" s="26"/>
      <c r="T247" s="22"/>
      <c r="U247" s="22"/>
      <c r="V247" s="22" t="n">
        <v>3.99</v>
      </c>
      <c r="W247" s="22"/>
      <c r="X247" s="22"/>
      <c r="Y247" s="22"/>
      <c r="Z247" s="22"/>
      <c r="AA247" s="24"/>
      <c r="AB247" s="22" t="n">
        <v>5.64294774734006</v>
      </c>
      <c r="AC247" s="22"/>
      <c r="AD247" s="22"/>
      <c r="AE247" s="22"/>
      <c r="AF247" s="22"/>
      <c r="AG247" s="277"/>
      <c r="AH247" s="22"/>
      <c r="AI247" s="223" t="n">
        <v>1.49213681165855</v>
      </c>
      <c r="AJ247" s="37" t="n">
        <v>0.0640631808330823</v>
      </c>
      <c r="AK247" s="37" t="n">
        <v>0.0650419365128099</v>
      </c>
      <c r="AL247" s="39" t="n">
        <v>0.333184954613254</v>
      </c>
      <c r="AM247" s="149" t="n">
        <v>0.327724150210429</v>
      </c>
      <c r="AN247" s="22"/>
      <c r="AO247" s="22"/>
      <c r="AP247" s="22"/>
      <c r="AQ247" s="22"/>
      <c r="AR247" s="22"/>
      <c r="AS247" s="22"/>
      <c r="AU247" s="22"/>
      <c r="AV247" s="22"/>
      <c r="AW247" s="22"/>
      <c r="AX247" s="22"/>
      <c r="AY247" s="22"/>
      <c r="AZ247" s="25"/>
      <c r="BA247" s="25"/>
      <c r="BB247" s="25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</row>
    <row r="248" customFormat="false" ht="12.75" hidden="false" customHeight="false" outlineLevel="0" collapsed="false">
      <c r="A248" s="224" t="n">
        <v>43466</v>
      </c>
      <c r="B248" s="217" t="n">
        <v>4.838</v>
      </c>
      <c r="C248" s="22" t="n">
        <v>-0.738</v>
      </c>
      <c r="D248" s="39"/>
      <c r="E248" s="39"/>
      <c r="F248" s="39"/>
      <c r="G248" s="273"/>
      <c r="H248" s="273"/>
      <c r="I248" s="273"/>
      <c r="J248" s="275"/>
      <c r="K248" s="273"/>
      <c r="L248" s="275"/>
      <c r="M248" s="275"/>
      <c r="N248" s="275"/>
      <c r="O248" s="278"/>
      <c r="P248" s="22"/>
      <c r="Q248" s="26"/>
      <c r="S248" s="26"/>
      <c r="T248" s="22"/>
      <c r="U248" s="22"/>
      <c r="V248" s="22" t="n">
        <v>4.1</v>
      </c>
      <c r="W248" s="22"/>
      <c r="X248" s="22"/>
      <c r="Y248" s="22"/>
      <c r="Z248" s="22"/>
      <c r="AA248" s="24"/>
      <c r="AB248" s="22" t="n">
        <v>5.79600761882099</v>
      </c>
      <c r="AC248" s="22"/>
      <c r="AD248" s="22"/>
      <c r="AE248" s="22"/>
      <c r="AF248" s="22"/>
      <c r="AG248" s="277"/>
      <c r="AH248" s="22"/>
      <c r="AI248" s="223" t="n">
        <v>1.49149088153239</v>
      </c>
      <c r="AJ248" s="37" t="n">
        <v>0.0640759042094694</v>
      </c>
      <c r="AK248" s="37" t="n">
        <v>0.065075448012681</v>
      </c>
      <c r="AL248" s="39" t="n">
        <v>0.331334964847808</v>
      </c>
      <c r="AM248" s="149" t="n">
        <v>0.32576340066141</v>
      </c>
      <c r="AN248" s="22"/>
      <c r="AO248" s="22"/>
      <c r="AP248" s="22"/>
      <c r="AQ248" s="22"/>
      <c r="AR248" s="22"/>
      <c r="AS248" s="22"/>
      <c r="AU248" s="22"/>
      <c r="AV248" s="22"/>
      <c r="AW248" s="22"/>
      <c r="AX248" s="22"/>
      <c r="AY248" s="22"/>
      <c r="AZ248" s="25"/>
      <c r="BA248" s="25"/>
      <c r="BB248" s="25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</row>
    <row r="249" customFormat="false" ht="12.75" hidden="false" customHeight="false" outlineLevel="0" collapsed="false">
      <c r="A249" s="224" t="n">
        <v>43497</v>
      </c>
      <c r="B249" s="217" t="n">
        <v>4.72</v>
      </c>
      <c r="C249" s="22" t="n">
        <v>-0.738</v>
      </c>
      <c r="D249" s="39"/>
      <c r="E249" s="39"/>
      <c r="F249" s="39"/>
      <c r="G249" s="273"/>
      <c r="H249" s="273"/>
      <c r="I249" s="273"/>
      <c r="J249" s="275"/>
      <c r="K249" s="273"/>
      <c r="L249" s="275"/>
      <c r="M249" s="275"/>
      <c r="N249" s="275"/>
      <c r="O249" s="278"/>
      <c r="P249" s="22"/>
      <c r="Q249" s="22"/>
      <c r="S249" s="22"/>
      <c r="T249" s="22"/>
      <c r="U249" s="22"/>
      <c r="V249" s="22" t="n">
        <v>3.982</v>
      </c>
      <c r="W249" s="22"/>
      <c r="X249" s="22"/>
      <c r="Y249" s="22"/>
      <c r="Z249" s="22"/>
      <c r="AA249" s="24"/>
      <c r="AB249" s="22" t="n">
        <v>5.62673969396276</v>
      </c>
      <c r="AC249" s="22"/>
      <c r="AD249" s="22"/>
      <c r="AE249" s="22"/>
      <c r="AF249" s="22"/>
      <c r="AG249" s="277"/>
      <c r="AH249" s="22"/>
      <c r="AI249" s="223" t="n">
        <v>1.49084014931029</v>
      </c>
      <c r="AJ249" s="37" t="n">
        <v>0.0640886275859107</v>
      </c>
      <c r="AK249" s="37" t="n">
        <v>0.0651089595129233</v>
      </c>
      <c r="AL249" s="39" t="n">
        <v>0.329494557943541</v>
      </c>
      <c r="AM249" s="149" t="n">
        <v>0.323812601161159</v>
      </c>
      <c r="AN249" s="22"/>
      <c r="AO249" s="22"/>
      <c r="AP249" s="22"/>
      <c r="AQ249" s="22"/>
      <c r="AR249" s="22"/>
      <c r="AS249" s="22"/>
      <c r="AU249" s="22"/>
      <c r="AV249" s="22"/>
      <c r="AW249" s="22"/>
      <c r="AX249" s="22"/>
      <c r="AY249" s="22"/>
      <c r="AZ249" s="25"/>
      <c r="BA249" s="25"/>
      <c r="BB249" s="25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</row>
    <row r="250" customFormat="false" ht="12.75" hidden="false" customHeight="false" outlineLevel="0" collapsed="false">
      <c r="A250" s="224" t="n">
        <v>43525</v>
      </c>
      <c r="B250" s="217" t="n">
        <v>4.587</v>
      </c>
      <c r="C250" s="22" t="n">
        <v>-0.738</v>
      </c>
      <c r="D250" s="39"/>
      <c r="E250" s="39"/>
      <c r="F250" s="39"/>
      <c r="G250" s="273"/>
      <c r="H250" s="273"/>
      <c r="I250" s="273"/>
      <c r="J250" s="275"/>
      <c r="K250" s="273"/>
      <c r="L250" s="275"/>
      <c r="M250" s="275"/>
      <c r="N250" s="275"/>
      <c r="O250" s="278"/>
      <c r="P250" s="22"/>
      <c r="Q250" s="22"/>
      <c r="S250" s="22"/>
      <c r="T250" s="22"/>
      <c r="U250" s="22"/>
      <c r="V250" s="22" t="n">
        <v>3.849</v>
      </c>
      <c r="W250" s="22"/>
      <c r="X250" s="22"/>
      <c r="Y250" s="22"/>
      <c r="Z250" s="22"/>
      <c r="AA250" s="24"/>
      <c r="AB250" s="22" t="n">
        <v>5.43664562669324</v>
      </c>
      <c r="AC250" s="22"/>
      <c r="AD250" s="22"/>
      <c r="AE250" s="22"/>
      <c r="AF250" s="22"/>
      <c r="AG250" s="277"/>
      <c r="AH250" s="22"/>
      <c r="AI250" s="223" t="n">
        <v>1.49024826924304</v>
      </c>
      <c r="AJ250" s="37" t="n">
        <v>0.0641001196679034</v>
      </c>
      <c r="AK250" s="37" t="n">
        <v>0.065139227965076</v>
      </c>
      <c r="AL250" s="39" t="n">
        <v>0.327840453718613</v>
      </c>
      <c r="AM250" s="149" t="n">
        <v>0.322059109256438</v>
      </c>
      <c r="AN250" s="22"/>
      <c r="AO250" s="22"/>
      <c r="AP250" s="22"/>
      <c r="AQ250" s="22"/>
      <c r="AR250" s="22"/>
      <c r="AS250" s="22"/>
      <c r="AU250" s="22"/>
      <c r="AV250" s="22"/>
      <c r="AW250" s="22"/>
      <c r="AX250" s="22"/>
      <c r="AY250" s="22"/>
      <c r="AZ250" s="25"/>
      <c r="BA250" s="25"/>
      <c r="BB250" s="25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</row>
    <row r="251" customFormat="false" ht="12.75" hidden="false" customHeight="false" outlineLevel="0" collapsed="false">
      <c r="A251" s="224" t="n">
        <v>43556</v>
      </c>
      <c r="B251" s="217" t="n">
        <v>4.367</v>
      </c>
      <c r="C251" s="22" t="n">
        <v>-0.838</v>
      </c>
      <c r="D251" s="39"/>
      <c r="E251" s="39"/>
      <c r="F251" s="39"/>
      <c r="G251" s="273"/>
      <c r="H251" s="273"/>
      <c r="I251" s="273"/>
      <c r="J251" s="275"/>
      <c r="K251" s="273"/>
      <c r="L251" s="275"/>
      <c r="M251" s="275"/>
      <c r="N251" s="275"/>
      <c r="O251" s="278"/>
      <c r="P251" s="22"/>
      <c r="Q251" s="22"/>
      <c r="S251" s="22"/>
      <c r="T251" s="22"/>
      <c r="U251" s="22"/>
      <c r="V251" s="22" t="n">
        <v>3.529</v>
      </c>
      <c r="W251" s="22"/>
      <c r="X251" s="22"/>
      <c r="Y251" s="22"/>
      <c r="Z251" s="22"/>
      <c r="AA251" s="24"/>
      <c r="AB251" s="22" t="n">
        <v>4.98244407918878</v>
      </c>
      <c r="AC251" s="22"/>
      <c r="AD251" s="22"/>
      <c r="AE251" s="22"/>
      <c r="AF251" s="22"/>
      <c r="AG251" s="277"/>
      <c r="AH251" s="22"/>
      <c r="AI251" s="223" t="n">
        <v>1.48958841609878</v>
      </c>
      <c r="AJ251" s="37" t="n">
        <v>0.0641128430444464</v>
      </c>
      <c r="AK251" s="37" t="n">
        <v>0.0651727394660275</v>
      </c>
      <c r="AL251" s="39" t="n">
        <v>0.326018159493682</v>
      </c>
      <c r="AM251" s="149" t="n">
        <v>0.320127141608194</v>
      </c>
      <c r="AN251" s="22"/>
      <c r="AO251" s="22"/>
      <c r="AP251" s="22"/>
      <c r="AQ251" s="22"/>
      <c r="AR251" s="22"/>
      <c r="AS251" s="22"/>
      <c r="AU251" s="22"/>
      <c r="AV251" s="22"/>
      <c r="AW251" s="22"/>
      <c r="AX251" s="22"/>
      <c r="AY251" s="22"/>
      <c r="AZ251" s="25"/>
      <c r="BA251" s="25"/>
      <c r="BB251" s="25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</row>
    <row r="252" customFormat="false" ht="12.75" hidden="false" customHeight="false" outlineLevel="0" collapsed="false">
      <c r="A252" s="224" t="n">
        <v>43586</v>
      </c>
      <c r="B252" s="217" t="n">
        <v>4.357</v>
      </c>
      <c r="C252" s="22" t="n">
        <v>-0.838</v>
      </c>
      <c r="D252" s="39"/>
      <c r="E252" s="39"/>
      <c r="F252" s="39"/>
      <c r="G252" s="273"/>
      <c r="H252" s="273"/>
      <c r="I252" s="273"/>
      <c r="J252" s="275"/>
      <c r="K252" s="273"/>
      <c r="L252" s="275"/>
      <c r="M252" s="275"/>
      <c r="N252" s="275"/>
      <c r="O252" s="278"/>
      <c r="P252" s="22"/>
      <c r="Q252" s="22"/>
      <c r="S252" s="22"/>
      <c r="T252" s="22"/>
      <c r="U252" s="22"/>
      <c r="V252" s="22" t="n">
        <v>3.519</v>
      </c>
      <c r="W252" s="22"/>
      <c r="X252" s="22"/>
      <c r="Y252" s="22"/>
      <c r="Z252" s="22"/>
      <c r="AA252" s="24"/>
      <c r="AB252" s="22" t="n">
        <v>4.96618046120482</v>
      </c>
      <c r="AC252" s="22"/>
      <c r="AD252" s="22"/>
      <c r="AE252" s="22"/>
      <c r="AF252" s="22"/>
      <c r="AG252" s="277"/>
      <c r="AH252" s="22"/>
      <c r="AI252" s="223" t="n">
        <v>1.48894529487835</v>
      </c>
      <c r="AJ252" s="37" t="n">
        <v>0.0641251559895397</v>
      </c>
      <c r="AK252" s="37" t="n">
        <v>0.0652051699511729</v>
      </c>
      <c r="AL252" s="39" t="n">
        <v>0.324263648183602</v>
      </c>
      <c r="AM252" s="149" t="n">
        <v>0.31826686437908</v>
      </c>
      <c r="AN252" s="22"/>
      <c r="AO252" s="22"/>
      <c r="AP252" s="22"/>
      <c r="AQ252" s="22"/>
      <c r="AR252" s="22"/>
      <c r="AS252" s="22"/>
      <c r="AU252" s="22"/>
      <c r="AV252" s="22"/>
      <c r="AW252" s="22"/>
      <c r="AX252" s="22"/>
      <c r="AY252" s="22"/>
      <c r="AZ252" s="25"/>
      <c r="BA252" s="25"/>
      <c r="BB252" s="25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</row>
    <row r="253" customFormat="false" ht="12.75" hidden="false" customHeight="false" outlineLevel="0" collapsed="false">
      <c r="A253" s="224" t="n">
        <v>43617</v>
      </c>
      <c r="B253" s="217" t="n">
        <v>4.393</v>
      </c>
      <c r="C253" s="22" t="n">
        <v>-0.838</v>
      </c>
      <c r="D253" s="39"/>
      <c r="E253" s="39"/>
      <c r="F253" s="39"/>
      <c r="G253" s="273"/>
      <c r="H253" s="273"/>
      <c r="I253" s="273"/>
      <c r="J253" s="275"/>
      <c r="K253" s="273"/>
      <c r="L253" s="275"/>
      <c r="M253" s="275"/>
      <c r="N253" s="275"/>
      <c r="O253" s="278"/>
      <c r="P253" s="22"/>
      <c r="Q253" s="22"/>
      <c r="S253" s="22"/>
      <c r="T253" s="22"/>
      <c r="U253" s="22"/>
      <c r="V253" s="22" t="n">
        <v>3.555</v>
      </c>
      <c r="W253" s="22"/>
      <c r="X253" s="22"/>
      <c r="Y253" s="22"/>
      <c r="Z253" s="22"/>
      <c r="AA253" s="24"/>
      <c r="AB253" s="22" t="n">
        <v>5.01473032071843</v>
      </c>
      <c r="AC253" s="22"/>
      <c r="AD253" s="22"/>
      <c r="AE253" s="22"/>
      <c r="AF253" s="22"/>
      <c r="AG253" s="277"/>
      <c r="AH253" s="22"/>
      <c r="AI253" s="223" t="n">
        <v>1.48827603748408</v>
      </c>
      <c r="AJ253" s="37" t="n">
        <v>0.064137879366188</v>
      </c>
      <c r="AK253" s="37" t="n">
        <v>0.0652386814528567</v>
      </c>
      <c r="AL253" s="39" t="n">
        <v>0.322459908580054</v>
      </c>
      <c r="AM253" s="149" t="n">
        <v>0.316354222141728</v>
      </c>
      <c r="AN253" s="22"/>
      <c r="AO253" s="22"/>
      <c r="AP253" s="22"/>
      <c r="AQ253" s="22"/>
      <c r="AR253" s="22"/>
      <c r="AS253" s="22"/>
      <c r="AU253" s="22"/>
      <c r="AV253" s="22"/>
      <c r="AW253" s="22"/>
      <c r="AX253" s="22"/>
      <c r="AY253" s="22"/>
      <c r="AZ253" s="25"/>
      <c r="BA253" s="25"/>
      <c r="BB253" s="25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</row>
    <row r="254" customFormat="false" ht="12.75" hidden="false" customHeight="false" outlineLevel="0" collapsed="false">
      <c r="A254" s="224" t="n">
        <v>43647</v>
      </c>
      <c r="B254" s="217" t="n">
        <v>4.435</v>
      </c>
      <c r="C254" s="22" t="n">
        <v>-0.838</v>
      </c>
      <c r="D254" s="39"/>
      <c r="E254" s="39"/>
      <c r="F254" s="39"/>
      <c r="G254" s="273"/>
      <c r="H254" s="273"/>
      <c r="I254" s="273"/>
      <c r="J254" s="275"/>
      <c r="K254" s="273"/>
      <c r="L254" s="275"/>
      <c r="M254" s="275"/>
      <c r="N254" s="275"/>
      <c r="O254" s="278"/>
      <c r="P254" s="22"/>
      <c r="Q254" s="22"/>
      <c r="S254" s="22"/>
      <c r="T254" s="22"/>
      <c r="U254" s="22"/>
      <c r="V254" s="22" t="n">
        <v>3.597</v>
      </c>
      <c r="W254" s="22"/>
      <c r="X254" s="22"/>
      <c r="Y254" s="22"/>
      <c r="Z254" s="22"/>
      <c r="AA254" s="24"/>
      <c r="AB254" s="22" t="n">
        <v>5.07175250423439</v>
      </c>
      <c r="AC254" s="22"/>
      <c r="AD254" s="22"/>
      <c r="AE254" s="22"/>
      <c r="AF254" s="22"/>
      <c r="AG254" s="277"/>
      <c r="AH254" s="22"/>
      <c r="AI254" s="223" t="n">
        <v>1.48762382822005</v>
      </c>
      <c r="AJ254" s="37" t="n">
        <v>0.064150192311383</v>
      </c>
      <c r="AK254" s="37" t="n">
        <v>0.0652711119387117</v>
      </c>
      <c r="AL254" s="39" t="n">
        <v>0.320723269240794</v>
      </c>
      <c r="AM254" s="149" t="n">
        <v>0.314512575865021</v>
      </c>
      <c r="AN254" s="22"/>
      <c r="AO254" s="22"/>
      <c r="AP254" s="22"/>
      <c r="AQ254" s="22"/>
      <c r="AR254" s="22"/>
      <c r="AS254" s="22"/>
      <c r="AU254" s="22"/>
      <c r="AV254" s="22"/>
      <c r="AW254" s="22"/>
      <c r="AX254" s="22"/>
      <c r="AY254" s="22"/>
      <c r="AZ254" s="25"/>
      <c r="BA254" s="25"/>
      <c r="BB254" s="25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</row>
    <row r="255" customFormat="false" ht="12.75" hidden="false" customHeight="false" outlineLevel="0" collapsed="false">
      <c r="A255" s="224" t="n">
        <v>43678</v>
      </c>
      <c r="B255" s="217" t="n">
        <v>4.484</v>
      </c>
      <c r="C255" s="22" t="n">
        <v>-0.838</v>
      </c>
      <c r="D255" s="39"/>
      <c r="E255" s="39"/>
      <c r="F255" s="39"/>
      <c r="G255" s="273"/>
      <c r="H255" s="273"/>
      <c r="I255" s="273"/>
      <c r="J255" s="275"/>
      <c r="K255" s="273"/>
      <c r="L255" s="275"/>
      <c r="M255" s="275"/>
      <c r="N255" s="275"/>
      <c r="O255" s="278"/>
      <c r="P255" s="22"/>
      <c r="Q255" s="22"/>
      <c r="S255" s="22"/>
      <c r="T255" s="22"/>
      <c r="U255" s="22"/>
      <c r="V255" s="22" t="n">
        <v>3.646</v>
      </c>
      <c r="W255" s="22"/>
      <c r="X255" s="22"/>
      <c r="Y255" s="22"/>
      <c r="Z255" s="22"/>
      <c r="AA255" s="24"/>
      <c r="AB255" s="22" t="n">
        <v>5.13849707923518</v>
      </c>
      <c r="AC255" s="22"/>
      <c r="AD255" s="22"/>
      <c r="AE255" s="22"/>
      <c r="AF255" s="22"/>
      <c r="AG255" s="277"/>
      <c r="AH255" s="22"/>
      <c r="AI255" s="223" t="n">
        <v>1.48694519320613</v>
      </c>
      <c r="AJ255" s="37" t="n">
        <v>0.0641629156881374</v>
      </c>
      <c r="AK255" s="37" t="n">
        <v>0.0653046234411279</v>
      </c>
      <c r="AL255" s="39" t="n">
        <v>0.31893791078786</v>
      </c>
      <c r="AM255" s="149" t="n">
        <v>0.31261911231194</v>
      </c>
      <c r="AN255" s="22"/>
      <c r="AO255" s="22"/>
      <c r="AP255" s="22"/>
      <c r="AQ255" s="22"/>
      <c r="AR255" s="22"/>
      <c r="AS255" s="22"/>
      <c r="AU255" s="22"/>
      <c r="AV255" s="22"/>
      <c r="AW255" s="22"/>
      <c r="AX255" s="22"/>
      <c r="AY255" s="22"/>
      <c r="AZ255" s="25"/>
      <c r="BA255" s="25"/>
      <c r="BB255" s="25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</row>
    <row r="256" customFormat="false" ht="12.75" hidden="false" customHeight="false" outlineLevel="0" collapsed="false">
      <c r="A256" s="224" t="n">
        <v>43709</v>
      </c>
      <c r="B256" s="217" t="n">
        <v>4.499</v>
      </c>
      <c r="C256" s="22" t="n">
        <v>-0.838</v>
      </c>
      <c r="D256" s="39"/>
      <c r="E256" s="39"/>
      <c r="F256" s="39"/>
      <c r="G256" s="273"/>
      <c r="H256" s="273"/>
      <c r="I256" s="273"/>
      <c r="J256" s="275"/>
      <c r="K256" s="273"/>
      <c r="L256" s="275"/>
      <c r="M256" s="275"/>
      <c r="N256" s="275"/>
      <c r="O256" s="278"/>
      <c r="P256" s="22"/>
      <c r="Q256" s="22"/>
      <c r="S256" s="22"/>
      <c r="T256" s="22"/>
      <c r="U256" s="22"/>
      <c r="V256" s="22" t="n">
        <v>3.661</v>
      </c>
      <c r="W256" s="22"/>
      <c r="X256" s="22"/>
      <c r="Y256" s="22"/>
      <c r="Z256" s="22"/>
      <c r="AA256" s="24"/>
      <c r="AB256" s="22" t="n">
        <v>5.15726602206099</v>
      </c>
      <c r="AC256" s="22"/>
      <c r="AD256" s="22"/>
      <c r="AE256" s="22"/>
      <c r="AF256" s="22"/>
      <c r="AG256" s="277"/>
      <c r="AH256" s="22"/>
      <c r="AI256" s="223" t="n">
        <v>1.48626180283299</v>
      </c>
      <c r="AJ256" s="37" t="n">
        <v>0.0641756390649455</v>
      </c>
      <c r="AK256" s="37" t="n">
        <v>0.0653381349439162</v>
      </c>
      <c r="AL256" s="39" t="n">
        <v>0.317161827560972</v>
      </c>
      <c r="AM256" s="149" t="n">
        <v>0.310735339235713</v>
      </c>
      <c r="AN256" s="22"/>
      <c r="AO256" s="22"/>
      <c r="AP256" s="22"/>
      <c r="AQ256" s="22"/>
      <c r="AR256" s="22"/>
      <c r="AS256" s="22"/>
      <c r="AU256" s="22"/>
      <c r="AV256" s="22"/>
      <c r="AW256" s="22"/>
      <c r="AX256" s="22"/>
      <c r="AY256" s="22"/>
      <c r="AZ256" s="25"/>
      <c r="BA256" s="25"/>
      <c r="BB256" s="25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</row>
    <row r="257" customFormat="false" ht="12.75" hidden="false" customHeight="false" outlineLevel="0" collapsed="false">
      <c r="A257" s="224" t="n">
        <v>43739</v>
      </c>
      <c r="B257" s="217" t="n">
        <v>4.528</v>
      </c>
      <c r="C257" s="22" t="n">
        <v>-0.838</v>
      </c>
      <c r="D257" s="39"/>
      <c r="E257" s="39"/>
      <c r="F257" s="39"/>
      <c r="G257" s="273"/>
      <c r="H257" s="273"/>
      <c r="I257" s="273"/>
      <c r="J257" s="275"/>
      <c r="K257" s="273"/>
      <c r="L257" s="275"/>
      <c r="M257" s="275"/>
      <c r="N257" s="275"/>
      <c r="O257" s="278"/>
      <c r="P257" s="22"/>
      <c r="Q257" s="22"/>
      <c r="S257" s="22"/>
      <c r="T257" s="22"/>
      <c r="U257" s="22"/>
      <c r="V257" s="22" t="n">
        <v>3.69</v>
      </c>
      <c r="W257" s="22"/>
      <c r="X257" s="22"/>
      <c r="Y257" s="22"/>
      <c r="Z257" s="22"/>
      <c r="AA257" s="24"/>
      <c r="AB257" s="22" t="n">
        <v>5.19578961164387</v>
      </c>
      <c r="AC257" s="22"/>
      <c r="AD257" s="22"/>
      <c r="AE257" s="22"/>
      <c r="AF257" s="22"/>
      <c r="AG257" s="277"/>
      <c r="AH257" s="22"/>
      <c r="AI257" s="223" t="n">
        <v>1.48559593617955</v>
      </c>
      <c r="AJ257" s="37" t="n">
        <v>0.0641879520102946</v>
      </c>
      <c r="AK257" s="37" t="n">
        <v>0.0653705654308396</v>
      </c>
      <c r="AL257" s="39" t="n">
        <v>0.315451826923488</v>
      </c>
      <c r="AM257" s="149" t="n">
        <v>0.308921524151579</v>
      </c>
      <c r="AN257" s="22"/>
      <c r="AO257" s="22"/>
      <c r="AP257" s="22"/>
      <c r="AQ257" s="22"/>
      <c r="AR257" s="22"/>
      <c r="AS257" s="22"/>
      <c r="AU257" s="22"/>
      <c r="AV257" s="22"/>
      <c r="AW257" s="22"/>
      <c r="AX257" s="22"/>
      <c r="AY257" s="22"/>
      <c r="AZ257" s="25"/>
      <c r="BA257" s="25"/>
      <c r="BB257" s="25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</row>
    <row r="258" customFormat="false" ht="12.75" hidden="false" customHeight="false" outlineLevel="0" collapsed="false">
      <c r="A258" s="224" t="n">
        <v>43770</v>
      </c>
      <c r="B258" s="217" t="n">
        <v>4.668</v>
      </c>
      <c r="C258" s="22" t="n">
        <v>-0.738</v>
      </c>
      <c r="D258" s="39"/>
      <c r="E258" s="39"/>
      <c r="F258" s="39"/>
      <c r="G258" s="273"/>
      <c r="H258" s="273"/>
      <c r="I258" s="273"/>
      <c r="J258" s="275"/>
      <c r="K258" s="273"/>
      <c r="L258" s="275"/>
      <c r="M258" s="275"/>
      <c r="N258" s="275"/>
      <c r="O258" s="278"/>
      <c r="P258" s="22"/>
      <c r="Q258" s="22"/>
      <c r="S258" s="22"/>
      <c r="T258" s="22"/>
      <c r="U258" s="22"/>
      <c r="V258" s="22" t="n">
        <v>3.93</v>
      </c>
      <c r="W258" s="22"/>
      <c r="X258" s="22"/>
      <c r="Y258" s="22"/>
      <c r="Z258" s="22"/>
      <c r="AA258" s="24"/>
      <c r="AB258" s="22" t="n">
        <v>5.53114679351977</v>
      </c>
      <c r="AC258" s="22"/>
      <c r="AD258" s="22"/>
      <c r="AE258" s="22"/>
      <c r="AF258" s="22"/>
      <c r="AG258" s="277"/>
      <c r="AH258" s="22"/>
      <c r="AI258" s="223" t="n">
        <v>1.48490320900351</v>
      </c>
      <c r="AJ258" s="37" t="n">
        <v>0.0642006753872084</v>
      </c>
      <c r="AK258" s="37" t="n">
        <v>0.0654040769343602</v>
      </c>
      <c r="AL258" s="39" t="n">
        <v>0.313693865957462</v>
      </c>
      <c r="AM258" s="149" t="n">
        <v>0.307056709429766</v>
      </c>
      <c r="AN258" s="22"/>
      <c r="AO258" s="22"/>
      <c r="AP258" s="22"/>
      <c r="AQ258" s="22"/>
      <c r="AR258" s="22"/>
      <c r="AS258" s="22"/>
      <c r="AU258" s="22"/>
      <c r="AV258" s="22"/>
      <c r="AW258" s="22"/>
      <c r="AX258" s="22"/>
      <c r="AY258" s="22"/>
      <c r="AZ258" s="25"/>
      <c r="BA258" s="25"/>
      <c r="BB258" s="25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</row>
    <row r="259" customFormat="false" ht="12.75" hidden="false" customHeight="false" outlineLevel="0" collapsed="false">
      <c r="A259" s="224" t="n">
        <v>43800</v>
      </c>
      <c r="B259" s="217" t="n">
        <v>4.808</v>
      </c>
      <c r="C259" s="22" t="n">
        <v>-0.738</v>
      </c>
      <c r="D259" s="39"/>
      <c r="E259" s="39"/>
      <c r="F259" s="39"/>
      <c r="G259" s="273"/>
      <c r="H259" s="273"/>
      <c r="I259" s="273"/>
      <c r="J259" s="275"/>
      <c r="K259" s="273"/>
      <c r="L259" s="275"/>
      <c r="M259" s="275"/>
      <c r="N259" s="275"/>
      <c r="O259" s="278"/>
      <c r="P259" s="22"/>
      <c r="Q259" s="22"/>
      <c r="S259" s="22"/>
      <c r="T259" s="22"/>
      <c r="U259" s="22"/>
      <c r="V259" s="22" t="n">
        <v>4.07</v>
      </c>
      <c r="W259" s="22"/>
      <c r="X259" s="22"/>
      <c r="Y259" s="22"/>
      <c r="Z259" s="22"/>
      <c r="AA259" s="24"/>
      <c r="AB259" s="22" t="n">
        <v>5.72558163963271</v>
      </c>
      <c r="AC259" s="22"/>
      <c r="AD259" s="22"/>
      <c r="AE259" s="22"/>
      <c r="AF259" s="22"/>
      <c r="AG259" s="277"/>
      <c r="AH259" s="22"/>
      <c r="AI259" s="223" t="n">
        <v>1.48422831999615</v>
      </c>
      <c r="AJ259" s="37" t="n">
        <v>0.0642129883326601</v>
      </c>
      <c r="AK259" s="37" t="n">
        <v>0.0654365074219929</v>
      </c>
      <c r="AL259" s="39" t="n">
        <v>0.312001320630266</v>
      </c>
      <c r="AM259" s="149" t="n">
        <v>0.305261170702464</v>
      </c>
      <c r="AN259" s="22"/>
      <c r="AO259" s="22"/>
      <c r="AP259" s="22"/>
      <c r="AQ259" s="22"/>
      <c r="AR259" s="22"/>
      <c r="AS259" s="22"/>
      <c r="AU259" s="22"/>
      <c r="AV259" s="22"/>
      <c r="AW259" s="22"/>
      <c r="AX259" s="22"/>
      <c r="AY259" s="22"/>
      <c r="AZ259" s="25"/>
      <c r="BA259" s="25"/>
      <c r="BB259" s="25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</row>
    <row r="260" customFormat="false" ht="12.75" hidden="false" customHeight="false" outlineLevel="0" collapsed="false">
      <c r="A260" s="224" t="n">
        <v>43831</v>
      </c>
      <c r="B260" s="217" t="n">
        <v>4.918</v>
      </c>
      <c r="C260" s="22" t="n">
        <v>-0.738</v>
      </c>
      <c r="D260" s="39"/>
      <c r="E260" s="39"/>
      <c r="F260" s="39"/>
      <c r="G260" s="273"/>
      <c r="H260" s="273"/>
      <c r="I260" s="273"/>
      <c r="J260" s="275"/>
      <c r="K260" s="273"/>
      <c r="L260" s="275"/>
      <c r="M260" s="275"/>
      <c r="N260" s="275"/>
      <c r="O260" s="278"/>
      <c r="P260" s="22"/>
      <c r="Q260" s="22"/>
      <c r="S260" s="22"/>
      <c r="T260" s="22"/>
      <c r="U260" s="22"/>
      <c r="V260" s="22" t="n">
        <v>4.18</v>
      </c>
      <c r="W260" s="22"/>
      <c r="X260" s="22"/>
      <c r="Y260" s="22"/>
      <c r="Z260" s="22"/>
      <c r="AA260" s="24"/>
      <c r="AB260" s="22" t="n">
        <v>5.87754570854558</v>
      </c>
      <c r="AC260" s="22"/>
      <c r="AD260" s="22"/>
      <c r="AE260" s="22"/>
      <c r="AF260" s="22"/>
      <c r="AG260" s="277"/>
      <c r="AH260" s="22"/>
      <c r="AI260" s="223" t="n">
        <v>1.48352628351083</v>
      </c>
      <c r="AJ260" s="37" t="n">
        <v>0.0642257117096792</v>
      </c>
      <c r="AK260" s="37" t="n">
        <v>0.0654700189262458</v>
      </c>
      <c r="AL260" s="39" t="n">
        <v>0.31026131207049</v>
      </c>
      <c r="AM260" s="149" t="n">
        <v>0.303415168894613</v>
      </c>
      <c r="AN260" s="22"/>
      <c r="AO260" s="22"/>
      <c r="AP260" s="22"/>
      <c r="AQ260" s="22"/>
      <c r="AR260" s="22"/>
      <c r="AS260" s="22"/>
      <c r="AU260" s="22"/>
      <c r="AV260" s="22"/>
      <c r="AW260" s="22"/>
      <c r="AX260" s="22"/>
      <c r="AY260" s="22"/>
      <c r="AZ260" s="25"/>
      <c r="BA260" s="25"/>
      <c r="BB260" s="25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</row>
    <row r="261" customFormat="false" ht="12.75" hidden="false" customHeight="false" outlineLevel="0" collapsed="false">
      <c r="A261" s="224" t="n">
        <v>43862</v>
      </c>
      <c r="B261" s="217" t="n">
        <v>4.8</v>
      </c>
      <c r="C261" s="22" t="n">
        <v>-0.738</v>
      </c>
      <c r="D261" s="39"/>
      <c r="E261" s="39"/>
      <c r="F261" s="39"/>
      <c r="G261" s="273"/>
      <c r="H261" s="273"/>
      <c r="I261" s="273"/>
      <c r="J261" s="275"/>
      <c r="K261" s="273"/>
      <c r="L261" s="275"/>
      <c r="M261" s="275"/>
      <c r="N261" s="275"/>
      <c r="O261" s="278"/>
      <c r="P261" s="22"/>
      <c r="Q261" s="22"/>
      <c r="S261" s="22"/>
      <c r="T261" s="22"/>
      <c r="U261" s="22"/>
      <c r="V261" s="22" t="n">
        <v>4.062</v>
      </c>
      <c r="W261" s="22"/>
      <c r="X261" s="22"/>
      <c r="Y261" s="22"/>
      <c r="Z261" s="22"/>
      <c r="AA261" s="24"/>
      <c r="AB261" s="22" t="n">
        <v>5.70890352502547</v>
      </c>
      <c r="AC261" s="22"/>
      <c r="AD261" s="22"/>
      <c r="AE261" s="22"/>
      <c r="AF261" s="22"/>
      <c r="AG261" s="277"/>
      <c r="AH261" s="22"/>
      <c r="AI261" s="223" t="n">
        <v>1.4828195267108</v>
      </c>
      <c r="AJ261" s="37" t="n">
        <v>0.064238435086752</v>
      </c>
      <c r="AK261" s="37" t="n">
        <v>0.0655035304308704</v>
      </c>
      <c r="AL261" s="39" t="n">
        <v>0.308530362227864</v>
      </c>
      <c r="AM261" s="149" t="n">
        <v>0.301578672178401</v>
      </c>
      <c r="AN261" s="22"/>
      <c r="AO261" s="22"/>
      <c r="AP261" s="22"/>
      <c r="AQ261" s="22"/>
      <c r="AR261" s="22"/>
      <c r="AS261" s="22"/>
      <c r="AU261" s="22"/>
      <c r="AV261" s="22"/>
      <c r="AW261" s="22"/>
      <c r="AX261" s="22"/>
      <c r="AY261" s="22"/>
      <c r="AZ261" s="25"/>
      <c r="BA261" s="25"/>
      <c r="BB261" s="25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</row>
    <row r="262" customFormat="false" ht="12.75" hidden="false" customHeight="false" outlineLevel="0" collapsed="false">
      <c r="A262" s="224" t="n">
        <v>43891</v>
      </c>
      <c r="B262" s="217" t="n">
        <v>4.667</v>
      </c>
      <c r="C262" s="22" t="n">
        <v>-0.738</v>
      </c>
      <c r="D262" s="39"/>
      <c r="E262" s="39"/>
      <c r="F262" s="39"/>
      <c r="G262" s="273"/>
      <c r="H262" s="273"/>
      <c r="I262" s="273"/>
      <c r="J262" s="275"/>
      <c r="K262" s="273"/>
      <c r="L262" s="275"/>
      <c r="M262" s="275"/>
      <c r="N262" s="275"/>
      <c r="O262" s="278"/>
      <c r="P262" s="22"/>
      <c r="Q262" s="22"/>
      <c r="S262" s="22"/>
      <c r="T262" s="22"/>
      <c r="U262" s="22"/>
      <c r="V262" s="22" t="n">
        <v>3.929</v>
      </c>
      <c r="W262" s="22"/>
      <c r="X262" s="22"/>
      <c r="Y262" s="22"/>
      <c r="Z262" s="22"/>
      <c r="AA262" s="24"/>
      <c r="AB262" s="22" t="n">
        <v>5.51950177021204</v>
      </c>
      <c r="AC262" s="22"/>
      <c r="AD262" s="22"/>
      <c r="AE262" s="22"/>
      <c r="AF262" s="22"/>
      <c r="AG262" s="277"/>
      <c r="AH262" s="22"/>
      <c r="AI262" s="223" t="n">
        <v>1.4821541001967</v>
      </c>
      <c r="AJ262" s="37" t="n">
        <v>0.0642503376008365</v>
      </c>
      <c r="AK262" s="37" t="n">
        <v>0.0655348799032764</v>
      </c>
      <c r="AL262" s="39" t="n">
        <v>0.306919249116972</v>
      </c>
      <c r="AM262" s="149" t="n">
        <v>0.299869231053403</v>
      </c>
      <c r="AN262" s="22"/>
      <c r="AO262" s="22"/>
      <c r="AP262" s="22"/>
      <c r="AQ262" s="22"/>
      <c r="AR262" s="22"/>
      <c r="AS262" s="22"/>
      <c r="AU262" s="22"/>
      <c r="AV262" s="22"/>
      <c r="AW262" s="22"/>
      <c r="AX262" s="22"/>
      <c r="AY262" s="22"/>
      <c r="AZ262" s="25"/>
      <c r="BA262" s="25"/>
      <c r="BB262" s="25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</row>
    <row r="263" customFormat="false" ht="12.75" hidden="false" customHeight="false" outlineLevel="0" collapsed="false">
      <c r="A263" s="224" t="n">
        <v>43922</v>
      </c>
      <c r="B263" s="217" t="n">
        <v>4.447</v>
      </c>
      <c r="C263" s="22" t="n">
        <v>-0.838</v>
      </c>
      <c r="D263" s="39"/>
      <c r="E263" s="39"/>
      <c r="F263" s="39"/>
      <c r="G263" s="273"/>
      <c r="H263" s="273"/>
      <c r="I263" s="273"/>
      <c r="J263" s="275"/>
      <c r="K263" s="273"/>
      <c r="L263" s="275"/>
      <c r="M263" s="275"/>
      <c r="N263" s="275"/>
      <c r="O263" s="278"/>
      <c r="P263" s="22"/>
      <c r="Q263" s="22"/>
      <c r="S263" s="22"/>
      <c r="T263" s="22"/>
      <c r="U263" s="22"/>
      <c r="V263" s="22" t="n">
        <v>3.609</v>
      </c>
      <c r="W263" s="22"/>
      <c r="X263" s="22"/>
      <c r="Y263" s="22"/>
      <c r="Z263" s="22"/>
      <c r="AA263" s="24"/>
      <c r="AB263" s="22" t="n">
        <v>5.06751353905343</v>
      </c>
      <c r="AC263" s="22"/>
      <c r="AD263" s="22"/>
      <c r="AE263" s="22"/>
      <c r="AF263" s="22"/>
      <c r="AG263" s="277"/>
      <c r="AH263" s="22"/>
      <c r="AI263" s="223" t="n">
        <v>1.48143822789126</v>
      </c>
      <c r="AJ263" s="37" t="n">
        <v>0.0642630609780137</v>
      </c>
      <c r="AK263" s="37" t="n">
        <v>0.0655683914086218</v>
      </c>
      <c r="AL263" s="39" t="n">
        <v>0.305205709394548</v>
      </c>
      <c r="AM263" s="149" t="n">
        <v>0.298051025225942</v>
      </c>
      <c r="AN263" s="22"/>
      <c r="AO263" s="22"/>
      <c r="AP263" s="22"/>
      <c r="AQ263" s="22"/>
      <c r="AR263" s="22"/>
      <c r="AS263" s="22"/>
      <c r="AU263" s="22"/>
      <c r="AV263" s="22"/>
      <c r="AW263" s="22"/>
      <c r="AX263" s="22"/>
      <c r="AY263" s="22"/>
      <c r="AZ263" s="25"/>
      <c r="BA263" s="25"/>
      <c r="BB263" s="25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</row>
    <row r="264" customFormat="false" ht="12.75" hidden="false" customHeight="false" outlineLevel="0" collapsed="false">
      <c r="A264" s="224" t="n">
        <v>43952</v>
      </c>
      <c r="B264" s="217" t="n">
        <v>4.437</v>
      </c>
      <c r="C264" s="22" t="n">
        <v>-0.838</v>
      </c>
      <c r="D264" s="39"/>
      <c r="E264" s="39"/>
      <c r="F264" s="39"/>
      <c r="G264" s="273"/>
      <c r="H264" s="273"/>
      <c r="I264" s="273"/>
      <c r="J264" s="275"/>
      <c r="K264" s="273"/>
      <c r="L264" s="275"/>
      <c r="M264" s="275"/>
      <c r="N264" s="275"/>
      <c r="O264" s="278"/>
      <c r="P264" s="22"/>
      <c r="Q264" s="22"/>
      <c r="S264" s="22"/>
      <c r="T264" s="22"/>
      <c r="U264" s="22"/>
      <c r="V264" s="22" t="n">
        <v>3.599</v>
      </c>
      <c r="W264" s="22"/>
      <c r="X264" s="22"/>
      <c r="Y264" s="22"/>
      <c r="Z264" s="22"/>
      <c r="AA264" s="24"/>
      <c r="AB264" s="22" t="n">
        <v>5.05109374849187</v>
      </c>
      <c r="AC264" s="22"/>
      <c r="AD264" s="22"/>
      <c r="AE264" s="22"/>
      <c r="AF264" s="22"/>
      <c r="AG264" s="277"/>
      <c r="AH264" s="22"/>
      <c r="AI264" s="223" t="n">
        <v>1.48074097413416</v>
      </c>
      <c r="AJ264" s="37" t="n">
        <v>0.0642753739237198</v>
      </c>
      <c r="AK264" s="37" t="n">
        <v>0.0656008218980202</v>
      </c>
      <c r="AL264" s="39" t="n">
        <v>0.303555950130867</v>
      </c>
      <c r="AM264" s="149" t="n">
        <v>0.296300417469348</v>
      </c>
      <c r="AN264" s="22"/>
      <c r="AO264" s="22"/>
      <c r="AP264" s="22"/>
      <c r="AQ264" s="22"/>
      <c r="AR264" s="22"/>
      <c r="AS264" s="22"/>
      <c r="AU264" s="22"/>
      <c r="AV264" s="22"/>
      <c r="AW264" s="22"/>
      <c r="AX264" s="22"/>
      <c r="AY264" s="22"/>
      <c r="AZ264" s="25"/>
      <c r="BA264" s="25"/>
      <c r="BB264" s="25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</row>
    <row r="265" customFormat="false" ht="12.75" hidden="false" customHeight="false" outlineLevel="0" collapsed="false">
      <c r="A265" s="224" t="n">
        <v>43983</v>
      </c>
      <c r="B265" s="217" t="n">
        <v>4.473</v>
      </c>
      <c r="C265" s="22" t="n">
        <v>-0.838</v>
      </c>
      <c r="D265" s="39"/>
      <c r="E265" s="39"/>
      <c r="F265" s="39"/>
      <c r="G265" s="273"/>
      <c r="H265" s="273"/>
      <c r="I265" s="273"/>
      <c r="J265" s="275"/>
      <c r="K265" s="273"/>
      <c r="L265" s="275"/>
      <c r="M265" s="275"/>
      <c r="N265" s="275"/>
      <c r="O265" s="278"/>
      <c r="P265" s="22"/>
      <c r="Q265" s="22"/>
      <c r="S265" s="22"/>
      <c r="T265" s="22"/>
      <c r="U265" s="22"/>
      <c r="V265" s="22" t="n">
        <v>3.635</v>
      </c>
      <c r="W265" s="22"/>
      <c r="X265" s="22"/>
      <c r="Y265" s="22"/>
      <c r="Z265" s="22"/>
      <c r="AA265" s="24"/>
      <c r="AB265" s="22" t="n">
        <v>5.09912048290845</v>
      </c>
      <c r="AC265" s="22"/>
      <c r="AD265" s="22"/>
      <c r="AE265" s="22"/>
      <c r="AF265" s="22"/>
      <c r="AG265" s="277"/>
      <c r="AH265" s="22"/>
      <c r="AI265" s="223" t="n">
        <v>1.48001586250769</v>
      </c>
      <c r="AJ265" s="37" t="n">
        <v>0.0642880973010023</v>
      </c>
      <c r="AK265" s="37" t="n">
        <v>0.0656343334040974</v>
      </c>
      <c r="AL265" s="39" t="n">
        <v>0.301859945742649</v>
      </c>
      <c r="AM265" s="149" t="n">
        <v>0.294500664439574</v>
      </c>
      <c r="AN265" s="22"/>
      <c r="AO265" s="22"/>
      <c r="AP265" s="22"/>
      <c r="AQ265" s="22"/>
      <c r="AR265" s="22"/>
      <c r="AS265" s="22"/>
      <c r="AU265" s="22"/>
      <c r="AV265" s="22"/>
      <c r="AW265" s="22"/>
      <c r="AX265" s="22"/>
      <c r="AY265" s="22"/>
      <c r="AZ265" s="25"/>
      <c r="BA265" s="25"/>
      <c r="BB265" s="25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</row>
    <row r="266" customFormat="false" ht="12.75" hidden="false" customHeight="false" outlineLevel="0" collapsed="false">
      <c r="A266" s="224" t="n">
        <v>44013</v>
      </c>
      <c r="B266" s="217" t="n">
        <v>4.515</v>
      </c>
      <c r="C266" s="22" t="n">
        <v>-0.838</v>
      </c>
      <c r="D266" s="39"/>
      <c r="E266" s="39"/>
      <c r="F266" s="39"/>
      <c r="G266" s="273"/>
      <c r="H266" s="273"/>
      <c r="I266" s="273"/>
      <c r="J266" s="275"/>
      <c r="K266" s="273"/>
      <c r="L266" s="275"/>
      <c r="M266" s="275"/>
      <c r="N266" s="275"/>
      <c r="O266" s="278"/>
      <c r="P266" s="22"/>
      <c r="Q266" s="22"/>
      <c r="S266" s="22"/>
      <c r="T266" s="22"/>
      <c r="U266" s="22"/>
      <c r="V266" s="22" t="n">
        <v>3.677</v>
      </c>
      <c r="W266" s="22"/>
      <c r="X266" s="22"/>
      <c r="Y266" s="22"/>
      <c r="Z266" s="22"/>
      <c r="AA266" s="24"/>
      <c r="AB266" s="22" t="n">
        <v>5.15557628994665</v>
      </c>
      <c r="AC266" s="22"/>
      <c r="AD266" s="22"/>
      <c r="AE266" s="22"/>
      <c r="AF266" s="22"/>
      <c r="AG266" s="277"/>
      <c r="AH266" s="22"/>
      <c r="AI266" s="223" t="n">
        <v>1.47930968130703</v>
      </c>
      <c r="AJ266" s="37" t="n">
        <v>0.064300410246811</v>
      </c>
      <c r="AK266" s="37" t="n">
        <v>0.0656667638942041</v>
      </c>
      <c r="AL266" s="39" t="n">
        <v>0.300227076184346</v>
      </c>
      <c r="AM266" s="149" t="n">
        <v>0.292767844686889</v>
      </c>
      <c r="AN266" s="22"/>
      <c r="AO266" s="22"/>
      <c r="AP266" s="22"/>
      <c r="AQ266" s="22"/>
      <c r="AR266" s="22"/>
      <c r="AS266" s="22"/>
      <c r="AU266" s="22"/>
      <c r="AV266" s="22"/>
      <c r="AW266" s="22"/>
      <c r="AX266" s="22"/>
      <c r="AY266" s="22"/>
      <c r="AZ266" s="25"/>
      <c r="BA266" s="25"/>
      <c r="BB266" s="25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</row>
    <row r="267" customFormat="false" ht="12.75" hidden="false" customHeight="false" outlineLevel="0" collapsed="false">
      <c r="A267" s="224" t="n">
        <v>44044</v>
      </c>
      <c r="B267" s="217" t="n">
        <v>4.564</v>
      </c>
      <c r="C267" s="22" t="n">
        <v>-0.838</v>
      </c>
      <c r="D267" s="39"/>
      <c r="E267" s="39"/>
      <c r="F267" s="39"/>
      <c r="G267" s="273"/>
      <c r="H267" s="273"/>
      <c r="I267" s="273"/>
      <c r="J267" s="275"/>
      <c r="K267" s="273"/>
      <c r="L267" s="275"/>
      <c r="M267" s="275"/>
      <c r="N267" s="275"/>
      <c r="O267" s="278"/>
      <c r="P267" s="22"/>
      <c r="Q267" s="22"/>
      <c r="S267" s="22"/>
      <c r="T267" s="22"/>
      <c r="U267" s="22"/>
      <c r="V267" s="22" t="n">
        <v>3.726</v>
      </c>
      <c r="W267" s="22"/>
      <c r="X267" s="22"/>
      <c r="Y267" s="22"/>
      <c r="Z267" s="22"/>
      <c r="AA267" s="24"/>
      <c r="AB267" s="22" t="n">
        <v>5.22168660977959</v>
      </c>
      <c r="AC267" s="22"/>
      <c r="AD267" s="22"/>
      <c r="AE267" s="22"/>
      <c r="AF267" s="22"/>
      <c r="AG267" s="277"/>
      <c r="AH267" s="22"/>
      <c r="AI267" s="223" t="n">
        <v>1.47857535903586</v>
      </c>
      <c r="AJ267" s="37" t="n">
        <v>0.0643131336241987</v>
      </c>
      <c r="AK267" s="37" t="n">
        <v>0.0657002754010141</v>
      </c>
      <c r="AL267" s="39" t="n">
        <v>0.298548442203351</v>
      </c>
      <c r="AM267" s="149" t="n">
        <v>0.290986400870412</v>
      </c>
      <c r="AN267" s="22"/>
      <c r="AO267" s="22"/>
      <c r="AP267" s="22"/>
      <c r="AQ267" s="22"/>
      <c r="AR267" s="22"/>
      <c r="AS267" s="22"/>
      <c r="AU267" s="22"/>
      <c r="AV267" s="22"/>
      <c r="AW267" s="22"/>
      <c r="AX267" s="22"/>
      <c r="AY267" s="22"/>
      <c r="AZ267" s="25"/>
      <c r="BA267" s="25"/>
      <c r="BB267" s="25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</row>
    <row r="268" customFormat="false" ht="12.75" hidden="false" customHeight="false" outlineLevel="0" collapsed="false">
      <c r="A268" s="224" t="n">
        <v>44075</v>
      </c>
      <c r="B268" s="217" t="n">
        <v>4.579</v>
      </c>
      <c r="C268" s="22" t="n">
        <v>-0.838</v>
      </c>
      <c r="D268" s="39"/>
      <c r="E268" s="39"/>
      <c r="F268" s="39"/>
      <c r="G268" s="273"/>
      <c r="H268" s="273"/>
      <c r="I268" s="273"/>
      <c r="J268" s="275"/>
      <c r="K268" s="273"/>
      <c r="L268" s="275"/>
      <c r="M268" s="275"/>
      <c r="N268" s="275"/>
      <c r="O268" s="278"/>
      <c r="P268" s="22"/>
      <c r="Q268" s="22"/>
      <c r="S268" s="22"/>
      <c r="T268" s="22"/>
      <c r="U268" s="22"/>
      <c r="V268" s="22" t="n">
        <v>3.741</v>
      </c>
      <c r="W268" s="22"/>
      <c r="X268" s="22"/>
      <c r="Y268" s="22"/>
      <c r="Z268" s="22"/>
      <c r="AA268" s="24"/>
      <c r="AB268" s="22" t="n">
        <v>5.24008758691922</v>
      </c>
      <c r="AC268" s="22"/>
      <c r="AD268" s="22"/>
      <c r="AE268" s="22"/>
      <c r="AF268" s="22"/>
      <c r="AG268" s="277"/>
      <c r="AH268" s="22"/>
      <c r="AI268" s="223" t="n">
        <v>1.47783636704214</v>
      </c>
      <c r="AJ268" s="37" t="n">
        <v>0.0643258570016405</v>
      </c>
      <c r="AK268" s="37" t="n">
        <v>0.0657337869081962</v>
      </c>
      <c r="AL268" s="39" t="n">
        <v>0.296878573046646</v>
      </c>
      <c r="AM268" s="149" t="n">
        <v>0.289214206884583</v>
      </c>
      <c r="AN268" s="22"/>
      <c r="AO268" s="22"/>
      <c r="AP268" s="22"/>
      <c r="AQ268" s="22"/>
      <c r="AR268" s="22"/>
      <c r="AS268" s="22"/>
      <c r="AU268" s="22"/>
      <c r="AV268" s="22"/>
      <c r="AW268" s="22"/>
      <c r="AX268" s="22"/>
      <c r="AY268" s="22"/>
      <c r="AZ268" s="25"/>
      <c r="BA268" s="25"/>
      <c r="BB268" s="25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</row>
    <row r="269" customFormat="false" ht="12.75" hidden="false" customHeight="false" outlineLevel="0" collapsed="false">
      <c r="A269" s="224" t="n">
        <v>44105</v>
      </c>
      <c r="B269" s="217" t="n">
        <v>4.608</v>
      </c>
      <c r="C269" s="22" t="n">
        <v>-0.838</v>
      </c>
      <c r="D269" s="39"/>
      <c r="E269" s="39"/>
      <c r="F269" s="39"/>
      <c r="G269" s="273"/>
      <c r="H269" s="273"/>
      <c r="I269" s="273"/>
      <c r="J269" s="275"/>
      <c r="K269" s="273"/>
      <c r="L269" s="275"/>
      <c r="M269" s="275"/>
      <c r="N269" s="275"/>
      <c r="O269" s="278"/>
      <c r="P269" s="22"/>
      <c r="Q269" s="22"/>
      <c r="S269" s="22"/>
      <c r="T269" s="22"/>
      <c r="U269" s="22"/>
      <c r="V269" s="22" t="n">
        <v>3.77</v>
      </c>
      <c r="W269" s="22"/>
      <c r="X269" s="22"/>
      <c r="Y269" s="22"/>
      <c r="Z269" s="22"/>
      <c r="AA269" s="24"/>
      <c r="AB269" s="22" t="n">
        <v>5.27813712209396</v>
      </c>
      <c r="AC269" s="22"/>
      <c r="AD269" s="22"/>
      <c r="AE269" s="22"/>
      <c r="AF269" s="22"/>
      <c r="AG269" s="277"/>
      <c r="AH269" s="22"/>
      <c r="AI269" s="223" t="n">
        <v>1.47711677439999</v>
      </c>
      <c r="AJ269" s="37" t="n">
        <v>0.0643381699476029</v>
      </c>
      <c r="AK269" s="37" t="n">
        <v>0.0657662173993714</v>
      </c>
      <c r="AL269" s="39" t="n">
        <v>0.295270876304662</v>
      </c>
      <c r="AM269" s="149" t="n">
        <v>0.287507952789323</v>
      </c>
      <c r="AN269" s="22"/>
      <c r="AO269" s="22"/>
      <c r="AP269" s="22"/>
      <c r="AQ269" s="22"/>
      <c r="AR269" s="22"/>
      <c r="AS269" s="22"/>
      <c r="AU269" s="22"/>
      <c r="AV269" s="22"/>
      <c r="AW269" s="22"/>
      <c r="AX269" s="22"/>
      <c r="AY269" s="22"/>
      <c r="AZ269" s="25"/>
      <c r="BA269" s="25"/>
      <c r="BB269" s="25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</row>
    <row r="270" customFormat="false" ht="12.75" hidden="false" customHeight="false" outlineLevel="0" collapsed="false">
      <c r="A270" s="224" t="n">
        <v>44136</v>
      </c>
      <c r="B270" s="217" t="n">
        <v>4.748</v>
      </c>
      <c r="C270" s="22" t="n">
        <v>-0.738</v>
      </c>
      <c r="D270" s="39"/>
      <c r="E270" s="39"/>
      <c r="F270" s="39"/>
      <c r="G270" s="273"/>
      <c r="H270" s="273"/>
      <c r="I270" s="273"/>
      <c r="J270" s="275"/>
      <c r="K270" s="273"/>
      <c r="L270" s="275"/>
      <c r="M270" s="275"/>
      <c r="N270" s="275"/>
      <c r="O270" s="278"/>
      <c r="P270" s="22"/>
      <c r="Q270" s="22"/>
      <c r="S270" s="22"/>
      <c r="T270" s="22"/>
      <c r="U270" s="22"/>
      <c r="V270" s="22" t="n">
        <v>4.01</v>
      </c>
      <c r="W270" s="22"/>
      <c r="X270" s="22"/>
      <c r="Y270" s="22"/>
      <c r="Z270" s="22"/>
      <c r="AA270" s="24"/>
      <c r="AB270" s="22" t="n">
        <v>5.611302289859</v>
      </c>
      <c r="AC270" s="22"/>
      <c r="AD270" s="22"/>
      <c r="AE270" s="22"/>
      <c r="AF270" s="22"/>
      <c r="AG270" s="277"/>
      <c r="AH270" s="22"/>
      <c r="AI270" s="223" t="n">
        <v>1.47636861564326</v>
      </c>
      <c r="AJ270" s="37" t="n">
        <v>0.0643508933251504</v>
      </c>
      <c r="AK270" s="37" t="n">
        <v>0.0657997289072858</v>
      </c>
      <c r="AL270" s="39" t="n">
        <v>0.293618131436129</v>
      </c>
      <c r="AM270" s="149" t="n">
        <v>0.285753852495793</v>
      </c>
      <c r="AN270" s="22"/>
      <c r="AO270" s="22"/>
      <c r="AP270" s="22"/>
      <c r="AQ270" s="22"/>
      <c r="AR270" s="22"/>
      <c r="AS270" s="22"/>
      <c r="AU270" s="22"/>
      <c r="AV270" s="22"/>
      <c r="AW270" s="22"/>
      <c r="AX270" s="22"/>
      <c r="AY270" s="22"/>
      <c r="AZ270" s="25"/>
      <c r="BA270" s="25"/>
      <c r="BB270" s="25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</row>
    <row r="271" customFormat="false" ht="12.75" hidden="false" customHeight="false" outlineLevel="0" collapsed="false">
      <c r="A271" s="279" t="n">
        <v>44166</v>
      </c>
      <c r="B271" s="280" t="n">
        <v>4.888</v>
      </c>
      <c r="C271" s="22" t="n">
        <v>-0.738</v>
      </c>
      <c r="D271" s="39"/>
      <c r="E271" s="39"/>
      <c r="F271" s="39"/>
      <c r="G271" s="273"/>
      <c r="H271" s="273"/>
      <c r="I271" s="273"/>
      <c r="J271" s="275"/>
      <c r="K271" s="273"/>
      <c r="L271" s="275"/>
      <c r="M271" s="275"/>
      <c r="N271" s="275"/>
      <c r="O271" s="278"/>
      <c r="P271" s="22"/>
      <c r="Q271" s="22"/>
      <c r="S271" s="22"/>
      <c r="T271" s="22"/>
      <c r="U271" s="22"/>
      <c r="V271" s="22" t="n">
        <v>4.15</v>
      </c>
      <c r="W271" s="22"/>
      <c r="X271" s="22"/>
      <c r="Y271" s="22"/>
      <c r="Z271" s="22"/>
      <c r="AA271" s="24"/>
      <c r="AB271" s="22" t="n">
        <v>5.80434279284331</v>
      </c>
      <c r="AC271" s="22"/>
      <c r="AD271" s="22"/>
      <c r="AE271" s="22"/>
      <c r="AF271" s="22"/>
      <c r="AG271" s="277"/>
      <c r="AH271" s="22"/>
      <c r="AI271" s="281" t="n">
        <v>1.47564016617978</v>
      </c>
      <c r="AJ271" s="282" t="n">
        <v>0.0643632062712154</v>
      </c>
      <c r="AK271" s="282" t="n">
        <v>0.0658321593991702</v>
      </c>
      <c r="AL271" s="283" t="n">
        <v>0.292026928292263</v>
      </c>
      <c r="AM271" s="284" t="n">
        <v>0.2840650395479</v>
      </c>
      <c r="AN271" s="22"/>
      <c r="AO271" s="22"/>
      <c r="AP271" s="22"/>
      <c r="AQ271" s="22"/>
      <c r="AR271" s="22"/>
      <c r="AS271" s="22"/>
      <c r="AU271" s="22"/>
      <c r="AV271" s="22"/>
      <c r="AW271" s="22"/>
      <c r="AX271" s="22"/>
      <c r="AY271" s="22"/>
      <c r="AZ271" s="25"/>
      <c r="BA271" s="25"/>
      <c r="BB271" s="25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</row>
    <row r="272" customFormat="false" ht="12.75" hidden="false" customHeight="false" outlineLevel="0" collapsed="false">
      <c r="A272" s="39"/>
      <c r="B272" s="39"/>
      <c r="C272" s="22"/>
      <c r="D272" s="39"/>
      <c r="E272" s="39"/>
      <c r="F272" s="39"/>
      <c r="G272" s="273"/>
      <c r="H272" s="273"/>
      <c r="I272" s="273"/>
      <c r="J272" s="275"/>
      <c r="K272" s="273"/>
      <c r="L272" s="275"/>
      <c r="M272" s="275"/>
      <c r="N272" s="275"/>
      <c r="O272" s="278"/>
      <c r="P272" s="22"/>
      <c r="Q272" s="22"/>
      <c r="S272" s="22"/>
      <c r="T272" s="22"/>
      <c r="U272" s="22"/>
      <c r="V272" s="22"/>
      <c r="W272" s="22"/>
      <c r="X272" s="22"/>
      <c r="Y272" s="22"/>
      <c r="Z272" s="22"/>
      <c r="AA272" s="24"/>
      <c r="AB272" s="22"/>
      <c r="AC272" s="22"/>
      <c r="AD272" s="22"/>
      <c r="AE272" s="22"/>
      <c r="AF272" s="22"/>
      <c r="AG272" s="277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U272" s="22"/>
      <c r="AV272" s="22"/>
      <c r="AW272" s="22"/>
      <c r="AX272" s="22"/>
      <c r="AY272" s="22"/>
      <c r="AZ272" s="25"/>
      <c r="BA272" s="25"/>
      <c r="BB272" s="25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</row>
    <row r="273" customFormat="false" ht="12.75" hidden="false" customHeight="false" outlineLevel="0" collapsed="false">
      <c r="A273" s="39"/>
      <c r="B273" s="39"/>
      <c r="C273" s="22"/>
      <c r="D273" s="39"/>
      <c r="E273" s="39"/>
      <c r="F273" s="39"/>
      <c r="G273" s="273"/>
      <c r="H273" s="273"/>
      <c r="I273" s="273"/>
      <c r="J273" s="275"/>
      <c r="K273" s="273"/>
      <c r="L273" s="275"/>
      <c r="M273" s="275"/>
      <c r="N273" s="275"/>
      <c r="O273" s="278"/>
      <c r="P273" s="22"/>
      <c r="Q273" s="22"/>
      <c r="S273" s="22"/>
      <c r="T273" s="22"/>
      <c r="U273" s="22"/>
      <c r="V273" s="22"/>
      <c r="W273" s="22"/>
      <c r="X273" s="22"/>
      <c r="Y273" s="22"/>
      <c r="Z273" s="22"/>
      <c r="AA273" s="24"/>
      <c r="AB273" s="22"/>
      <c r="AC273" s="22"/>
      <c r="AD273" s="22"/>
      <c r="AE273" s="22"/>
      <c r="AF273" s="22"/>
      <c r="AG273" s="277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U273" s="22"/>
      <c r="AV273" s="22"/>
      <c r="AW273" s="22"/>
      <c r="AX273" s="22"/>
      <c r="AY273" s="22"/>
      <c r="AZ273" s="25"/>
      <c r="BA273" s="25"/>
      <c r="BB273" s="25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</row>
    <row r="274" customFormat="false" ht="12.75" hidden="false" customHeight="false" outlineLevel="0" collapsed="false">
      <c r="A274" s="39"/>
      <c r="B274" s="39"/>
      <c r="C274" s="22"/>
      <c r="D274" s="39"/>
      <c r="E274" s="39"/>
      <c r="F274" s="39"/>
      <c r="G274" s="273"/>
      <c r="H274" s="273"/>
      <c r="I274" s="273"/>
      <c r="J274" s="275"/>
      <c r="K274" s="273"/>
      <c r="L274" s="275"/>
      <c r="M274" s="275"/>
      <c r="N274" s="275"/>
      <c r="O274" s="278"/>
      <c r="P274" s="22"/>
      <c r="Q274" s="22"/>
      <c r="S274" s="22"/>
      <c r="T274" s="22"/>
      <c r="U274" s="22"/>
      <c r="V274" s="22"/>
      <c r="W274" s="22"/>
      <c r="X274" s="22"/>
      <c r="Y274" s="22"/>
      <c r="Z274" s="22"/>
      <c r="AA274" s="24"/>
      <c r="AB274" s="22"/>
      <c r="AC274" s="22"/>
      <c r="AD274" s="22"/>
      <c r="AE274" s="22"/>
      <c r="AF274" s="22"/>
      <c r="AG274" s="277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U274" s="22"/>
      <c r="AV274" s="22"/>
      <c r="AW274" s="22"/>
      <c r="AX274" s="22"/>
      <c r="AY274" s="22"/>
      <c r="AZ274" s="25"/>
      <c r="BA274" s="25"/>
      <c r="BB274" s="25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</row>
    <row r="275" customFormat="false" ht="12.75" hidden="false" customHeight="false" outlineLevel="0" collapsed="false">
      <c r="A275" s="39"/>
      <c r="B275" s="39"/>
      <c r="C275" s="22"/>
      <c r="D275" s="39"/>
      <c r="E275" s="39"/>
      <c r="F275" s="39"/>
      <c r="G275" s="273"/>
      <c r="H275" s="273"/>
      <c r="I275" s="273"/>
      <c r="J275" s="275"/>
      <c r="K275" s="273"/>
      <c r="L275" s="275"/>
      <c r="M275" s="275"/>
      <c r="N275" s="275"/>
      <c r="O275" s="278"/>
      <c r="P275" s="22"/>
      <c r="Q275" s="22"/>
      <c r="S275" s="22"/>
      <c r="T275" s="22"/>
      <c r="U275" s="22"/>
      <c r="V275" s="22"/>
      <c r="W275" s="22"/>
      <c r="X275" s="22"/>
      <c r="Y275" s="22"/>
      <c r="Z275" s="22"/>
      <c r="AA275" s="24"/>
      <c r="AB275" s="22"/>
      <c r="AC275" s="22"/>
      <c r="AD275" s="22"/>
      <c r="AE275" s="22"/>
      <c r="AF275" s="22"/>
      <c r="AG275" s="277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U275" s="22"/>
      <c r="AV275" s="22"/>
      <c r="AW275" s="22"/>
      <c r="AX275" s="22"/>
      <c r="AY275" s="22"/>
      <c r="AZ275" s="25"/>
      <c r="BA275" s="25"/>
      <c r="BB275" s="25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</row>
    <row r="276" customFormat="false" ht="12.75" hidden="false" customHeight="false" outlineLevel="0" collapsed="false">
      <c r="A276" s="39"/>
      <c r="B276" s="39"/>
      <c r="C276" s="22"/>
      <c r="D276" s="39"/>
      <c r="E276" s="39"/>
      <c r="F276" s="39"/>
      <c r="G276" s="273"/>
      <c r="H276" s="273"/>
      <c r="I276" s="273"/>
      <c r="J276" s="275"/>
      <c r="K276" s="273"/>
      <c r="L276" s="275"/>
      <c r="M276" s="275"/>
      <c r="N276" s="275"/>
      <c r="O276" s="278"/>
      <c r="P276" s="22"/>
      <c r="Q276" s="22"/>
      <c r="S276" s="22"/>
      <c r="T276" s="22"/>
      <c r="U276" s="22"/>
      <c r="V276" s="22"/>
      <c r="W276" s="22"/>
      <c r="X276" s="22"/>
      <c r="Y276" s="22"/>
      <c r="Z276" s="22"/>
      <c r="AA276" s="24"/>
      <c r="AB276" s="22"/>
      <c r="AC276" s="22"/>
      <c r="AD276" s="22"/>
      <c r="AE276" s="22"/>
      <c r="AF276" s="22"/>
      <c r="AG276" s="277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U276" s="22"/>
      <c r="AV276" s="22"/>
      <c r="AW276" s="22"/>
      <c r="AX276" s="22"/>
      <c r="AY276" s="22"/>
      <c r="AZ276" s="25"/>
      <c r="BA276" s="25"/>
      <c r="BB276" s="25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</row>
    <row r="277" customFormat="false" ht="12.75" hidden="false" customHeight="false" outlineLevel="0" collapsed="false">
      <c r="A277" s="39"/>
      <c r="B277" s="39"/>
      <c r="C277" s="22"/>
      <c r="D277" s="39"/>
      <c r="E277" s="39"/>
      <c r="F277" s="39"/>
      <c r="G277" s="273"/>
      <c r="H277" s="273"/>
      <c r="I277" s="273"/>
      <c r="J277" s="275"/>
      <c r="K277" s="273"/>
      <c r="L277" s="275"/>
      <c r="M277" s="275"/>
      <c r="N277" s="275"/>
      <c r="O277" s="278"/>
      <c r="P277" s="22"/>
      <c r="Q277" s="22"/>
      <c r="S277" s="22"/>
      <c r="T277" s="22"/>
      <c r="U277" s="22"/>
      <c r="V277" s="22"/>
      <c r="W277" s="22"/>
      <c r="X277" s="22"/>
      <c r="Y277" s="22"/>
      <c r="Z277" s="22"/>
      <c r="AA277" s="24"/>
      <c r="AB277" s="22"/>
      <c r="AC277" s="22"/>
      <c r="AD277" s="22"/>
      <c r="AE277" s="22"/>
      <c r="AF277" s="22"/>
      <c r="AG277" s="277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U277" s="22"/>
      <c r="AV277" s="22"/>
      <c r="AW277" s="22"/>
      <c r="AX277" s="22"/>
      <c r="AY277" s="22"/>
      <c r="AZ277" s="25"/>
      <c r="BA277" s="25"/>
      <c r="BB277" s="25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</row>
    <row r="278" customFormat="false" ht="12.75" hidden="false" customHeight="false" outlineLevel="0" collapsed="false">
      <c r="A278" s="39"/>
      <c r="B278" s="39"/>
      <c r="C278" s="22"/>
      <c r="D278" s="39"/>
      <c r="E278" s="39"/>
      <c r="F278" s="39"/>
      <c r="G278" s="273"/>
      <c r="H278" s="273"/>
      <c r="I278" s="273"/>
      <c r="J278" s="275"/>
      <c r="K278" s="273"/>
      <c r="L278" s="275"/>
      <c r="M278" s="275"/>
      <c r="N278" s="275"/>
      <c r="O278" s="278"/>
      <c r="P278" s="22"/>
      <c r="Q278" s="22"/>
      <c r="S278" s="22"/>
      <c r="T278" s="22"/>
      <c r="U278" s="22"/>
      <c r="V278" s="22"/>
      <c r="W278" s="22"/>
      <c r="X278" s="22"/>
      <c r="Y278" s="22"/>
      <c r="Z278" s="22"/>
      <c r="AA278" s="24"/>
      <c r="AB278" s="22"/>
      <c r="AC278" s="22"/>
      <c r="AD278" s="22"/>
      <c r="AE278" s="22"/>
      <c r="AF278" s="22"/>
      <c r="AG278" s="277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U278" s="22"/>
      <c r="AV278" s="22"/>
      <c r="AW278" s="22"/>
      <c r="AX278" s="22"/>
      <c r="AY278" s="22"/>
      <c r="AZ278" s="25"/>
      <c r="BA278" s="25"/>
      <c r="BB278" s="25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</row>
    <row r="279" customFormat="false" ht="12.75" hidden="false" customHeight="false" outlineLevel="0" collapsed="false">
      <c r="A279" s="39"/>
      <c r="B279" s="39"/>
      <c r="C279" s="22"/>
      <c r="D279" s="39"/>
      <c r="E279" s="39"/>
      <c r="F279" s="39"/>
      <c r="G279" s="273"/>
      <c r="H279" s="273"/>
      <c r="I279" s="273"/>
      <c r="J279" s="275"/>
      <c r="K279" s="273"/>
      <c r="L279" s="275"/>
      <c r="M279" s="275"/>
      <c r="N279" s="275"/>
      <c r="O279" s="278"/>
      <c r="P279" s="22"/>
      <c r="Q279" s="22"/>
      <c r="S279" s="22"/>
      <c r="T279" s="22"/>
      <c r="U279" s="22"/>
      <c r="V279" s="22"/>
      <c r="W279" s="22"/>
      <c r="X279" s="22"/>
      <c r="Y279" s="22"/>
      <c r="Z279" s="22"/>
      <c r="AA279" s="24"/>
      <c r="AB279" s="22"/>
      <c r="AC279" s="22"/>
      <c r="AD279" s="22"/>
      <c r="AE279" s="22"/>
      <c r="AF279" s="22"/>
      <c r="AG279" s="277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U279" s="22"/>
      <c r="AV279" s="22"/>
      <c r="AW279" s="22"/>
      <c r="AX279" s="22"/>
      <c r="AY279" s="22"/>
      <c r="AZ279" s="25"/>
      <c r="BA279" s="25"/>
      <c r="BB279" s="25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</row>
    <row r="280" customFormat="false" ht="12.75" hidden="false" customHeight="false" outlineLevel="0" collapsed="false">
      <c r="A280" s="39"/>
      <c r="B280" s="39"/>
      <c r="C280" s="22"/>
      <c r="D280" s="39"/>
      <c r="E280" s="39"/>
      <c r="F280" s="39"/>
      <c r="G280" s="273"/>
      <c r="H280" s="273"/>
      <c r="I280" s="273"/>
      <c r="J280" s="275"/>
      <c r="K280" s="273"/>
      <c r="L280" s="275"/>
      <c r="M280" s="275"/>
      <c r="N280" s="275"/>
      <c r="O280" s="278"/>
      <c r="P280" s="22"/>
      <c r="Q280" s="22"/>
      <c r="S280" s="22"/>
      <c r="T280" s="22"/>
      <c r="U280" s="22"/>
      <c r="V280" s="22"/>
      <c r="W280" s="22"/>
      <c r="X280" s="22"/>
      <c r="Y280" s="22"/>
      <c r="Z280" s="22"/>
      <c r="AA280" s="24"/>
      <c r="AB280" s="22"/>
      <c r="AC280" s="22"/>
      <c r="AD280" s="22"/>
      <c r="AE280" s="22"/>
      <c r="AF280" s="22"/>
      <c r="AG280" s="277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U280" s="22"/>
      <c r="AV280" s="22"/>
      <c r="AW280" s="22"/>
      <c r="AX280" s="22"/>
      <c r="AY280" s="22"/>
      <c r="AZ280" s="25"/>
      <c r="BA280" s="25"/>
      <c r="BB280" s="25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</row>
    <row r="281" customFormat="false" ht="12.75" hidden="false" customHeight="false" outlineLevel="0" collapsed="false">
      <c r="A281" s="39"/>
      <c r="B281" s="39"/>
      <c r="C281" s="22"/>
      <c r="D281" s="39"/>
      <c r="E281" s="39"/>
      <c r="F281" s="39"/>
      <c r="G281" s="273"/>
      <c r="H281" s="273"/>
      <c r="I281" s="273"/>
      <c r="J281" s="275"/>
      <c r="K281" s="273"/>
      <c r="L281" s="275"/>
      <c r="M281" s="275"/>
      <c r="N281" s="275"/>
      <c r="O281" s="278"/>
      <c r="P281" s="22"/>
      <c r="Q281" s="22"/>
      <c r="S281" s="22"/>
      <c r="T281" s="22"/>
      <c r="U281" s="22"/>
      <c r="V281" s="22"/>
      <c r="W281" s="22"/>
      <c r="X281" s="22"/>
      <c r="Y281" s="22"/>
      <c r="Z281" s="22"/>
      <c r="AA281" s="24"/>
      <c r="AB281" s="22"/>
      <c r="AC281" s="22"/>
      <c r="AD281" s="22"/>
      <c r="AE281" s="22"/>
      <c r="AF281" s="22"/>
      <c r="AG281" s="277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U281" s="22"/>
      <c r="AV281" s="22"/>
      <c r="AW281" s="22"/>
      <c r="AX281" s="22"/>
      <c r="AY281" s="22"/>
      <c r="AZ281" s="25"/>
      <c r="BA281" s="25"/>
      <c r="BB281" s="25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</row>
    <row r="282" customFormat="false" ht="12.75" hidden="false" customHeight="false" outlineLevel="0" collapsed="false">
      <c r="A282" s="39"/>
      <c r="B282" s="39"/>
      <c r="C282" s="22"/>
      <c r="D282" s="39"/>
      <c r="E282" s="39"/>
      <c r="F282" s="39"/>
      <c r="G282" s="273"/>
      <c r="H282" s="273"/>
      <c r="I282" s="273"/>
      <c r="J282" s="275"/>
      <c r="K282" s="273"/>
      <c r="L282" s="275"/>
      <c r="M282" s="275"/>
      <c r="N282" s="275"/>
      <c r="O282" s="278"/>
      <c r="P282" s="22"/>
      <c r="Q282" s="22"/>
      <c r="S282" s="22"/>
      <c r="T282" s="22"/>
      <c r="U282" s="22"/>
      <c r="V282" s="22"/>
      <c r="W282" s="22"/>
      <c r="X282" s="22"/>
      <c r="Y282" s="22"/>
      <c r="Z282" s="22"/>
      <c r="AA282" s="24"/>
      <c r="AB282" s="22"/>
      <c r="AC282" s="22"/>
      <c r="AD282" s="22"/>
      <c r="AE282" s="22"/>
      <c r="AF282" s="22"/>
      <c r="AG282" s="277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U282" s="22"/>
      <c r="AV282" s="22"/>
      <c r="AW282" s="22"/>
      <c r="AX282" s="22"/>
      <c r="AY282" s="22"/>
      <c r="AZ282" s="25"/>
      <c r="BA282" s="25"/>
      <c r="BB282" s="25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</row>
    <row r="283" customFormat="false" ht="12.75" hidden="false" customHeight="false" outlineLevel="0" collapsed="false">
      <c r="A283" s="39"/>
      <c r="B283" s="39"/>
      <c r="C283" s="22"/>
      <c r="D283" s="39"/>
      <c r="E283" s="39"/>
      <c r="F283" s="39"/>
      <c r="G283" s="273"/>
      <c r="H283" s="273"/>
      <c r="I283" s="273"/>
      <c r="J283" s="275"/>
      <c r="K283" s="273"/>
      <c r="L283" s="275"/>
      <c r="M283" s="275"/>
      <c r="N283" s="275"/>
      <c r="O283" s="278"/>
      <c r="P283" s="22"/>
      <c r="Q283" s="22"/>
      <c r="S283" s="22"/>
      <c r="T283" s="22"/>
      <c r="U283" s="22"/>
      <c r="V283" s="22"/>
      <c r="W283" s="22"/>
      <c r="X283" s="22"/>
      <c r="Y283" s="22"/>
      <c r="Z283" s="22"/>
      <c r="AA283" s="24"/>
      <c r="AB283" s="22"/>
      <c r="AC283" s="22"/>
      <c r="AD283" s="22"/>
      <c r="AE283" s="22"/>
      <c r="AF283" s="22"/>
      <c r="AG283" s="277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U283" s="22"/>
      <c r="AV283" s="22"/>
      <c r="AW283" s="22"/>
      <c r="AX283" s="22"/>
      <c r="AY283" s="22"/>
      <c r="AZ283" s="25"/>
      <c r="BA283" s="25"/>
      <c r="BB283" s="25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</row>
    <row r="284" customFormat="false" ht="12.75" hidden="false" customHeight="false" outlineLevel="0" collapsed="false">
      <c r="A284" s="39"/>
      <c r="B284" s="39"/>
      <c r="C284" s="22"/>
      <c r="D284" s="39"/>
      <c r="E284" s="39"/>
      <c r="F284" s="39"/>
      <c r="G284" s="273"/>
      <c r="H284" s="273"/>
      <c r="I284" s="273"/>
      <c r="J284" s="275"/>
      <c r="K284" s="273"/>
      <c r="L284" s="275"/>
      <c r="M284" s="275"/>
      <c r="N284" s="275"/>
      <c r="O284" s="278"/>
      <c r="P284" s="22"/>
      <c r="Q284" s="22"/>
      <c r="S284" s="22"/>
      <c r="T284" s="22"/>
      <c r="U284" s="22"/>
      <c r="V284" s="22"/>
      <c r="W284" s="22"/>
      <c r="X284" s="22"/>
      <c r="Y284" s="22"/>
      <c r="Z284" s="22"/>
      <c r="AA284" s="24"/>
      <c r="AB284" s="22"/>
      <c r="AC284" s="22"/>
      <c r="AD284" s="22"/>
      <c r="AE284" s="22"/>
      <c r="AF284" s="22"/>
      <c r="AG284" s="277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U284" s="22"/>
      <c r="AV284" s="22"/>
      <c r="AW284" s="22"/>
      <c r="AX284" s="22"/>
      <c r="AY284" s="22"/>
      <c r="AZ284" s="25"/>
      <c r="BA284" s="25"/>
      <c r="BB284" s="25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</row>
    <row r="285" customFormat="false" ht="12.75" hidden="false" customHeight="false" outlineLevel="0" collapsed="false">
      <c r="A285" s="39"/>
      <c r="B285" s="39"/>
      <c r="C285" s="22"/>
      <c r="D285" s="39"/>
      <c r="E285" s="39"/>
      <c r="F285" s="39"/>
      <c r="G285" s="273"/>
      <c r="H285" s="273"/>
      <c r="I285" s="273"/>
      <c r="J285" s="275"/>
      <c r="K285" s="273"/>
      <c r="L285" s="275"/>
      <c r="M285" s="275"/>
      <c r="N285" s="275"/>
      <c r="O285" s="278"/>
      <c r="P285" s="22"/>
      <c r="Q285" s="22"/>
      <c r="S285" s="22"/>
      <c r="T285" s="22"/>
      <c r="U285" s="22"/>
      <c r="V285" s="22"/>
      <c r="W285" s="22"/>
      <c r="X285" s="22"/>
      <c r="Y285" s="22"/>
      <c r="Z285" s="22"/>
      <c r="AA285" s="24"/>
      <c r="AB285" s="22"/>
      <c r="AC285" s="22"/>
      <c r="AD285" s="22"/>
      <c r="AE285" s="22"/>
      <c r="AF285" s="22"/>
      <c r="AG285" s="277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U285" s="22"/>
      <c r="AV285" s="22"/>
      <c r="AW285" s="22"/>
      <c r="AX285" s="22"/>
      <c r="AY285" s="22"/>
      <c r="AZ285" s="25"/>
      <c r="BA285" s="25"/>
      <c r="BB285" s="25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</row>
    <row r="286" customFormat="false" ht="12.75" hidden="false" customHeight="false" outlineLevel="0" collapsed="false">
      <c r="A286" s="39"/>
      <c r="B286" s="39"/>
      <c r="C286" s="22"/>
      <c r="D286" s="39"/>
      <c r="E286" s="39"/>
      <c r="F286" s="39"/>
      <c r="G286" s="273"/>
      <c r="H286" s="273"/>
      <c r="I286" s="273"/>
      <c r="J286" s="275"/>
      <c r="K286" s="273"/>
      <c r="L286" s="275"/>
      <c r="M286" s="275"/>
      <c r="N286" s="275"/>
      <c r="O286" s="278"/>
      <c r="P286" s="22"/>
      <c r="Q286" s="22"/>
      <c r="S286" s="22"/>
      <c r="T286" s="22"/>
      <c r="U286" s="22"/>
      <c r="V286" s="22"/>
      <c r="W286" s="22"/>
      <c r="X286" s="22"/>
      <c r="Y286" s="22"/>
      <c r="Z286" s="22"/>
      <c r="AA286" s="24"/>
      <c r="AB286" s="22"/>
      <c r="AC286" s="22"/>
      <c r="AD286" s="22"/>
      <c r="AE286" s="22"/>
      <c r="AF286" s="22"/>
      <c r="AG286" s="277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U286" s="22"/>
      <c r="AV286" s="22"/>
      <c r="AW286" s="22"/>
      <c r="AX286" s="22"/>
      <c r="AY286" s="22"/>
      <c r="AZ286" s="25"/>
      <c r="BA286" s="25"/>
      <c r="BB286" s="25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</row>
    <row r="287" customFormat="false" ht="12.75" hidden="false" customHeight="false" outlineLevel="0" collapsed="false">
      <c r="A287" s="39"/>
      <c r="B287" s="39"/>
      <c r="C287" s="22"/>
      <c r="D287" s="39"/>
      <c r="E287" s="39"/>
      <c r="F287" s="39"/>
      <c r="G287" s="273"/>
      <c r="H287" s="273"/>
      <c r="I287" s="273"/>
      <c r="J287" s="275"/>
      <c r="K287" s="273"/>
      <c r="L287" s="275"/>
      <c r="M287" s="275"/>
      <c r="N287" s="275"/>
      <c r="O287" s="278"/>
      <c r="P287" s="22"/>
      <c r="Q287" s="22"/>
      <c r="S287" s="22"/>
      <c r="T287" s="22"/>
      <c r="U287" s="22"/>
      <c r="V287" s="22"/>
      <c r="W287" s="22"/>
      <c r="X287" s="22"/>
      <c r="Y287" s="22"/>
      <c r="Z287" s="22"/>
      <c r="AA287" s="24"/>
      <c r="AB287" s="22"/>
      <c r="AC287" s="22"/>
      <c r="AD287" s="22"/>
      <c r="AE287" s="22"/>
      <c r="AF287" s="22"/>
      <c r="AG287" s="277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U287" s="22"/>
      <c r="AV287" s="22"/>
      <c r="AW287" s="22"/>
      <c r="AX287" s="22"/>
      <c r="AY287" s="22"/>
      <c r="AZ287" s="25"/>
      <c r="BA287" s="25"/>
      <c r="BB287" s="25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</row>
    <row r="288" customFormat="false" ht="12.75" hidden="false" customHeight="false" outlineLevel="0" collapsed="false">
      <c r="A288" s="39"/>
      <c r="B288" s="39"/>
      <c r="C288" s="22"/>
      <c r="D288" s="39"/>
      <c r="E288" s="39"/>
      <c r="F288" s="39"/>
      <c r="G288" s="273"/>
      <c r="H288" s="273"/>
      <c r="I288" s="273"/>
      <c r="J288" s="275"/>
      <c r="K288" s="273"/>
      <c r="L288" s="275"/>
      <c r="M288" s="275"/>
      <c r="N288" s="275"/>
      <c r="O288" s="278"/>
      <c r="P288" s="22"/>
      <c r="Q288" s="22"/>
      <c r="S288" s="22"/>
      <c r="T288" s="22"/>
      <c r="U288" s="22"/>
      <c r="V288" s="22"/>
      <c r="W288" s="22"/>
      <c r="X288" s="22"/>
      <c r="Y288" s="22"/>
      <c r="Z288" s="22"/>
      <c r="AA288" s="24"/>
      <c r="AB288" s="22"/>
      <c r="AC288" s="22"/>
      <c r="AD288" s="22"/>
      <c r="AE288" s="22"/>
      <c r="AF288" s="22"/>
      <c r="AG288" s="277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U288" s="22"/>
      <c r="AV288" s="22"/>
      <c r="AW288" s="22"/>
      <c r="AX288" s="22"/>
      <c r="AY288" s="22"/>
      <c r="AZ288" s="25"/>
      <c r="BA288" s="25"/>
      <c r="BB288" s="25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</row>
    <row r="289" customFormat="false" ht="12.75" hidden="false" customHeight="false" outlineLevel="0" collapsed="false">
      <c r="A289" s="39"/>
      <c r="B289" s="39"/>
      <c r="C289" s="22"/>
      <c r="D289" s="39"/>
      <c r="E289" s="39"/>
      <c r="F289" s="39"/>
      <c r="G289" s="273"/>
      <c r="H289" s="273"/>
      <c r="I289" s="273"/>
      <c r="J289" s="275"/>
      <c r="K289" s="273"/>
      <c r="L289" s="275"/>
      <c r="M289" s="275"/>
      <c r="N289" s="275"/>
      <c r="O289" s="278"/>
      <c r="P289" s="22"/>
      <c r="Q289" s="22"/>
      <c r="S289" s="22"/>
      <c r="T289" s="22"/>
      <c r="U289" s="22"/>
      <c r="V289" s="22"/>
      <c r="W289" s="22"/>
      <c r="X289" s="22"/>
      <c r="Y289" s="22"/>
      <c r="Z289" s="22"/>
      <c r="AA289" s="24"/>
      <c r="AB289" s="22"/>
      <c r="AC289" s="22"/>
      <c r="AD289" s="22"/>
      <c r="AE289" s="22"/>
      <c r="AF289" s="22"/>
      <c r="AG289" s="277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U289" s="22"/>
      <c r="AV289" s="22"/>
      <c r="AW289" s="22"/>
      <c r="AX289" s="22"/>
      <c r="AY289" s="22"/>
      <c r="AZ289" s="25"/>
      <c r="BA289" s="25"/>
      <c r="BB289" s="25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</row>
    <row r="290" customFormat="false" ht="12.75" hidden="false" customHeight="false" outlineLevel="0" collapsed="false">
      <c r="A290" s="39"/>
      <c r="B290" s="39"/>
      <c r="C290" s="22"/>
      <c r="D290" s="39"/>
      <c r="E290" s="39"/>
      <c r="F290" s="39"/>
      <c r="G290" s="273"/>
      <c r="H290" s="273"/>
      <c r="I290" s="273"/>
      <c r="J290" s="275"/>
      <c r="K290" s="273"/>
      <c r="L290" s="275"/>
      <c r="M290" s="275"/>
      <c r="N290" s="275"/>
      <c r="O290" s="278"/>
      <c r="P290" s="22"/>
      <c r="Q290" s="22"/>
      <c r="S290" s="22"/>
      <c r="T290" s="22"/>
      <c r="U290" s="22"/>
      <c r="V290" s="22"/>
      <c r="W290" s="22"/>
      <c r="X290" s="22"/>
      <c r="Y290" s="22"/>
      <c r="Z290" s="22"/>
      <c r="AA290" s="24"/>
      <c r="AB290" s="22"/>
      <c r="AC290" s="22"/>
      <c r="AD290" s="22"/>
      <c r="AE290" s="22"/>
      <c r="AF290" s="22"/>
      <c r="AG290" s="277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U290" s="22"/>
      <c r="AV290" s="22"/>
      <c r="AW290" s="22"/>
      <c r="AX290" s="22"/>
      <c r="AY290" s="22"/>
      <c r="AZ290" s="25"/>
      <c r="BA290" s="25"/>
      <c r="BB290" s="25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</row>
    <row r="291" customFormat="false" ht="12.75" hidden="false" customHeight="false" outlineLevel="0" collapsed="false">
      <c r="A291" s="39"/>
      <c r="B291" s="39"/>
      <c r="C291" s="22"/>
      <c r="D291" s="39"/>
      <c r="E291" s="39"/>
      <c r="F291" s="39"/>
      <c r="G291" s="273"/>
      <c r="H291" s="273"/>
      <c r="I291" s="273"/>
      <c r="J291" s="275"/>
      <c r="K291" s="273"/>
      <c r="L291" s="275"/>
      <c r="M291" s="275"/>
      <c r="N291" s="275"/>
      <c r="O291" s="278"/>
      <c r="P291" s="22"/>
      <c r="Q291" s="22"/>
      <c r="S291" s="22"/>
      <c r="T291" s="22"/>
      <c r="U291" s="22"/>
      <c r="V291" s="22"/>
      <c r="W291" s="22"/>
      <c r="X291" s="22"/>
      <c r="Y291" s="22"/>
      <c r="Z291" s="22"/>
      <c r="AA291" s="24"/>
      <c r="AB291" s="22"/>
      <c r="AC291" s="22"/>
      <c r="AD291" s="22"/>
      <c r="AE291" s="22"/>
      <c r="AF291" s="22"/>
      <c r="AG291" s="277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U291" s="22"/>
      <c r="AV291" s="22"/>
      <c r="AW291" s="22"/>
      <c r="AX291" s="22"/>
      <c r="AY291" s="22"/>
      <c r="AZ291" s="25"/>
      <c r="BA291" s="25"/>
      <c r="BB291" s="25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</row>
    <row r="292" customFormat="false" ht="12.75" hidden="false" customHeight="false" outlineLevel="0" collapsed="false">
      <c r="A292" s="39"/>
      <c r="B292" s="39"/>
      <c r="C292" s="22"/>
      <c r="D292" s="39"/>
      <c r="E292" s="39"/>
      <c r="F292" s="39"/>
      <c r="G292" s="273"/>
      <c r="H292" s="273"/>
      <c r="I292" s="273"/>
      <c r="J292" s="275"/>
      <c r="K292" s="273"/>
      <c r="L292" s="275"/>
      <c r="M292" s="275"/>
      <c r="N292" s="275"/>
      <c r="O292" s="278"/>
      <c r="P292" s="22"/>
      <c r="Q292" s="22"/>
      <c r="S292" s="22"/>
      <c r="T292" s="22"/>
      <c r="U292" s="22"/>
      <c r="V292" s="22"/>
      <c r="W292" s="22"/>
      <c r="X292" s="22"/>
      <c r="Y292" s="22"/>
      <c r="Z292" s="22"/>
      <c r="AA292" s="24"/>
      <c r="AB292" s="22"/>
      <c r="AC292" s="22"/>
      <c r="AD292" s="22"/>
      <c r="AE292" s="22"/>
      <c r="AF292" s="22"/>
      <c r="AG292" s="277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U292" s="22"/>
      <c r="AV292" s="22"/>
      <c r="AW292" s="22"/>
      <c r="AX292" s="22"/>
      <c r="AY292" s="22"/>
      <c r="AZ292" s="25"/>
      <c r="BA292" s="25"/>
      <c r="BB292" s="25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</row>
    <row r="293" customFormat="false" ht="12.75" hidden="false" customHeight="false" outlineLevel="0" collapsed="false">
      <c r="A293" s="39"/>
      <c r="B293" s="39"/>
      <c r="C293" s="22"/>
      <c r="D293" s="39"/>
      <c r="E293" s="39"/>
      <c r="F293" s="39"/>
      <c r="G293" s="273"/>
      <c r="H293" s="273"/>
      <c r="I293" s="273"/>
      <c r="J293" s="275"/>
      <c r="K293" s="273"/>
      <c r="L293" s="275"/>
      <c r="M293" s="275"/>
      <c r="N293" s="275"/>
      <c r="O293" s="278"/>
      <c r="P293" s="22"/>
      <c r="Q293" s="22"/>
      <c r="S293" s="22"/>
      <c r="T293" s="22"/>
      <c r="U293" s="22"/>
      <c r="V293" s="22"/>
      <c r="W293" s="22"/>
      <c r="X293" s="22"/>
      <c r="Y293" s="22"/>
      <c r="Z293" s="22"/>
      <c r="AA293" s="24"/>
      <c r="AB293" s="22"/>
      <c r="AC293" s="22"/>
      <c r="AD293" s="22"/>
      <c r="AE293" s="22"/>
      <c r="AF293" s="22"/>
      <c r="AG293" s="277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U293" s="22"/>
      <c r="AV293" s="22"/>
      <c r="AW293" s="22"/>
      <c r="AX293" s="22"/>
      <c r="AY293" s="22"/>
      <c r="AZ293" s="25"/>
      <c r="BA293" s="25"/>
      <c r="BB293" s="25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</row>
    <row r="294" customFormat="false" ht="12.75" hidden="false" customHeight="false" outlineLevel="0" collapsed="false">
      <c r="A294" s="39"/>
      <c r="B294" s="39"/>
      <c r="C294" s="22"/>
      <c r="D294" s="39"/>
      <c r="E294" s="39"/>
      <c r="F294" s="39"/>
      <c r="G294" s="273"/>
      <c r="H294" s="273"/>
      <c r="I294" s="273"/>
      <c r="J294" s="275"/>
      <c r="K294" s="273"/>
      <c r="L294" s="275"/>
      <c r="M294" s="275"/>
      <c r="N294" s="275"/>
      <c r="O294" s="278"/>
      <c r="P294" s="22"/>
      <c r="Q294" s="22"/>
      <c r="S294" s="22"/>
      <c r="T294" s="22"/>
      <c r="U294" s="22"/>
      <c r="V294" s="22"/>
      <c r="W294" s="22"/>
      <c r="X294" s="22"/>
      <c r="Y294" s="22"/>
      <c r="Z294" s="22"/>
      <c r="AA294" s="24"/>
      <c r="AB294" s="22"/>
      <c r="AC294" s="22"/>
      <c r="AD294" s="22"/>
      <c r="AE294" s="22"/>
      <c r="AF294" s="22"/>
      <c r="AG294" s="277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U294" s="22"/>
      <c r="AV294" s="22"/>
      <c r="AW294" s="22"/>
      <c r="AX294" s="22"/>
      <c r="AY294" s="22"/>
      <c r="AZ294" s="25"/>
      <c r="BA294" s="25"/>
      <c r="BB294" s="25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</row>
    <row r="295" customFormat="false" ht="12.75" hidden="false" customHeight="false" outlineLevel="0" collapsed="false">
      <c r="A295" s="39"/>
      <c r="B295" s="39"/>
      <c r="C295" s="22"/>
      <c r="D295" s="39"/>
      <c r="E295" s="39"/>
      <c r="F295" s="39"/>
      <c r="G295" s="273"/>
      <c r="H295" s="273"/>
      <c r="I295" s="273"/>
      <c r="J295" s="275"/>
      <c r="K295" s="273"/>
      <c r="L295" s="275"/>
      <c r="M295" s="275"/>
      <c r="N295" s="275"/>
      <c r="O295" s="278"/>
      <c r="P295" s="22"/>
      <c r="Q295" s="22"/>
      <c r="S295" s="22"/>
      <c r="T295" s="22"/>
      <c r="U295" s="22"/>
      <c r="V295" s="22"/>
      <c r="W295" s="22"/>
      <c r="X295" s="22"/>
      <c r="Y295" s="22"/>
      <c r="Z295" s="22"/>
      <c r="AA295" s="24"/>
      <c r="AB295" s="22"/>
      <c r="AC295" s="22"/>
      <c r="AD295" s="22"/>
      <c r="AE295" s="22"/>
      <c r="AF295" s="22"/>
      <c r="AG295" s="277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U295" s="22"/>
      <c r="AV295" s="22"/>
      <c r="AW295" s="22"/>
      <c r="AX295" s="22"/>
      <c r="AY295" s="22"/>
      <c r="AZ295" s="25"/>
      <c r="BA295" s="25"/>
      <c r="BB295" s="25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</row>
    <row r="296" customFormat="false" ht="12.75" hidden="false" customHeight="false" outlineLevel="0" collapsed="false">
      <c r="A296" s="39"/>
      <c r="B296" s="39"/>
      <c r="C296" s="22"/>
      <c r="D296" s="39"/>
      <c r="E296" s="39"/>
      <c r="F296" s="39"/>
      <c r="G296" s="273"/>
      <c r="H296" s="273"/>
      <c r="I296" s="273"/>
      <c r="J296" s="275"/>
      <c r="K296" s="273"/>
      <c r="L296" s="275"/>
      <c r="M296" s="275"/>
      <c r="N296" s="275"/>
      <c r="O296" s="278"/>
      <c r="P296" s="22"/>
      <c r="Q296" s="22"/>
      <c r="S296" s="22"/>
      <c r="T296" s="22"/>
      <c r="U296" s="22"/>
      <c r="V296" s="22"/>
      <c r="W296" s="22"/>
      <c r="X296" s="22"/>
      <c r="Y296" s="22"/>
      <c r="Z296" s="22"/>
      <c r="AA296" s="24"/>
      <c r="AB296" s="22"/>
      <c r="AC296" s="22"/>
      <c r="AD296" s="22"/>
      <c r="AE296" s="22"/>
      <c r="AF296" s="22"/>
      <c r="AG296" s="277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U296" s="22"/>
      <c r="AV296" s="22"/>
      <c r="AW296" s="22"/>
      <c r="AX296" s="22"/>
      <c r="AY296" s="22"/>
      <c r="AZ296" s="25"/>
      <c r="BA296" s="25"/>
      <c r="BB296" s="25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</row>
    <row r="297" customFormat="false" ht="12.75" hidden="false" customHeight="false" outlineLevel="0" collapsed="false">
      <c r="A297" s="39"/>
      <c r="B297" s="39"/>
      <c r="C297" s="22"/>
      <c r="D297" s="39"/>
      <c r="E297" s="39"/>
      <c r="F297" s="39"/>
      <c r="G297" s="273"/>
      <c r="H297" s="273"/>
      <c r="I297" s="273"/>
      <c r="J297" s="275"/>
      <c r="K297" s="273"/>
      <c r="L297" s="275"/>
      <c r="M297" s="275"/>
      <c r="N297" s="275"/>
      <c r="O297" s="278"/>
      <c r="P297" s="22"/>
      <c r="Q297" s="22"/>
      <c r="S297" s="22"/>
      <c r="T297" s="22"/>
      <c r="U297" s="22"/>
      <c r="V297" s="22"/>
      <c r="W297" s="22"/>
      <c r="X297" s="22"/>
      <c r="Y297" s="22"/>
      <c r="Z297" s="22"/>
      <c r="AA297" s="24"/>
      <c r="AB297" s="22"/>
      <c r="AC297" s="22"/>
      <c r="AD297" s="22"/>
      <c r="AE297" s="22"/>
      <c r="AF297" s="22"/>
      <c r="AG297" s="277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U297" s="22"/>
      <c r="AV297" s="22"/>
      <c r="AW297" s="22"/>
      <c r="AX297" s="22"/>
      <c r="AY297" s="22"/>
      <c r="AZ297" s="25"/>
      <c r="BA297" s="25"/>
      <c r="BB297" s="25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</row>
    <row r="298" customFormat="false" ht="12.75" hidden="false" customHeight="false" outlineLevel="0" collapsed="false">
      <c r="A298" s="39"/>
      <c r="B298" s="39"/>
      <c r="C298" s="22"/>
      <c r="D298" s="39"/>
      <c r="E298" s="39"/>
      <c r="F298" s="39"/>
      <c r="G298" s="273"/>
      <c r="H298" s="273"/>
      <c r="I298" s="273"/>
      <c r="J298" s="275"/>
      <c r="K298" s="273"/>
      <c r="L298" s="275"/>
      <c r="M298" s="275"/>
      <c r="N298" s="275"/>
      <c r="O298" s="278"/>
      <c r="P298" s="22"/>
      <c r="Q298" s="22"/>
      <c r="S298" s="22"/>
      <c r="T298" s="22"/>
      <c r="U298" s="22"/>
      <c r="V298" s="22"/>
      <c r="W298" s="22"/>
      <c r="X298" s="22"/>
      <c r="Y298" s="22"/>
      <c r="Z298" s="22"/>
      <c r="AA298" s="24"/>
      <c r="AB298" s="22"/>
      <c r="AC298" s="22"/>
      <c r="AD298" s="22"/>
      <c r="AE298" s="22"/>
      <c r="AF298" s="22"/>
      <c r="AG298" s="277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U298" s="22"/>
      <c r="AV298" s="22"/>
      <c r="AW298" s="22"/>
      <c r="AX298" s="22"/>
      <c r="AY298" s="22"/>
      <c r="AZ298" s="25"/>
      <c r="BA298" s="25"/>
      <c r="BB298" s="25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</row>
    <row r="299" customFormat="false" ht="12.75" hidden="false" customHeight="false" outlineLevel="0" collapsed="false">
      <c r="A299" s="39"/>
      <c r="B299" s="39"/>
      <c r="C299" s="22"/>
      <c r="D299" s="39"/>
      <c r="E299" s="39"/>
      <c r="F299" s="39"/>
      <c r="G299" s="273"/>
      <c r="H299" s="273"/>
      <c r="I299" s="273"/>
      <c r="J299" s="275"/>
      <c r="K299" s="273"/>
      <c r="L299" s="275"/>
      <c r="M299" s="275"/>
      <c r="N299" s="275"/>
      <c r="O299" s="278"/>
      <c r="P299" s="22"/>
      <c r="Q299" s="22"/>
      <c r="S299" s="22"/>
      <c r="T299" s="22"/>
      <c r="U299" s="22"/>
      <c r="V299" s="22"/>
      <c r="W299" s="22"/>
      <c r="X299" s="22"/>
      <c r="Y299" s="22"/>
      <c r="Z299" s="22"/>
      <c r="AA299" s="24"/>
      <c r="AB299" s="22"/>
      <c r="AC299" s="22"/>
      <c r="AD299" s="22"/>
      <c r="AE299" s="22"/>
      <c r="AF299" s="22"/>
      <c r="AG299" s="277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U299" s="22"/>
      <c r="AV299" s="22"/>
      <c r="AW299" s="22"/>
      <c r="AX299" s="22"/>
      <c r="AY299" s="22"/>
      <c r="AZ299" s="25"/>
      <c r="BA299" s="25"/>
      <c r="BB299" s="25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</row>
    <row r="300" customFormat="false" ht="12.75" hidden="false" customHeight="false" outlineLevel="0" collapsed="false">
      <c r="A300" s="39"/>
      <c r="B300" s="39"/>
      <c r="C300" s="22"/>
      <c r="D300" s="39"/>
      <c r="E300" s="39"/>
      <c r="F300" s="39"/>
      <c r="G300" s="273"/>
      <c r="H300" s="273"/>
      <c r="I300" s="273"/>
      <c r="J300" s="275"/>
      <c r="K300" s="273"/>
      <c r="L300" s="275"/>
      <c r="M300" s="275"/>
      <c r="N300" s="275"/>
      <c r="O300" s="278"/>
      <c r="P300" s="22"/>
      <c r="Q300" s="22"/>
      <c r="S300" s="22"/>
      <c r="T300" s="22"/>
      <c r="U300" s="22"/>
      <c r="V300" s="22"/>
      <c r="W300" s="22"/>
      <c r="X300" s="22"/>
      <c r="Y300" s="22"/>
      <c r="Z300" s="22"/>
      <c r="AA300" s="24"/>
      <c r="AB300" s="22"/>
      <c r="AC300" s="22"/>
      <c r="AD300" s="22"/>
      <c r="AE300" s="22"/>
      <c r="AF300" s="22"/>
      <c r="AG300" s="277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U300" s="22"/>
      <c r="AV300" s="22"/>
      <c r="AW300" s="22"/>
      <c r="AX300" s="22"/>
      <c r="AY300" s="22"/>
      <c r="AZ300" s="25"/>
      <c r="BA300" s="25"/>
      <c r="BB300" s="25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</row>
    <row r="301" customFormat="false" ht="12.75" hidden="false" customHeight="false" outlineLevel="0" collapsed="false">
      <c r="A301" s="39"/>
      <c r="B301" s="39"/>
      <c r="C301" s="22"/>
      <c r="D301" s="39"/>
      <c r="E301" s="39"/>
      <c r="F301" s="39"/>
      <c r="G301" s="273"/>
      <c r="H301" s="273"/>
      <c r="I301" s="273"/>
      <c r="J301" s="275"/>
      <c r="K301" s="273"/>
      <c r="L301" s="275"/>
      <c r="M301" s="275"/>
      <c r="N301" s="275"/>
      <c r="O301" s="278"/>
      <c r="P301" s="22"/>
      <c r="Q301" s="22"/>
      <c r="S301" s="22"/>
      <c r="T301" s="22"/>
      <c r="U301" s="22"/>
      <c r="V301" s="22"/>
      <c r="W301" s="22"/>
      <c r="X301" s="22"/>
      <c r="Y301" s="22"/>
      <c r="Z301" s="22"/>
      <c r="AA301" s="24"/>
      <c r="AB301" s="22"/>
      <c r="AC301" s="22"/>
      <c r="AD301" s="22"/>
      <c r="AE301" s="22"/>
      <c r="AF301" s="22"/>
      <c r="AG301" s="277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U301" s="22"/>
      <c r="AV301" s="22"/>
      <c r="AW301" s="22"/>
      <c r="AX301" s="22"/>
      <c r="AY301" s="22"/>
      <c r="AZ301" s="25"/>
      <c r="BA301" s="25"/>
      <c r="BB301" s="25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</row>
    <row r="302" customFormat="false" ht="12.75" hidden="false" customHeight="false" outlineLevel="0" collapsed="false">
      <c r="A302" s="39"/>
      <c r="B302" s="39"/>
      <c r="C302" s="22"/>
      <c r="D302" s="39"/>
      <c r="E302" s="39"/>
      <c r="F302" s="39"/>
      <c r="G302" s="273"/>
      <c r="H302" s="273"/>
      <c r="I302" s="273"/>
      <c r="J302" s="275"/>
      <c r="K302" s="273"/>
      <c r="L302" s="275"/>
      <c r="M302" s="275"/>
      <c r="N302" s="275"/>
      <c r="O302" s="278"/>
      <c r="P302" s="22"/>
      <c r="Q302" s="22"/>
      <c r="S302" s="22"/>
      <c r="T302" s="22"/>
      <c r="U302" s="22"/>
      <c r="V302" s="22"/>
      <c r="W302" s="22"/>
      <c r="X302" s="22"/>
      <c r="Y302" s="22"/>
      <c r="Z302" s="22"/>
      <c r="AA302" s="24"/>
      <c r="AB302" s="22"/>
      <c r="AC302" s="22"/>
      <c r="AD302" s="22"/>
      <c r="AE302" s="22"/>
      <c r="AF302" s="22"/>
      <c r="AG302" s="277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U302" s="22"/>
      <c r="AV302" s="22"/>
      <c r="AW302" s="22"/>
      <c r="AX302" s="22"/>
      <c r="AY302" s="22"/>
      <c r="AZ302" s="25"/>
      <c r="BA302" s="25"/>
      <c r="BB302" s="25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</row>
    <row r="303" customFormat="false" ht="12.75" hidden="false" customHeight="false" outlineLevel="0" collapsed="false">
      <c r="A303" s="39"/>
      <c r="B303" s="39"/>
      <c r="C303" s="22"/>
      <c r="D303" s="39"/>
      <c r="E303" s="39"/>
      <c r="F303" s="39"/>
      <c r="G303" s="273"/>
      <c r="H303" s="273"/>
      <c r="I303" s="273"/>
      <c r="J303" s="275"/>
      <c r="K303" s="273"/>
      <c r="L303" s="275"/>
      <c r="M303" s="275"/>
      <c r="N303" s="275"/>
      <c r="O303" s="278"/>
      <c r="P303" s="22"/>
      <c r="Q303" s="22"/>
      <c r="S303" s="22"/>
      <c r="T303" s="22"/>
      <c r="U303" s="22"/>
      <c r="V303" s="22"/>
      <c r="W303" s="22"/>
      <c r="X303" s="22"/>
      <c r="Y303" s="22"/>
      <c r="Z303" s="22"/>
      <c r="AA303" s="24"/>
      <c r="AB303" s="22"/>
      <c r="AC303" s="22"/>
      <c r="AD303" s="22"/>
      <c r="AE303" s="22"/>
      <c r="AF303" s="22"/>
      <c r="AG303" s="277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U303" s="22"/>
      <c r="AV303" s="22"/>
      <c r="AW303" s="22"/>
      <c r="AX303" s="22"/>
      <c r="AY303" s="22"/>
      <c r="AZ303" s="25"/>
      <c r="BA303" s="25"/>
      <c r="BB303" s="25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</row>
    <row r="304" customFormat="false" ht="12.75" hidden="false" customHeight="false" outlineLevel="0" collapsed="false">
      <c r="A304" s="39"/>
      <c r="B304" s="39"/>
      <c r="C304" s="22"/>
      <c r="D304" s="39"/>
      <c r="E304" s="39"/>
      <c r="F304" s="39"/>
      <c r="G304" s="273"/>
      <c r="H304" s="273"/>
      <c r="I304" s="273"/>
      <c r="J304" s="275"/>
      <c r="K304" s="273"/>
      <c r="L304" s="275"/>
      <c r="M304" s="275"/>
      <c r="N304" s="275"/>
      <c r="O304" s="278"/>
      <c r="P304" s="22"/>
      <c r="Q304" s="22"/>
      <c r="S304" s="22"/>
      <c r="T304" s="22"/>
      <c r="U304" s="22"/>
      <c r="V304" s="22"/>
      <c r="W304" s="22"/>
      <c r="X304" s="22"/>
      <c r="Y304" s="22"/>
      <c r="Z304" s="22"/>
      <c r="AA304" s="24"/>
      <c r="AB304" s="22"/>
      <c r="AC304" s="22"/>
      <c r="AD304" s="22"/>
      <c r="AE304" s="22"/>
      <c r="AF304" s="22"/>
      <c r="AG304" s="277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U304" s="22"/>
      <c r="AV304" s="22"/>
      <c r="AW304" s="22"/>
      <c r="AX304" s="22"/>
      <c r="AY304" s="22"/>
      <c r="AZ304" s="25"/>
      <c r="BA304" s="25"/>
      <c r="BB304" s="25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</row>
    <row r="305" customFormat="false" ht="12.75" hidden="false" customHeight="false" outlineLevel="0" collapsed="false">
      <c r="A305" s="39"/>
      <c r="B305" s="39"/>
      <c r="C305" s="22"/>
      <c r="D305" s="39"/>
      <c r="E305" s="39"/>
      <c r="F305" s="39"/>
      <c r="G305" s="273"/>
      <c r="H305" s="273"/>
      <c r="I305" s="273"/>
      <c r="J305" s="275"/>
      <c r="K305" s="273"/>
      <c r="L305" s="275"/>
      <c r="M305" s="275"/>
      <c r="N305" s="275"/>
      <c r="O305" s="278"/>
      <c r="P305" s="22"/>
      <c r="Q305" s="22"/>
      <c r="S305" s="22"/>
      <c r="T305" s="22"/>
      <c r="U305" s="22"/>
      <c r="V305" s="22"/>
      <c r="W305" s="22"/>
      <c r="X305" s="22"/>
      <c r="Y305" s="22"/>
      <c r="Z305" s="22"/>
      <c r="AA305" s="24"/>
      <c r="AB305" s="22"/>
      <c r="AC305" s="22"/>
      <c r="AD305" s="22"/>
      <c r="AE305" s="22"/>
      <c r="AF305" s="22"/>
      <c r="AG305" s="277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U305" s="22"/>
      <c r="AV305" s="22"/>
      <c r="AW305" s="22"/>
      <c r="AX305" s="22"/>
      <c r="AY305" s="22"/>
      <c r="AZ305" s="25"/>
      <c r="BA305" s="25"/>
      <c r="BB305" s="25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</row>
    <row r="306" customFormat="false" ht="12.75" hidden="false" customHeight="false" outlineLevel="0" collapsed="false">
      <c r="A306" s="39"/>
      <c r="B306" s="39"/>
      <c r="C306" s="22"/>
      <c r="D306" s="39"/>
      <c r="E306" s="39"/>
      <c r="F306" s="39"/>
      <c r="G306" s="273"/>
      <c r="H306" s="273"/>
      <c r="I306" s="273"/>
      <c r="J306" s="275"/>
      <c r="K306" s="273"/>
      <c r="L306" s="275"/>
      <c r="M306" s="275"/>
      <c r="N306" s="275"/>
      <c r="O306" s="278"/>
      <c r="P306" s="22"/>
      <c r="Q306" s="22"/>
      <c r="S306" s="22"/>
      <c r="T306" s="22"/>
      <c r="U306" s="22"/>
      <c r="V306" s="22"/>
      <c r="W306" s="22"/>
      <c r="X306" s="22"/>
      <c r="Y306" s="22"/>
      <c r="Z306" s="22"/>
      <c r="AA306" s="24"/>
      <c r="AB306" s="22"/>
      <c r="AC306" s="22"/>
      <c r="AD306" s="22"/>
      <c r="AE306" s="22"/>
      <c r="AF306" s="22"/>
      <c r="AG306" s="277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U306" s="22"/>
      <c r="AV306" s="22"/>
      <c r="AW306" s="22"/>
      <c r="AX306" s="22"/>
      <c r="AY306" s="22"/>
      <c r="AZ306" s="25"/>
      <c r="BA306" s="25"/>
      <c r="BB306" s="25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</row>
    <row r="307" customFormat="false" ht="12.75" hidden="false" customHeight="false" outlineLevel="0" collapsed="false">
      <c r="A307" s="39"/>
      <c r="B307" s="39"/>
      <c r="C307" s="22"/>
      <c r="D307" s="39"/>
      <c r="E307" s="39"/>
      <c r="F307" s="39"/>
      <c r="G307" s="273"/>
      <c r="H307" s="273"/>
      <c r="I307" s="273"/>
      <c r="J307" s="275"/>
      <c r="K307" s="273"/>
      <c r="L307" s="275"/>
      <c r="M307" s="275"/>
      <c r="N307" s="275"/>
      <c r="O307" s="278"/>
      <c r="P307" s="22"/>
      <c r="Q307" s="22"/>
      <c r="S307" s="22"/>
      <c r="T307" s="22"/>
      <c r="U307" s="22"/>
      <c r="V307" s="22"/>
      <c r="W307" s="22"/>
      <c r="X307" s="22"/>
      <c r="Y307" s="22"/>
      <c r="Z307" s="22"/>
      <c r="AA307" s="24"/>
      <c r="AB307" s="22"/>
      <c r="AC307" s="22"/>
      <c r="AD307" s="22"/>
      <c r="AE307" s="22"/>
      <c r="AF307" s="22"/>
      <c r="AG307" s="277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U307" s="22"/>
      <c r="AV307" s="22"/>
      <c r="AW307" s="22"/>
      <c r="AX307" s="22"/>
      <c r="AY307" s="22"/>
      <c r="AZ307" s="25"/>
      <c r="BA307" s="25"/>
      <c r="BB307" s="25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</row>
    <row r="308" customFormat="false" ht="12.75" hidden="false" customHeight="false" outlineLevel="0" collapsed="false">
      <c r="A308" s="39"/>
      <c r="B308" s="39"/>
      <c r="C308" s="22"/>
      <c r="D308" s="39"/>
      <c r="E308" s="39"/>
      <c r="F308" s="39"/>
      <c r="G308" s="273"/>
      <c r="H308" s="273"/>
      <c r="I308" s="273"/>
      <c r="J308" s="275"/>
      <c r="K308" s="273"/>
      <c r="L308" s="275"/>
      <c r="M308" s="275"/>
      <c r="N308" s="275"/>
      <c r="O308" s="278"/>
      <c r="P308" s="22"/>
      <c r="Q308" s="22"/>
      <c r="S308" s="22"/>
      <c r="T308" s="22"/>
      <c r="U308" s="22"/>
      <c r="V308" s="22"/>
      <c r="W308" s="22"/>
      <c r="X308" s="22"/>
      <c r="Y308" s="22"/>
      <c r="Z308" s="22"/>
      <c r="AA308" s="24"/>
      <c r="AB308" s="22"/>
      <c r="AC308" s="22"/>
      <c r="AD308" s="22"/>
      <c r="AE308" s="22"/>
      <c r="AF308" s="22"/>
      <c r="AG308" s="277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U308" s="22"/>
      <c r="AV308" s="22"/>
      <c r="AW308" s="22"/>
      <c r="AX308" s="22"/>
      <c r="AY308" s="22"/>
      <c r="AZ308" s="25"/>
      <c r="BA308" s="25"/>
      <c r="BB308" s="25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</row>
    <row r="309" customFormat="false" ht="12.75" hidden="false" customHeight="false" outlineLevel="0" collapsed="false">
      <c r="A309" s="39"/>
      <c r="B309" s="39"/>
      <c r="C309" s="22"/>
      <c r="D309" s="39"/>
      <c r="E309" s="39"/>
      <c r="F309" s="39"/>
      <c r="G309" s="273"/>
      <c r="H309" s="273"/>
      <c r="I309" s="273"/>
      <c r="J309" s="275"/>
      <c r="K309" s="273"/>
      <c r="L309" s="275"/>
      <c r="M309" s="275"/>
      <c r="N309" s="275"/>
      <c r="O309" s="278"/>
      <c r="P309" s="22"/>
      <c r="Q309" s="22"/>
      <c r="S309" s="22"/>
      <c r="T309" s="22"/>
      <c r="U309" s="22"/>
      <c r="V309" s="22"/>
      <c r="W309" s="22"/>
      <c r="X309" s="22"/>
      <c r="Y309" s="22"/>
      <c r="Z309" s="22"/>
      <c r="AA309" s="24"/>
      <c r="AB309" s="22"/>
      <c r="AC309" s="22"/>
      <c r="AD309" s="22"/>
      <c r="AE309" s="22"/>
      <c r="AF309" s="22"/>
      <c r="AG309" s="277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U309" s="22"/>
      <c r="AV309" s="22"/>
      <c r="AW309" s="22"/>
      <c r="AX309" s="22"/>
      <c r="AY309" s="22"/>
      <c r="AZ309" s="25"/>
      <c r="BA309" s="25"/>
      <c r="BB309" s="25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</row>
    <row r="310" customFormat="false" ht="12.75" hidden="false" customHeight="false" outlineLevel="0" collapsed="false">
      <c r="A310" s="39"/>
      <c r="B310" s="39"/>
      <c r="C310" s="22"/>
      <c r="D310" s="39"/>
      <c r="E310" s="39"/>
      <c r="F310" s="39"/>
      <c r="G310" s="273"/>
      <c r="H310" s="273"/>
      <c r="I310" s="273"/>
      <c r="J310" s="275"/>
      <c r="K310" s="273"/>
      <c r="L310" s="275"/>
      <c r="M310" s="275"/>
      <c r="N310" s="275"/>
      <c r="O310" s="278"/>
      <c r="P310" s="22"/>
      <c r="Q310" s="22"/>
      <c r="S310" s="22"/>
      <c r="T310" s="22"/>
      <c r="U310" s="22"/>
      <c r="V310" s="22"/>
      <c r="W310" s="22"/>
      <c r="X310" s="22"/>
      <c r="Y310" s="22"/>
      <c r="Z310" s="22"/>
      <c r="AA310" s="24"/>
      <c r="AB310" s="22"/>
      <c r="AC310" s="22"/>
      <c r="AD310" s="22"/>
      <c r="AE310" s="22"/>
      <c r="AF310" s="22"/>
      <c r="AG310" s="277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U310" s="22"/>
      <c r="AV310" s="22"/>
      <c r="AW310" s="22"/>
      <c r="AX310" s="22"/>
      <c r="AY310" s="22"/>
      <c r="AZ310" s="25"/>
      <c r="BA310" s="25"/>
      <c r="BB310" s="25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</row>
    <row r="311" customFormat="false" ht="12.75" hidden="false" customHeight="false" outlineLevel="0" collapsed="false">
      <c r="A311" s="39"/>
      <c r="B311" s="39"/>
      <c r="C311" s="22"/>
      <c r="D311" s="39"/>
      <c r="E311" s="39"/>
      <c r="F311" s="39"/>
      <c r="G311" s="273"/>
      <c r="H311" s="273"/>
      <c r="I311" s="273"/>
      <c r="J311" s="275"/>
      <c r="K311" s="273"/>
      <c r="L311" s="275"/>
      <c r="M311" s="275"/>
      <c r="N311" s="275"/>
      <c r="O311" s="278"/>
      <c r="P311" s="22"/>
      <c r="Q311" s="22"/>
      <c r="S311" s="22"/>
      <c r="T311" s="22"/>
      <c r="U311" s="22"/>
      <c r="V311" s="22"/>
      <c r="W311" s="22"/>
      <c r="X311" s="22"/>
      <c r="Y311" s="22"/>
      <c r="Z311" s="22"/>
      <c r="AA311" s="24"/>
      <c r="AB311" s="22"/>
      <c r="AC311" s="22"/>
      <c r="AD311" s="22"/>
      <c r="AE311" s="22"/>
      <c r="AF311" s="22"/>
      <c r="AG311" s="277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U311" s="22"/>
      <c r="AV311" s="22"/>
      <c r="AW311" s="22"/>
      <c r="AX311" s="22"/>
      <c r="AY311" s="22"/>
      <c r="AZ311" s="25"/>
      <c r="BA311" s="25"/>
      <c r="BB311" s="25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</row>
    <row r="312" customFormat="false" ht="12.75" hidden="false" customHeight="false" outlineLevel="0" collapsed="false">
      <c r="A312" s="39"/>
      <c r="B312" s="39"/>
      <c r="C312" s="22"/>
      <c r="D312" s="39"/>
      <c r="E312" s="39"/>
      <c r="F312" s="39"/>
      <c r="G312" s="273"/>
      <c r="H312" s="273"/>
      <c r="I312" s="273"/>
      <c r="J312" s="275"/>
      <c r="K312" s="273"/>
      <c r="L312" s="275"/>
      <c r="M312" s="275"/>
      <c r="N312" s="275"/>
      <c r="O312" s="278"/>
      <c r="P312" s="22"/>
      <c r="Q312" s="22"/>
      <c r="S312" s="22"/>
      <c r="T312" s="22"/>
      <c r="U312" s="22"/>
      <c r="V312" s="22"/>
      <c r="W312" s="22"/>
      <c r="X312" s="22"/>
      <c r="Y312" s="22"/>
      <c r="Z312" s="22"/>
      <c r="AA312" s="24"/>
      <c r="AB312" s="22"/>
      <c r="AC312" s="22"/>
      <c r="AD312" s="22"/>
      <c r="AE312" s="22"/>
      <c r="AF312" s="22"/>
      <c r="AG312" s="277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U312" s="22"/>
      <c r="AV312" s="22"/>
      <c r="AW312" s="22"/>
      <c r="AX312" s="22"/>
      <c r="AY312" s="22"/>
      <c r="AZ312" s="25"/>
      <c r="BA312" s="25"/>
      <c r="BB312" s="25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</row>
    <row r="313" customFormat="false" ht="12.75" hidden="false" customHeight="false" outlineLevel="0" collapsed="false">
      <c r="A313" s="39"/>
      <c r="B313" s="39"/>
      <c r="C313" s="22"/>
      <c r="D313" s="39"/>
      <c r="E313" s="39"/>
      <c r="F313" s="39"/>
      <c r="G313" s="273"/>
      <c r="H313" s="273"/>
      <c r="I313" s="273"/>
      <c r="J313" s="275"/>
      <c r="K313" s="273"/>
      <c r="L313" s="275"/>
      <c r="M313" s="275"/>
      <c r="N313" s="275"/>
      <c r="O313" s="278"/>
      <c r="P313" s="22"/>
      <c r="Q313" s="22"/>
      <c r="S313" s="22"/>
      <c r="T313" s="22"/>
      <c r="U313" s="22"/>
      <c r="V313" s="22"/>
      <c r="W313" s="22"/>
      <c r="X313" s="22"/>
      <c r="Y313" s="22"/>
      <c r="Z313" s="22"/>
      <c r="AA313" s="24"/>
      <c r="AB313" s="22"/>
      <c r="AC313" s="22"/>
      <c r="AD313" s="22"/>
      <c r="AE313" s="22"/>
      <c r="AF313" s="22"/>
      <c r="AG313" s="277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U313" s="22"/>
      <c r="AV313" s="22"/>
      <c r="AW313" s="22"/>
      <c r="AX313" s="22"/>
      <c r="AY313" s="22"/>
      <c r="AZ313" s="25"/>
      <c r="BA313" s="25"/>
      <c r="BB313" s="25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</row>
    <row r="314" customFormat="false" ht="12.75" hidden="false" customHeight="false" outlineLevel="0" collapsed="false">
      <c r="A314" s="39"/>
      <c r="B314" s="39"/>
      <c r="C314" s="22"/>
      <c r="D314" s="39"/>
      <c r="E314" s="39"/>
      <c r="F314" s="39"/>
      <c r="G314" s="273"/>
      <c r="H314" s="273"/>
      <c r="I314" s="273"/>
      <c r="J314" s="275"/>
      <c r="K314" s="273"/>
      <c r="L314" s="275"/>
      <c r="M314" s="275"/>
      <c r="N314" s="275"/>
      <c r="O314" s="278"/>
      <c r="P314" s="22"/>
      <c r="Q314" s="22"/>
      <c r="S314" s="22"/>
      <c r="T314" s="22"/>
      <c r="U314" s="22"/>
      <c r="V314" s="22"/>
      <c r="W314" s="22"/>
      <c r="X314" s="22"/>
      <c r="Y314" s="22"/>
      <c r="Z314" s="22"/>
      <c r="AA314" s="24"/>
      <c r="AB314" s="22"/>
      <c r="AC314" s="22"/>
      <c r="AD314" s="22"/>
      <c r="AE314" s="22"/>
      <c r="AF314" s="22"/>
      <c r="AG314" s="277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U314" s="22"/>
      <c r="AV314" s="22"/>
      <c r="AW314" s="22"/>
      <c r="AX314" s="22"/>
      <c r="AY314" s="22"/>
      <c r="AZ314" s="25"/>
      <c r="BA314" s="25"/>
      <c r="BB314" s="25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</row>
    <row r="315" customFormat="false" ht="12.75" hidden="false" customHeight="false" outlineLevel="0" collapsed="false">
      <c r="A315" s="39"/>
      <c r="B315" s="39"/>
      <c r="C315" s="22"/>
      <c r="D315" s="39"/>
      <c r="E315" s="39"/>
      <c r="F315" s="39"/>
      <c r="G315" s="273"/>
      <c r="H315" s="273"/>
      <c r="I315" s="273"/>
      <c r="J315" s="275"/>
      <c r="K315" s="273"/>
      <c r="L315" s="275"/>
      <c r="M315" s="275"/>
      <c r="N315" s="275"/>
      <c r="O315" s="278"/>
      <c r="P315" s="22"/>
      <c r="Q315" s="22"/>
      <c r="S315" s="22"/>
      <c r="T315" s="22"/>
      <c r="U315" s="22"/>
      <c r="V315" s="22"/>
      <c r="W315" s="22"/>
      <c r="X315" s="22"/>
      <c r="Y315" s="22"/>
      <c r="Z315" s="22"/>
      <c r="AA315" s="24"/>
      <c r="AB315" s="22"/>
      <c r="AC315" s="22"/>
      <c r="AD315" s="22"/>
      <c r="AE315" s="22"/>
      <c r="AF315" s="22"/>
      <c r="AG315" s="277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U315" s="22"/>
      <c r="AV315" s="22"/>
      <c r="AW315" s="22"/>
      <c r="AX315" s="22"/>
      <c r="AY315" s="22"/>
      <c r="AZ315" s="25"/>
      <c r="BA315" s="25"/>
      <c r="BB315" s="25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</row>
    <row r="316" customFormat="false" ht="12.75" hidden="false" customHeight="false" outlineLevel="0" collapsed="false">
      <c r="A316" s="39"/>
      <c r="B316" s="39"/>
      <c r="C316" s="22"/>
      <c r="D316" s="39"/>
      <c r="E316" s="39"/>
      <c r="F316" s="39"/>
      <c r="G316" s="273"/>
      <c r="H316" s="273"/>
      <c r="I316" s="273"/>
      <c r="J316" s="275"/>
      <c r="K316" s="273"/>
      <c r="L316" s="275"/>
      <c r="M316" s="275"/>
      <c r="N316" s="275"/>
      <c r="O316" s="278"/>
      <c r="P316" s="22"/>
      <c r="Q316" s="22"/>
      <c r="S316" s="22"/>
      <c r="T316" s="22"/>
      <c r="U316" s="22"/>
      <c r="V316" s="22"/>
      <c r="W316" s="22"/>
      <c r="X316" s="22"/>
      <c r="Y316" s="22"/>
      <c r="Z316" s="22"/>
      <c r="AA316" s="24"/>
      <c r="AB316" s="22"/>
      <c r="AC316" s="22"/>
      <c r="AD316" s="22"/>
      <c r="AE316" s="22"/>
      <c r="AF316" s="22"/>
      <c r="AG316" s="277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U316" s="22"/>
      <c r="AV316" s="22"/>
      <c r="AW316" s="22"/>
      <c r="AX316" s="22"/>
      <c r="AY316" s="22"/>
      <c r="AZ316" s="25"/>
      <c r="BA316" s="25"/>
      <c r="BB316" s="25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</row>
    <row r="317" customFormat="false" ht="12.75" hidden="false" customHeight="false" outlineLevel="0" collapsed="false">
      <c r="A317" s="39"/>
      <c r="B317" s="39"/>
      <c r="C317" s="22"/>
      <c r="D317" s="39"/>
      <c r="E317" s="39"/>
      <c r="F317" s="39"/>
      <c r="G317" s="273"/>
      <c r="H317" s="273"/>
      <c r="I317" s="273"/>
      <c r="J317" s="275"/>
      <c r="K317" s="273"/>
      <c r="L317" s="275"/>
      <c r="M317" s="275"/>
      <c r="N317" s="275"/>
      <c r="O317" s="278"/>
      <c r="P317" s="22"/>
      <c r="Q317" s="22"/>
      <c r="S317" s="22"/>
      <c r="T317" s="22"/>
      <c r="U317" s="22"/>
      <c r="V317" s="22"/>
      <c r="W317" s="22"/>
      <c r="X317" s="22"/>
      <c r="Y317" s="22"/>
      <c r="Z317" s="22"/>
      <c r="AA317" s="24"/>
      <c r="AB317" s="22"/>
      <c r="AC317" s="22"/>
      <c r="AD317" s="22"/>
      <c r="AE317" s="22"/>
      <c r="AF317" s="22"/>
      <c r="AG317" s="277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U317" s="22"/>
      <c r="AV317" s="22"/>
      <c r="AW317" s="22"/>
      <c r="AX317" s="22"/>
      <c r="AY317" s="22"/>
      <c r="AZ317" s="25"/>
      <c r="BA317" s="25"/>
      <c r="BB317" s="25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</row>
    <row r="318" customFormat="false" ht="12.75" hidden="false" customHeight="false" outlineLevel="0" collapsed="false">
      <c r="A318" s="39"/>
      <c r="B318" s="39"/>
      <c r="C318" s="22"/>
      <c r="D318" s="39"/>
      <c r="E318" s="39"/>
      <c r="F318" s="39"/>
      <c r="G318" s="273"/>
      <c r="H318" s="273"/>
      <c r="I318" s="273"/>
      <c r="J318" s="275"/>
      <c r="K318" s="273"/>
      <c r="L318" s="275"/>
      <c r="M318" s="275"/>
      <c r="N318" s="275"/>
      <c r="O318" s="278"/>
      <c r="P318" s="22"/>
      <c r="Q318" s="22"/>
      <c r="S318" s="22"/>
      <c r="T318" s="22"/>
      <c r="U318" s="22"/>
      <c r="V318" s="22"/>
      <c r="W318" s="22"/>
      <c r="X318" s="22"/>
      <c r="Y318" s="22"/>
      <c r="Z318" s="22"/>
      <c r="AA318" s="24"/>
      <c r="AB318" s="22"/>
      <c r="AC318" s="22"/>
      <c r="AD318" s="22"/>
      <c r="AE318" s="22"/>
      <c r="AF318" s="22"/>
      <c r="AG318" s="277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U318" s="22"/>
      <c r="AV318" s="22"/>
      <c r="AW318" s="22"/>
      <c r="AX318" s="22"/>
      <c r="AY318" s="22"/>
      <c r="AZ318" s="25"/>
      <c r="BA318" s="25"/>
      <c r="BB318" s="25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</row>
    <row r="319" customFormat="false" ht="12.75" hidden="false" customHeight="false" outlineLevel="0" collapsed="false">
      <c r="A319" s="39"/>
      <c r="B319" s="39"/>
      <c r="C319" s="22"/>
      <c r="D319" s="39"/>
      <c r="E319" s="39"/>
      <c r="F319" s="39"/>
      <c r="G319" s="273"/>
      <c r="H319" s="273"/>
      <c r="I319" s="273"/>
      <c r="J319" s="275"/>
      <c r="K319" s="273"/>
      <c r="L319" s="275"/>
      <c r="M319" s="275"/>
      <c r="N319" s="275"/>
      <c r="O319" s="278"/>
      <c r="P319" s="22"/>
      <c r="Q319" s="22"/>
      <c r="S319" s="22"/>
      <c r="T319" s="22"/>
      <c r="U319" s="22"/>
      <c r="V319" s="22"/>
      <c r="W319" s="22"/>
      <c r="X319" s="22"/>
      <c r="Y319" s="22"/>
      <c r="Z319" s="22"/>
      <c r="AA319" s="24"/>
      <c r="AB319" s="22"/>
      <c r="AC319" s="22"/>
      <c r="AD319" s="22"/>
      <c r="AE319" s="22"/>
      <c r="AF319" s="22"/>
      <c r="AG319" s="277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U319" s="22"/>
      <c r="AV319" s="22"/>
      <c r="AW319" s="22"/>
      <c r="AX319" s="22"/>
      <c r="AY319" s="22"/>
      <c r="AZ319" s="25"/>
      <c r="BA319" s="25"/>
      <c r="BB319" s="25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</row>
    <row r="320" customFormat="false" ht="12.75" hidden="false" customHeight="false" outlineLevel="0" collapsed="false">
      <c r="A320" s="39"/>
      <c r="B320" s="39"/>
      <c r="C320" s="22"/>
      <c r="D320" s="39"/>
      <c r="E320" s="39"/>
      <c r="F320" s="39"/>
      <c r="G320" s="273"/>
      <c r="H320" s="273"/>
      <c r="I320" s="273"/>
      <c r="J320" s="275"/>
      <c r="K320" s="273"/>
      <c r="L320" s="275"/>
      <c r="M320" s="275"/>
      <c r="N320" s="275"/>
      <c r="O320" s="278"/>
      <c r="P320" s="22"/>
      <c r="Q320" s="22"/>
      <c r="S320" s="22"/>
      <c r="T320" s="22"/>
      <c r="U320" s="22"/>
      <c r="V320" s="22"/>
      <c r="W320" s="22"/>
      <c r="X320" s="22"/>
      <c r="Y320" s="22"/>
      <c r="Z320" s="22"/>
      <c r="AA320" s="24"/>
      <c r="AB320" s="22"/>
      <c r="AC320" s="22"/>
      <c r="AD320" s="22"/>
      <c r="AE320" s="22"/>
      <c r="AF320" s="22"/>
      <c r="AG320" s="277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U320" s="22"/>
      <c r="AV320" s="22"/>
      <c r="AW320" s="22"/>
      <c r="AX320" s="22"/>
      <c r="AY320" s="22"/>
      <c r="AZ320" s="25"/>
      <c r="BA320" s="25"/>
      <c r="BB320" s="25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</row>
    <row r="321" customFormat="false" ht="12.75" hidden="false" customHeight="false" outlineLevel="0" collapsed="false">
      <c r="A321" s="39"/>
      <c r="B321" s="39"/>
      <c r="C321" s="22"/>
      <c r="D321" s="39"/>
      <c r="E321" s="39"/>
      <c r="F321" s="39"/>
      <c r="G321" s="273"/>
      <c r="H321" s="273"/>
      <c r="I321" s="273"/>
      <c r="J321" s="275"/>
      <c r="K321" s="273"/>
      <c r="L321" s="275"/>
      <c r="M321" s="275"/>
      <c r="N321" s="275"/>
      <c r="O321" s="278"/>
      <c r="P321" s="22"/>
      <c r="Q321" s="22"/>
      <c r="S321" s="22"/>
      <c r="T321" s="22"/>
      <c r="U321" s="22"/>
      <c r="V321" s="22"/>
      <c r="W321" s="22"/>
      <c r="X321" s="22"/>
      <c r="Y321" s="22"/>
      <c r="Z321" s="22"/>
      <c r="AA321" s="24"/>
      <c r="AB321" s="22"/>
      <c r="AC321" s="22"/>
      <c r="AD321" s="22"/>
      <c r="AE321" s="22"/>
      <c r="AF321" s="22"/>
      <c r="AG321" s="277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U321" s="22"/>
      <c r="AV321" s="22"/>
      <c r="AW321" s="22"/>
      <c r="AX321" s="22"/>
      <c r="AY321" s="22"/>
      <c r="AZ321" s="25"/>
      <c r="BA321" s="25"/>
      <c r="BB321" s="25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</row>
    <row r="322" customFormat="false" ht="12.75" hidden="false" customHeight="false" outlineLevel="0" collapsed="false">
      <c r="A322" s="39"/>
      <c r="B322" s="39"/>
      <c r="C322" s="22"/>
      <c r="D322" s="39"/>
      <c r="E322" s="39"/>
      <c r="F322" s="39"/>
      <c r="G322" s="273"/>
      <c r="H322" s="273"/>
      <c r="I322" s="273"/>
      <c r="J322" s="275"/>
      <c r="K322" s="273"/>
      <c r="L322" s="275"/>
      <c r="M322" s="275"/>
      <c r="N322" s="275"/>
      <c r="O322" s="278"/>
      <c r="P322" s="22"/>
      <c r="Q322" s="22"/>
      <c r="S322" s="22"/>
      <c r="T322" s="22"/>
      <c r="U322" s="22"/>
      <c r="V322" s="22"/>
      <c r="W322" s="22"/>
      <c r="X322" s="22"/>
      <c r="Y322" s="22"/>
      <c r="Z322" s="22"/>
      <c r="AA322" s="24"/>
      <c r="AB322" s="22"/>
      <c r="AC322" s="22"/>
      <c r="AD322" s="22"/>
      <c r="AE322" s="22"/>
      <c r="AF322" s="22"/>
      <c r="AG322" s="277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U322" s="22"/>
      <c r="AV322" s="22"/>
      <c r="AW322" s="22"/>
      <c r="AX322" s="22"/>
      <c r="AY322" s="22"/>
      <c r="AZ322" s="25"/>
      <c r="BA322" s="25"/>
      <c r="BB322" s="25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</row>
    <row r="323" customFormat="false" ht="12.75" hidden="false" customHeight="false" outlineLevel="0" collapsed="false">
      <c r="A323" s="39"/>
      <c r="B323" s="39"/>
      <c r="C323" s="22"/>
      <c r="D323" s="39"/>
      <c r="E323" s="39"/>
      <c r="F323" s="39"/>
      <c r="G323" s="273"/>
      <c r="H323" s="273"/>
      <c r="I323" s="273"/>
      <c r="J323" s="275"/>
      <c r="K323" s="273"/>
      <c r="L323" s="275"/>
      <c r="M323" s="275"/>
      <c r="N323" s="275"/>
      <c r="O323" s="278"/>
      <c r="P323" s="22"/>
      <c r="Q323" s="22"/>
      <c r="S323" s="22"/>
      <c r="T323" s="22"/>
      <c r="U323" s="22"/>
      <c r="V323" s="22"/>
      <c r="W323" s="22"/>
      <c r="X323" s="22"/>
      <c r="Y323" s="22"/>
      <c r="Z323" s="22"/>
      <c r="AA323" s="24"/>
      <c r="AB323" s="22"/>
      <c r="AC323" s="22"/>
      <c r="AD323" s="22"/>
      <c r="AE323" s="22"/>
      <c r="AF323" s="22"/>
      <c r="AG323" s="277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U323" s="22"/>
      <c r="AV323" s="22"/>
      <c r="AW323" s="22"/>
      <c r="AX323" s="22"/>
      <c r="AY323" s="22"/>
      <c r="AZ323" s="25"/>
      <c r="BA323" s="25"/>
      <c r="BB323" s="25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</row>
    <row r="324" customFormat="false" ht="12.75" hidden="false" customHeight="false" outlineLevel="0" collapsed="false">
      <c r="A324" s="39"/>
      <c r="B324" s="39"/>
      <c r="C324" s="22"/>
      <c r="D324" s="39"/>
      <c r="E324" s="39"/>
      <c r="F324" s="39"/>
      <c r="G324" s="273"/>
      <c r="H324" s="273"/>
      <c r="I324" s="273"/>
      <c r="J324" s="275"/>
      <c r="K324" s="273"/>
      <c r="L324" s="275"/>
      <c r="M324" s="275"/>
      <c r="N324" s="275"/>
      <c r="O324" s="278"/>
      <c r="P324" s="22"/>
      <c r="Q324" s="22"/>
      <c r="S324" s="22"/>
      <c r="T324" s="22"/>
      <c r="U324" s="22"/>
      <c r="V324" s="22"/>
      <c r="W324" s="22"/>
      <c r="X324" s="22"/>
      <c r="Y324" s="22"/>
      <c r="Z324" s="22"/>
      <c r="AA324" s="24"/>
      <c r="AB324" s="22"/>
      <c r="AC324" s="22"/>
      <c r="AD324" s="22"/>
      <c r="AE324" s="22"/>
      <c r="AF324" s="22"/>
      <c r="AG324" s="277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U324" s="22"/>
      <c r="AV324" s="22"/>
      <c r="AW324" s="22"/>
      <c r="AX324" s="22"/>
      <c r="AY324" s="22"/>
      <c r="AZ324" s="25"/>
      <c r="BA324" s="25"/>
      <c r="BB324" s="25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</row>
    <row r="325" customFormat="false" ht="12.75" hidden="false" customHeight="false" outlineLevel="0" collapsed="false">
      <c r="A325" s="39"/>
      <c r="B325" s="39"/>
      <c r="C325" s="22"/>
      <c r="D325" s="39"/>
      <c r="E325" s="39"/>
      <c r="F325" s="39"/>
      <c r="G325" s="273"/>
      <c r="H325" s="273"/>
      <c r="I325" s="273"/>
      <c r="J325" s="275"/>
      <c r="K325" s="273"/>
      <c r="L325" s="275"/>
      <c r="M325" s="275"/>
      <c r="N325" s="275"/>
      <c r="O325" s="278"/>
      <c r="P325" s="22"/>
      <c r="Q325" s="22"/>
      <c r="S325" s="22"/>
      <c r="T325" s="22"/>
      <c r="U325" s="22"/>
      <c r="V325" s="22"/>
      <c r="W325" s="22"/>
      <c r="X325" s="22"/>
      <c r="Y325" s="22"/>
      <c r="Z325" s="22"/>
      <c r="AA325" s="24"/>
      <c r="AB325" s="22"/>
      <c r="AC325" s="22"/>
      <c r="AD325" s="22"/>
      <c r="AE325" s="22"/>
      <c r="AF325" s="22"/>
      <c r="AG325" s="277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U325" s="22"/>
      <c r="AV325" s="22"/>
      <c r="AW325" s="22"/>
      <c r="AX325" s="22"/>
      <c r="AY325" s="22"/>
      <c r="AZ325" s="25"/>
      <c r="BA325" s="25"/>
      <c r="BB325" s="25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</row>
    <row r="326" customFormat="false" ht="12.75" hidden="false" customHeight="false" outlineLevel="0" collapsed="false">
      <c r="A326" s="39"/>
      <c r="B326" s="39"/>
      <c r="C326" s="22"/>
      <c r="D326" s="39"/>
      <c r="E326" s="39"/>
      <c r="F326" s="39"/>
      <c r="G326" s="273"/>
      <c r="H326" s="273"/>
      <c r="I326" s="273"/>
      <c r="J326" s="275"/>
      <c r="K326" s="273"/>
      <c r="L326" s="275"/>
      <c r="M326" s="275"/>
      <c r="N326" s="275"/>
      <c r="O326" s="278"/>
      <c r="P326" s="22"/>
      <c r="Q326" s="22"/>
      <c r="S326" s="22"/>
      <c r="T326" s="22"/>
      <c r="U326" s="22"/>
      <c r="V326" s="22"/>
      <c r="W326" s="22"/>
      <c r="X326" s="22"/>
      <c r="Y326" s="22"/>
      <c r="Z326" s="22"/>
      <c r="AA326" s="24"/>
      <c r="AB326" s="22"/>
      <c r="AC326" s="22"/>
      <c r="AD326" s="22"/>
      <c r="AE326" s="22"/>
      <c r="AF326" s="22"/>
      <c r="AG326" s="277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U326" s="22"/>
      <c r="AV326" s="22"/>
      <c r="AW326" s="22"/>
      <c r="AX326" s="22"/>
      <c r="AY326" s="22"/>
      <c r="AZ326" s="25"/>
      <c r="BA326" s="25"/>
      <c r="BB326" s="25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</row>
    <row r="327" customFormat="false" ht="12.75" hidden="false" customHeight="false" outlineLevel="0" collapsed="false">
      <c r="A327" s="39"/>
      <c r="B327" s="39"/>
      <c r="C327" s="22"/>
      <c r="D327" s="39"/>
      <c r="E327" s="39"/>
      <c r="F327" s="39"/>
      <c r="G327" s="273"/>
      <c r="H327" s="273"/>
      <c r="I327" s="273"/>
      <c r="J327" s="275"/>
      <c r="K327" s="273"/>
      <c r="L327" s="275"/>
      <c r="M327" s="275"/>
      <c r="N327" s="275"/>
      <c r="O327" s="278"/>
      <c r="P327" s="22"/>
      <c r="Q327" s="22"/>
      <c r="S327" s="22"/>
      <c r="T327" s="22"/>
      <c r="U327" s="22"/>
      <c r="V327" s="22"/>
      <c r="W327" s="22"/>
      <c r="X327" s="22"/>
      <c r="Y327" s="22"/>
      <c r="Z327" s="22"/>
      <c r="AA327" s="24"/>
      <c r="AB327" s="22"/>
      <c r="AC327" s="22"/>
      <c r="AD327" s="22"/>
      <c r="AE327" s="22"/>
      <c r="AF327" s="22"/>
      <c r="AG327" s="277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U327" s="22"/>
      <c r="AV327" s="22"/>
      <c r="AW327" s="22"/>
      <c r="AX327" s="22"/>
      <c r="AY327" s="22"/>
      <c r="AZ327" s="25"/>
      <c r="BA327" s="25"/>
      <c r="BB327" s="25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</row>
    <row r="328" customFormat="false" ht="12.75" hidden="false" customHeight="false" outlineLevel="0" collapsed="false">
      <c r="A328" s="39"/>
      <c r="B328" s="39"/>
      <c r="C328" s="22"/>
      <c r="D328" s="39"/>
      <c r="E328" s="39"/>
      <c r="F328" s="39"/>
      <c r="G328" s="273"/>
      <c r="H328" s="273"/>
      <c r="I328" s="273"/>
      <c r="J328" s="275"/>
      <c r="K328" s="273"/>
      <c r="L328" s="275"/>
      <c r="M328" s="275"/>
      <c r="N328" s="275"/>
      <c r="O328" s="278"/>
      <c r="P328" s="22"/>
      <c r="Q328" s="22"/>
      <c r="S328" s="22"/>
      <c r="T328" s="22"/>
      <c r="U328" s="22"/>
      <c r="V328" s="22"/>
      <c r="W328" s="22"/>
      <c r="X328" s="22"/>
      <c r="Y328" s="22"/>
      <c r="Z328" s="22"/>
      <c r="AA328" s="24"/>
      <c r="AB328" s="22"/>
      <c r="AC328" s="22"/>
      <c r="AD328" s="22"/>
      <c r="AE328" s="22"/>
      <c r="AF328" s="22"/>
      <c r="AG328" s="277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U328" s="22"/>
      <c r="AV328" s="22"/>
      <c r="AW328" s="22"/>
      <c r="AX328" s="22"/>
      <c r="AY328" s="22"/>
      <c r="AZ328" s="25"/>
      <c r="BA328" s="25"/>
      <c r="BB328" s="25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</row>
    <row r="329" customFormat="false" ht="12.75" hidden="false" customHeight="false" outlineLevel="0" collapsed="false">
      <c r="A329" s="39"/>
      <c r="B329" s="39"/>
      <c r="C329" s="22"/>
      <c r="D329" s="39"/>
      <c r="E329" s="39"/>
      <c r="F329" s="39"/>
      <c r="G329" s="273"/>
      <c r="H329" s="273"/>
      <c r="I329" s="273"/>
      <c r="J329" s="275"/>
      <c r="K329" s="273"/>
      <c r="L329" s="275"/>
      <c r="M329" s="275"/>
      <c r="N329" s="275"/>
      <c r="O329" s="278"/>
      <c r="P329" s="22"/>
      <c r="Q329" s="22"/>
      <c r="S329" s="22"/>
      <c r="T329" s="22"/>
      <c r="U329" s="22"/>
      <c r="V329" s="22"/>
      <c r="W329" s="22"/>
      <c r="X329" s="22"/>
      <c r="Y329" s="22"/>
      <c r="Z329" s="22"/>
      <c r="AA329" s="24"/>
      <c r="AB329" s="22"/>
      <c r="AC329" s="22"/>
      <c r="AD329" s="22"/>
      <c r="AE329" s="22"/>
      <c r="AF329" s="22"/>
      <c r="AG329" s="277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U329" s="22"/>
      <c r="AV329" s="22"/>
      <c r="AW329" s="22"/>
      <c r="AX329" s="22"/>
      <c r="AY329" s="22"/>
      <c r="AZ329" s="25"/>
      <c r="BA329" s="25"/>
      <c r="BB329" s="25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</row>
    <row r="330" customFormat="false" ht="12.75" hidden="false" customHeight="false" outlineLevel="0" collapsed="false">
      <c r="A330" s="39"/>
      <c r="B330" s="39"/>
      <c r="C330" s="22"/>
      <c r="D330" s="39"/>
      <c r="E330" s="39"/>
      <c r="F330" s="39"/>
      <c r="G330" s="273"/>
      <c r="H330" s="273"/>
      <c r="I330" s="273"/>
      <c r="J330" s="275"/>
      <c r="K330" s="273"/>
      <c r="L330" s="275"/>
      <c r="M330" s="275"/>
      <c r="N330" s="275"/>
      <c r="O330" s="278"/>
      <c r="P330" s="22"/>
      <c r="Q330" s="22"/>
      <c r="S330" s="22"/>
      <c r="T330" s="22"/>
      <c r="U330" s="22"/>
      <c r="V330" s="22"/>
      <c r="W330" s="22"/>
      <c r="X330" s="22"/>
      <c r="Y330" s="22"/>
      <c r="Z330" s="22"/>
      <c r="AA330" s="24"/>
      <c r="AB330" s="22"/>
      <c r="AC330" s="22"/>
      <c r="AD330" s="22"/>
      <c r="AE330" s="22"/>
      <c r="AF330" s="22"/>
      <c r="AG330" s="277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U330" s="22"/>
      <c r="AV330" s="22"/>
      <c r="AW330" s="22"/>
      <c r="AX330" s="22"/>
      <c r="AY330" s="22"/>
      <c r="AZ330" s="25"/>
      <c r="BA330" s="25"/>
      <c r="BB330" s="25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</row>
    <row r="331" customFormat="false" ht="12.75" hidden="false" customHeight="false" outlineLevel="0" collapsed="false">
      <c r="A331" s="39"/>
      <c r="B331" s="39"/>
      <c r="C331" s="22"/>
      <c r="D331" s="39"/>
      <c r="E331" s="39"/>
      <c r="F331" s="39"/>
      <c r="G331" s="273"/>
      <c r="H331" s="273"/>
      <c r="I331" s="273"/>
      <c r="J331" s="275"/>
      <c r="K331" s="273"/>
      <c r="L331" s="275"/>
      <c r="M331" s="275"/>
      <c r="N331" s="275"/>
      <c r="O331" s="278"/>
      <c r="P331" s="22"/>
      <c r="Q331" s="22"/>
      <c r="S331" s="22"/>
      <c r="T331" s="22"/>
      <c r="U331" s="22"/>
      <c r="V331" s="22"/>
      <c r="W331" s="22"/>
      <c r="X331" s="22"/>
      <c r="Y331" s="22"/>
      <c r="Z331" s="22"/>
      <c r="AA331" s="24"/>
      <c r="AB331" s="22"/>
      <c r="AC331" s="22"/>
      <c r="AD331" s="22"/>
      <c r="AE331" s="22"/>
      <c r="AF331" s="22"/>
      <c r="AG331" s="277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U331" s="22"/>
      <c r="AV331" s="22"/>
      <c r="AW331" s="22"/>
      <c r="AX331" s="22"/>
      <c r="AY331" s="22"/>
      <c r="AZ331" s="25"/>
      <c r="BA331" s="25"/>
      <c r="BB331" s="25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</row>
    <row r="332" customFormat="false" ht="12.75" hidden="false" customHeight="false" outlineLevel="0" collapsed="false">
      <c r="A332" s="39"/>
      <c r="B332" s="39"/>
      <c r="C332" s="22"/>
      <c r="D332" s="39"/>
      <c r="E332" s="39"/>
      <c r="F332" s="39"/>
      <c r="G332" s="273"/>
      <c r="H332" s="273"/>
      <c r="I332" s="273"/>
      <c r="J332" s="275"/>
      <c r="K332" s="273"/>
      <c r="L332" s="275"/>
      <c r="M332" s="275"/>
      <c r="N332" s="275"/>
      <c r="O332" s="278"/>
      <c r="P332" s="22"/>
      <c r="Q332" s="22"/>
      <c r="S332" s="22"/>
      <c r="T332" s="22"/>
      <c r="U332" s="22"/>
      <c r="V332" s="22"/>
      <c r="W332" s="22"/>
      <c r="X332" s="22"/>
      <c r="Y332" s="22"/>
      <c r="Z332" s="22"/>
      <c r="AA332" s="24"/>
      <c r="AB332" s="22"/>
      <c r="AC332" s="22"/>
      <c r="AD332" s="22"/>
      <c r="AE332" s="22"/>
      <c r="AF332" s="22"/>
      <c r="AG332" s="277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U332" s="22"/>
      <c r="AV332" s="22"/>
      <c r="AW332" s="22"/>
      <c r="AX332" s="22"/>
      <c r="AY332" s="22"/>
      <c r="AZ332" s="25"/>
      <c r="BA332" s="25"/>
      <c r="BB332" s="25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</row>
    <row r="333" customFormat="false" ht="12.75" hidden="false" customHeight="false" outlineLevel="0" collapsed="false">
      <c r="A333" s="39"/>
      <c r="B333" s="39"/>
      <c r="C333" s="22"/>
      <c r="D333" s="39"/>
      <c r="E333" s="39"/>
      <c r="F333" s="39"/>
      <c r="G333" s="273"/>
      <c r="H333" s="273"/>
      <c r="I333" s="273"/>
      <c r="J333" s="275"/>
      <c r="K333" s="273"/>
      <c r="L333" s="275"/>
      <c r="M333" s="275"/>
      <c r="N333" s="275"/>
      <c r="O333" s="278"/>
      <c r="P333" s="22"/>
      <c r="Q333" s="22"/>
      <c r="S333" s="22"/>
      <c r="T333" s="22"/>
      <c r="U333" s="22"/>
      <c r="V333" s="22"/>
      <c r="W333" s="22"/>
      <c r="X333" s="22"/>
      <c r="Y333" s="22"/>
      <c r="Z333" s="22"/>
      <c r="AA333" s="24"/>
      <c r="AB333" s="22"/>
      <c r="AC333" s="22"/>
      <c r="AD333" s="22"/>
      <c r="AE333" s="22"/>
      <c r="AF333" s="22"/>
      <c r="AG333" s="277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U333" s="22"/>
      <c r="AV333" s="22"/>
      <c r="AW333" s="22"/>
      <c r="AX333" s="22"/>
      <c r="AY333" s="22"/>
      <c r="AZ333" s="25"/>
      <c r="BA333" s="25"/>
      <c r="BB333" s="25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</row>
    <row r="334" customFormat="false" ht="12.75" hidden="false" customHeight="false" outlineLevel="0" collapsed="false">
      <c r="A334" s="39"/>
      <c r="B334" s="39"/>
      <c r="C334" s="22"/>
      <c r="D334" s="39"/>
      <c r="E334" s="39"/>
      <c r="F334" s="39"/>
      <c r="G334" s="273"/>
      <c r="H334" s="273"/>
      <c r="I334" s="273"/>
      <c r="J334" s="275"/>
      <c r="K334" s="273"/>
      <c r="L334" s="275"/>
      <c r="M334" s="275"/>
      <c r="N334" s="275"/>
      <c r="O334" s="278"/>
      <c r="P334" s="22"/>
      <c r="Q334" s="22"/>
      <c r="S334" s="22"/>
      <c r="T334" s="22"/>
      <c r="U334" s="22"/>
      <c r="V334" s="22"/>
      <c r="W334" s="22"/>
      <c r="X334" s="22"/>
      <c r="Y334" s="22"/>
      <c r="Z334" s="22"/>
      <c r="AA334" s="24"/>
      <c r="AB334" s="22"/>
      <c r="AC334" s="22"/>
      <c r="AD334" s="22"/>
      <c r="AE334" s="22"/>
      <c r="AF334" s="22"/>
      <c r="AG334" s="277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U334" s="22"/>
      <c r="AV334" s="22"/>
      <c r="AW334" s="22"/>
      <c r="AX334" s="22"/>
      <c r="AY334" s="22"/>
      <c r="AZ334" s="25"/>
      <c r="BA334" s="25"/>
      <c r="BB334" s="25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</row>
    <row r="335" customFormat="false" ht="12.75" hidden="false" customHeight="false" outlineLevel="0" collapsed="false">
      <c r="A335" s="39"/>
      <c r="B335" s="39"/>
      <c r="C335" s="22"/>
      <c r="D335" s="39"/>
      <c r="E335" s="39"/>
      <c r="F335" s="39"/>
      <c r="G335" s="273"/>
      <c r="H335" s="273"/>
      <c r="I335" s="273"/>
      <c r="J335" s="275"/>
      <c r="K335" s="273"/>
      <c r="L335" s="275"/>
      <c r="M335" s="275"/>
      <c r="N335" s="275"/>
      <c r="O335" s="278"/>
      <c r="P335" s="22"/>
      <c r="Q335" s="22"/>
      <c r="S335" s="22"/>
      <c r="T335" s="22"/>
      <c r="U335" s="22"/>
      <c r="V335" s="22"/>
      <c r="W335" s="22"/>
      <c r="X335" s="22"/>
      <c r="Y335" s="22"/>
      <c r="Z335" s="22"/>
      <c r="AA335" s="24"/>
      <c r="AB335" s="22"/>
      <c r="AC335" s="22"/>
      <c r="AD335" s="22"/>
      <c r="AE335" s="22"/>
      <c r="AF335" s="22"/>
      <c r="AG335" s="277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U335" s="22"/>
      <c r="AV335" s="22"/>
      <c r="AW335" s="22"/>
      <c r="AX335" s="22"/>
      <c r="AY335" s="22"/>
      <c r="AZ335" s="25"/>
      <c r="BA335" s="25"/>
      <c r="BB335" s="25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</row>
    <row r="336" customFormat="false" ht="12.75" hidden="false" customHeight="false" outlineLevel="0" collapsed="false">
      <c r="A336" s="39"/>
      <c r="B336" s="39"/>
      <c r="C336" s="22"/>
      <c r="D336" s="39"/>
      <c r="E336" s="39"/>
      <c r="F336" s="39"/>
      <c r="G336" s="273"/>
      <c r="H336" s="273"/>
      <c r="I336" s="273"/>
      <c r="J336" s="275"/>
      <c r="K336" s="273"/>
      <c r="L336" s="275"/>
      <c r="M336" s="275"/>
      <c r="N336" s="275"/>
      <c r="O336" s="278"/>
      <c r="P336" s="22"/>
      <c r="Q336" s="22"/>
      <c r="S336" s="22"/>
      <c r="T336" s="22"/>
      <c r="U336" s="22"/>
      <c r="V336" s="22"/>
      <c r="W336" s="22"/>
      <c r="X336" s="22"/>
      <c r="Y336" s="22"/>
      <c r="Z336" s="22"/>
      <c r="AA336" s="24"/>
      <c r="AB336" s="22"/>
      <c r="AC336" s="22"/>
      <c r="AD336" s="22"/>
      <c r="AE336" s="22"/>
      <c r="AF336" s="22"/>
      <c r="AG336" s="277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U336" s="22"/>
      <c r="AV336" s="22"/>
      <c r="AW336" s="22"/>
      <c r="AX336" s="22"/>
      <c r="AY336" s="22"/>
      <c r="AZ336" s="25"/>
      <c r="BA336" s="25"/>
      <c r="BB336" s="25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</row>
    <row r="337" customFormat="false" ht="12.75" hidden="false" customHeight="false" outlineLevel="0" collapsed="false">
      <c r="A337" s="39"/>
      <c r="B337" s="39"/>
      <c r="C337" s="22"/>
      <c r="D337" s="39"/>
      <c r="E337" s="39"/>
      <c r="F337" s="39"/>
      <c r="G337" s="273"/>
      <c r="H337" s="273"/>
      <c r="I337" s="273"/>
      <c r="J337" s="275"/>
      <c r="K337" s="273"/>
      <c r="L337" s="275"/>
      <c r="M337" s="275"/>
      <c r="N337" s="275"/>
      <c r="O337" s="278"/>
      <c r="P337" s="22"/>
      <c r="Q337" s="22"/>
      <c r="S337" s="22"/>
      <c r="T337" s="22"/>
      <c r="U337" s="22"/>
      <c r="V337" s="22"/>
      <c r="W337" s="22"/>
      <c r="X337" s="22"/>
      <c r="Y337" s="22"/>
      <c r="Z337" s="22"/>
      <c r="AA337" s="24"/>
      <c r="AB337" s="22"/>
      <c r="AC337" s="22"/>
      <c r="AD337" s="22"/>
      <c r="AE337" s="22"/>
      <c r="AF337" s="22"/>
      <c r="AG337" s="277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U337" s="22"/>
      <c r="AV337" s="22"/>
      <c r="AW337" s="22"/>
      <c r="AX337" s="22"/>
      <c r="AY337" s="22"/>
      <c r="AZ337" s="25"/>
      <c r="BA337" s="25"/>
      <c r="BB337" s="25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</row>
    <row r="338" customFormat="false" ht="12.75" hidden="false" customHeight="false" outlineLevel="0" collapsed="false">
      <c r="A338" s="39"/>
      <c r="B338" s="39"/>
      <c r="C338" s="22"/>
      <c r="D338" s="39"/>
      <c r="E338" s="39"/>
      <c r="F338" s="39"/>
      <c r="G338" s="273"/>
      <c r="H338" s="273"/>
      <c r="I338" s="273"/>
      <c r="J338" s="275"/>
      <c r="K338" s="273"/>
      <c r="L338" s="275"/>
      <c r="M338" s="275"/>
      <c r="N338" s="275"/>
      <c r="O338" s="278"/>
      <c r="P338" s="22"/>
      <c r="Q338" s="22"/>
      <c r="S338" s="22"/>
      <c r="T338" s="22"/>
      <c r="U338" s="22"/>
      <c r="V338" s="22"/>
      <c r="W338" s="22"/>
      <c r="X338" s="22"/>
      <c r="Y338" s="22"/>
      <c r="Z338" s="22"/>
      <c r="AA338" s="24"/>
      <c r="AB338" s="22"/>
      <c r="AC338" s="22"/>
      <c r="AD338" s="22"/>
      <c r="AE338" s="22"/>
      <c r="AF338" s="22"/>
      <c r="AG338" s="277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U338" s="22"/>
      <c r="AV338" s="22"/>
      <c r="AW338" s="22"/>
      <c r="AX338" s="22"/>
      <c r="AY338" s="22"/>
      <c r="AZ338" s="25"/>
      <c r="BA338" s="25"/>
      <c r="BB338" s="25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</row>
    <row r="339" customFormat="false" ht="12.75" hidden="false" customHeight="false" outlineLevel="0" collapsed="false">
      <c r="A339" s="39"/>
      <c r="B339" s="39"/>
      <c r="C339" s="22"/>
      <c r="D339" s="39"/>
      <c r="E339" s="39"/>
      <c r="F339" s="39"/>
      <c r="G339" s="273"/>
      <c r="H339" s="273"/>
      <c r="I339" s="273"/>
      <c r="J339" s="275"/>
      <c r="K339" s="273"/>
      <c r="L339" s="275"/>
      <c r="M339" s="275"/>
      <c r="N339" s="275"/>
      <c r="O339" s="278"/>
      <c r="P339" s="22"/>
      <c r="Q339" s="22"/>
      <c r="S339" s="22"/>
      <c r="T339" s="22"/>
      <c r="U339" s="22"/>
      <c r="V339" s="22"/>
      <c r="W339" s="22"/>
      <c r="X339" s="22"/>
      <c r="Y339" s="22"/>
      <c r="Z339" s="22"/>
      <c r="AA339" s="24"/>
      <c r="AB339" s="22"/>
      <c r="AC339" s="22"/>
      <c r="AD339" s="22"/>
      <c r="AE339" s="22"/>
      <c r="AF339" s="22"/>
      <c r="AG339" s="277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U339" s="22"/>
      <c r="AV339" s="22"/>
      <c r="AW339" s="22"/>
      <c r="AX339" s="22"/>
      <c r="AY339" s="22"/>
      <c r="AZ339" s="25"/>
      <c r="BA339" s="25"/>
      <c r="BB339" s="25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</row>
    <row r="340" customFormat="false" ht="12.75" hidden="false" customHeight="false" outlineLevel="0" collapsed="false">
      <c r="A340" s="39"/>
      <c r="B340" s="39"/>
      <c r="C340" s="22"/>
      <c r="D340" s="39"/>
      <c r="E340" s="39"/>
      <c r="F340" s="39"/>
      <c r="G340" s="273"/>
      <c r="H340" s="273"/>
      <c r="I340" s="273"/>
      <c r="J340" s="275"/>
      <c r="K340" s="273"/>
      <c r="L340" s="275"/>
      <c r="M340" s="275"/>
      <c r="N340" s="275"/>
      <c r="O340" s="278"/>
      <c r="P340" s="22"/>
      <c r="Q340" s="22"/>
      <c r="S340" s="22"/>
      <c r="T340" s="22"/>
      <c r="U340" s="22"/>
      <c r="V340" s="22"/>
      <c r="W340" s="22"/>
      <c r="X340" s="22"/>
      <c r="Y340" s="22"/>
      <c r="Z340" s="22"/>
      <c r="AA340" s="24"/>
      <c r="AB340" s="22"/>
      <c r="AC340" s="22"/>
      <c r="AD340" s="22"/>
      <c r="AE340" s="22"/>
      <c r="AF340" s="22"/>
      <c r="AG340" s="277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U340" s="22"/>
      <c r="AV340" s="22"/>
      <c r="AW340" s="22"/>
      <c r="AX340" s="22"/>
      <c r="AY340" s="22"/>
      <c r="AZ340" s="25"/>
      <c r="BA340" s="25"/>
      <c r="BB340" s="25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</row>
    <row r="341" customFormat="false" ht="12.75" hidden="false" customHeight="false" outlineLevel="0" collapsed="false">
      <c r="A341" s="39"/>
      <c r="B341" s="39"/>
      <c r="C341" s="22"/>
      <c r="D341" s="39"/>
      <c r="E341" s="39"/>
      <c r="F341" s="39"/>
      <c r="G341" s="273"/>
      <c r="H341" s="273"/>
      <c r="I341" s="273"/>
      <c r="J341" s="275"/>
      <c r="K341" s="273"/>
      <c r="L341" s="275"/>
      <c r="M341" s="275"/>
      <c r="N341" s="275"/>
      <c r="O341" s="278"/>
      <c r="P341" s="22"/>
      <c r="Q341" s="22"/>
      <c r="S341" s="22"/>
      <c r="T341" s="22"/>
      <c r="U341" s="22"/>
      <c r="V341" s="22"/>
      <c r="W341" s="22"/>
      <c r="X341" s="22"/>
      <c r="Y341" s="22"/>
      <c r="Z341" s="22"/>
      <c r="AA341" s="24"/>
      <c r="AB341" s="22"/>
      <c r="AC341" s="22"/>
      <c r="AD341" s="22"/>
      <c r="AE341" s="22"/>
      <c r="AF341" s="22"/>
      <c r="AG341" s="277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U341" s="22"/>
      <c r="AV341" s="22"/>
      <c r="AW341" s="22"/>
      <c r="AX341" s="22"/>
      <c r="AY341" s="22"/>
      <c r="AZ341" s="25"/>
      <c r="BA341" s="25"/>
      <c r="BB341" s="25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</row>
    <row r="342" customFormat="false" ht="12.75" hidden="false" customHeight="false" outlineLevel="0" collapsed="false">
      <c r="A342" s="39"/>
      <c r="B342" s="39"/>
      <c r="C342" s="22"/>
      <c r="D342" s="39"/>
      <c r="E342" s="39"/>
      <c r="F342" s="39"/>
      <c r="G342" s="273"/>
      <c r="H342" s="273"/>
      <c r="I342" s="273"/>
      <c r="J342" s="275"/>
      <c r="K342" s="273"/>
      <c r="L342" s="275"/>
      <c r="M342" s="275"/>
      <c r="N342" s="275"/>
      <c r="O342" s="278"/>
      <c r="P342" s="22"/>
      <c r="Q342" s="22"/>
      <c r="S342" s="22"/>
      <c r="T342" s="22"/>
      <c r="U342" s="22"/>
      <c r="V342" s="22"/>
      <c r="W342" s="22"/>
      <c r="X342" s="22"/>
      <c r="Y342" s="22"/>
      <c r="Z342" s="22"/>
      <c r="AA342" s="24"/>
      <c r="AB342" s="22"/>
      <c r="AC342" s="22"/>
      <c r="AD342" s="22"/>
      <c r="AE342" s="22"/>
      <c r="AF342" s="22"/>
      <c r="AG342" s="277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U342" s="22"/>
      <c r="AV342" s="22"/>
      <c r="AW342" s="22"/>
      <c r="AX342" s="22"/>
      <c r="AY342" s="22"/>
      <c r="AZ342" s="25"/>
      <c r="BA342" s="25"/>
      <c r="BB342" s="25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</row>
    <row r="343" customFormat="false" ht="12.75" hidden="false" customHeight="false" outlineLevel="0" collapsed="false">
      <c r="A343" s="39"/>
      <c r="B343" s="39"/>
      <c r="C343" s="22"/>
      <c r="D343" s="39"/>
      <c r="E343" s="39"/>
      <c r="F343" s="39"/>
      <c r="G343" s="273"/>
      <c r="H343" s="273"/>
      <c r="I343" s="273"/>
      <c r="J343" s="275"/>
      <c r="K343" s="273"/>
      <c r="L343" s="275"/>
      <c r="M343" s="275"/>
      <c r="N343" s="275"/>
      <c r="O343" s="278"/>
      <c r="P343" s="22"/>
      <c r="Q343" s="22"/>
      <c r="S343" s="22"/>
      <c r="T343" s="22"/>
      <c r="U343" s="22"/>
      <c r="V343" s="22"/>
      <c r="W343" s="22"/>
      <c r="X343" s="22"/>
      <c r="Y343" s="22"/>
      <c r="Z343" s="22"/>
      <c r="AA343" s="24"/>
      <c r="AB343" s="22"/>
      <c r="AC343" s="22"/>
      <c r="AD343" s="22"/>
      <c r="AE343" s="22"/>
      <c r="AF343" s="22"/>
      <c r="AG343" s="277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U343" s="22"/>
      <c r="AV343" s="22"/>
      <c r="AW343" s="22"/>
      <c r="AX343" s="22"/>
      <c r="AY343" s="22"/>
      <c r="AZ343" s="25"/>
      <c r="BA343" s="25"/>
      <c r="BB343" s="25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</row>
    <row r="344" customFormat="false" ht="12.75" hidden="false" customHeight="false" outlineLevel="0" collapsed="false">
      <c r="A344" s="39"/>
      <c r="B344" s="39"/>
      <c r="C344" s="22"/>
      <c r="D344" s="39"/>
      <c r="E344" s="39"/>
      <c r="F344" s="39"/>
      <c r="G344" s="273"/>
      <c r="H344" s="273"/>
      <c r="I344" s="273"/>
      <c r="J344" s="275"/>
      <c r="K344" s="273"/>
      <c r="L344" s="275"/>
      <c r="M344" s="275"/>
      <c r="N344" s="275"/>
      <c r="O344" s="278"/>
      <c r="P344" s="22"/>
      <c r="Q344" s="22"/>
      <c r="S344" s="22"/>
      <c r="T344" s="22"/>
      <c r="U344" s="22"/>
      <c r="V344" s="22"/>
      <c r="W344" s="22"/>
      <c r="X344" s="22"/>
      <c r="Y344" s="22"/>
      <c r="Z344" s="22"/>
      <c r="AA344" s="24"/>
      <c r="AB344" s="22"/>
      <c r="AC344" s="22"/>
      <c r="AD344" s="22"/>
      <c r="AE344" s="22"/>
      <c r="AF344" s="22"/>
      <c r="AG344" s="277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U344" s="22"/>
      <c r="AV344" s="22"/>
      <c r="AW344" s="22"/>
      <c r="AX344" s="22"/>
      <c r="AY344" s="22"/>
      <c r="AZ344" s="25"/>
      <c r="BA344" s="25"/>
      <c r="BB344" s="25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</row>
    <row r="345" customFormat="false" ht="12.75" hidden="false" customHeight="false" outlineLevel="0" collapsed="false">
      <c r="A345" s="39"/>
      <c r="B345" s="39"/>
      <c r="C345" s="22"/>
      <c r="D345" s="39"/>
      <c r="E345" s="39"/>
      <c r="F345" s="39"/>
      <c r="G345" s="273"/>
      <c r="H345" s="273"/>
      <c r="I345" s="273"/>
      <c r="J345" s="275"/>
      <c r="K345" s="273"/>
      <c r="L345" s="275"/>
      <c r="M345" s="275"/>
      <c r="N345" s="275"/>
      <c r="O345" s="278"/>
      <c r="P345" s="22"/>
      <c r="Q345" s="22"/>
      <c r="S345" s="22"/>
      <c r="T345" s="22"/>
      <c r="U345" s="22"/>
      <c r="V345" s="22"/>
      <c r="W345" s="22"/>
      <c r="X345" s="22"/>
      <c r="Y345" s="22"/>
      <c r="Z345" s="22"/>
      <c r="AA345" s="24"/>
      <c r="AB345" s="22"/>
      <c r="AC345" s="22"/>
      <c r="AD345" s="22"/>
      <c r="AE345" s="22"/>
      <c r="AF345" s="22"/>
      <c r="AG345" s="277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U345" s="22"/>
      <c r="AV345" s="22"/>
      <c r="AW345" s="22"/>
      <c r="AX345" s="22"/>
      <c r="AY345" s="22"/>
      <c r="AZ345" s="25"/>
      <c r="BA345" s="25"/>
      <c r="BB345" s="25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</row>
    <row r="346" customFormat="false" ht="12.75" hidden="false" customHeight="false" outlineLevel="0" collapsed="false">
      <c r="A346" s="39"/>
      <c r="B346" s="39"/>
      <c r="C346" s="22"/>
      <c r="D346" s="39"/>
      <c r="E346" s="39"/>
      <c r="F346" s="39"/>
      <c r="G346" s="273"/>
      <c r="H346" s="273"/>
      <c r="I346" s="273"/>
      <c r="J346" s="275"/>
      <c r="K346" s="273"/>
      <c r="L346" s="275"/>
      <c r="M346" s="275"/>
      <c r="N346" s="275"/>
      <c r="O346" s="278"/>
      <c r="P346" s="22"/>
      <c r="Q346" s="22"/>
      <c r="S346" s="22"/>
      <c r="T346" s="22"/>
      <c r="U346" s="22"/>
      <c r="V346" s="22"/>
      <c r="W346" s="22"/>
      <c r="X346" s="22"/>
      <c r="Y346" s="22"/>
      <c r="Z346" s="22"/>
      <c r="AA346" s="24"/>
      <c r="AB346" s="22"/>
      <c r="AC346" s="22"/>
      <c r="AD346" s="22"/>
      <c r="AE346" s="22"/>
      <c r="AF346" s="22"/>
      <c r="AG346" s="277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U346" s="22"/>
      <c r="AV346" s="22"/>
      <c r="AW346" s="22"/>
      <c r="AX346" s="22"/>
      <c r="AY346" s="22"/>
      <c r="AZ346" s="25"/>
      <c r="BA346" s="25"/>
      <c r="BB346" s="25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</row>
    <row r="347" customFormat="false" ht="12.75" hidden="false" customHeight="false" outlineLevel="0" collapsed="false">
      <c r="A347" s="39"/>
      <c r="B347" s="39"/>
      <c r="C347" s="22"/>
      <c r="D347" s="39"/>
      <c r="E347" s="39"/>
      <c r="F347" s="39"/>
      <c r="G347" s="273"/>
      <c r="H347" s="273"/>
      <c r="I347" s="273"/>
      <c r="J347" s="275"/>
      <c r="K347" s="273"/>
      <c r="L347" s="275"/>
      <c r="M347" s="275"/>
      <c r="N347" s="275"/>
      <c r="O347" s="278"/>
      <c r="P347" s="22"/>
      <c r="Q347" s="22"/>
      <c r="S347" s="22"/>
      <c r="T347" s="22"/>
      <c r="U347" s="22"/>
      <c r="V347" s="22"/>
      <c r="W347" s="22"/>
      <c r="X347" s="22"/>
      <c r="Y347" s="22"/>
      <c r="Z347" s="22"/>
      <c r="AA347" s="24"/>
      <c r="AB347" s="22"/>
      <c r="AC347" s="22"/>
      <c r="AD347" s="22"/>
      <c r="AE347" s="22"/>
      <c r="AF347" s="22"/>
      <c r="AG347" s="277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U347" s="22"/>
      <c r="AV347" s="22"/>
      <c r="AW347" s="22"/>
      <c r="AX347" s="22"/>
      <c r="AY347" s="22"/>
      <c r="AZ347" s="25"/>
      <c r="BA347" s="25"/>
      <c r="BB347" s="25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</row>
    <row r="348" customFormat="false" ht="12.75" hidden="false" customHeight="false" outlineLevel="0" collapsed="false">
      <c r="A348" s="39"/>
      <c r="B348" s="39"/>
      <c r="C348" s="22"/>
      <c r="D348" s="39"/>
      <c r="E348" s="39"/>
      <c r="F348" s="39"/>
      <c r="G348" s="273"/>
      <c r="H348" s="273"/>
      <c r="I348" s="273"/>
      <c r="J348" s="275"/>
      <c r="K348" s="273"/>
      <c r="L348" s="275"/>
      <c r="M348" s="275"/>
      <c r="N348" s="275"/>
      <c r="O348" s="278"/>
      <c r="P348" s="22"/>
      <c r="Q348" s="22"/>
      <c r="S348" s="22"/>
      <c r="T348" s="22"/>
      <c r="U348" s="22"/>
      <c r="V348" s="22"/>
      <c r="W348" s="22"/>
      <c r="X348" s="22"/>
      <c r="Y348" s="22"/>
      <c r="Z348" s="22"/>
      <c r="AA348" s="24"/>
      <c r="AB348" s="22"/>
      <c r="AC348" s="22"/>
      <c r="AD348" s="22"/>
      <c r="AE348" s="22"/>
      <c r="AF348" s="22"/>
      <c r="AG348" s="277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U348" s="22"/>
      <c r="AV348" s="22"/>
      <c r="AW348" s="22"/>
      <c r="AX348" s="22"/>
      <c r="AY348" s="22"/>
      <c r="AZ348" s="25"/>
      <c r="BA348" s="25"/>
      <c r="BB348" s="25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</row>
    <row r="349" customFormat="false" ht="12.75" hidden="false" customHeight="false" outlineLevel="0" collapsed="false">
      <c r="A349" s="39"/>
      <c r="B349" s="39"/>
      <c r="C349" s="22"/>
      <c r="D349" s="39"/>
      <c r="E349" s="39"/>
      <c r="F349" s="39"/>
      <c r="G349" s="273"/>
      <c r="H349" s="273"/>
      <c r="I349" s="273"/>
      <c r="J349" s="275"/>
      <c r="K349" s="273"/>
      <c r="L349" s="275"/>
      <c r="M349" s="275"/>
      <c r="N349" s="275"/>
      <c r="O349" s="285"/>
      <c r="P349" s="22"/>
      <c r="Q349" s="22"/>
      <c r="S349" s="22"/>
      <c r="T349" s="22"/>
      <c r="U349" s="22"/>
      <c r="V349" s="22"/>
      <c r="W349" s="22"/>
      <c r="X349" s="22"/>
      <c r="Y349" s="22"/>
      <c r="Z349" s="22"/>
      <c r="AA349" s="24"/>
      <c r="AB349" s="22"/>
      <c r="AC349" s="22"/>
      <c r="AD349" s="22"/>
      <c r="AE349" s="22"/>
      <c r="AF349" s="22"/>
      <c r="AG349" s="277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U349" s="22"/>
      <c r="AV349" s="22"/>
      <c r="AW349" s="22"/>
      <c r="AX349" s="22"/>
      <c r="AY349" s="22"/>
      <c r="AZ349" s="25"/>
      <c r="BA349" s="25"/>
      <c r="BB349" s="25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</row>
    <row r="350" customFormat="false" ht="12.75" hidden="false" customHeight="false" outlineLevel="0" collapsed="false">
      <c r="A350" s="39"/>
      <c r="B350" s="39"/>
      <c r="C350" s="22"/>
      <c r="D350" s="39"/>
      <c r="E350" s="39"/>
      <c r="F350" s="39"/>
      <c r="G350" s="273"/>
      <c r="H350" s="273"/>
      <c r="I350" s="273"/>
      <c r="J350" s="22"/>
      <c r="K350" s="273"/>
      <c r="L350" s="22"/>
      <c r="M350" s="22"/>
      <c r="N350" s="22"/>
      <c r="O350" s="285"/>
      <c r="P350" s="22"/>
      <c r="Q350" s="22"/>
      <c r="S350" s="22"/>
      <c r="T350" s="22"/>
      <c r="U350" s="22"/>
      <c r="V350" s="22"/>
      <c r="W350" s="22"/>
      <c r="X350" s="22"/>
      <c r="Y350" s="22"/>
      <c r="Z350" s="22"/>
      <c r="AA350" s="24"/>
      <c r="AB350" s="22"/>
      <c r="AC350" s="22"/>
      <c r="AD350" s="22"/>
      <c r="AE350" s="22"/>
      <c r="AF350" s="22"/>
      <c r="AG350" s="277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U350" s="22"/>
      <c r="AV350" s="22"/>
      <c r="AW350" s="22"/>
      <c r="AX350" s="22"/>
      <c r="AY350" s="22"/>
      <c r="AZ350" s="25"/>
      <c r="BA350" s="25"/>
      <c r="BB350" s="25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</row>
    <row r="351" customFormat="false" ht="12.75" hidden="false" customHeight="false" outlineLevel="0" collapsed="false">
      <c r="A351" s="39"/>
      <c r="B351" s="39"/>
      <c r="C351" s="22"/>
      <c r="D351" s="39"/>
      <c r="E351" s="39"/>
      <c r="F351" s="39"/>
      <c r="G351" s="273"/>
      <c r="H351" s="273"/>
      <c r="I351" s="286"/>
      <c r="J351" s="22"/>
      <c r="K351" s="273"/>
      <c r="L351" s="22"/>
      <c r="M351" s="22"/>
      <c r="N351" s="22"/>
      <c r="O351" s="285"/>
      <c r="P351" s="22"/>
      <c r="Q351" s="22"/>
      <c r="S351" s="22"/>
      <c r="T351" s="22"/>
      <c r="U351" s="22"/>
      <c r="V351" s="22"/>
      <c r="W351" s="22"/>
      <c r="X351" s="22"/>
      <c r="Y351" s="22"/>
      <c r="Z351" s="22"/>
      <c r="AA351" s="24"/>
      <c r="AB351" s="22"/>
      <c r="AC351" s="22"/>
      <c r="AD351" s="22"/>
      <c r="AE351" s="22"/>
      <c r="AF351" s="22"/>
      <c r="AG351" s="277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U351" s="22"/>
      <c r="AV351" s="22"/>
      <c r="AW351" s="22"/>
      <c r="AX351" s="22"/>
      <c r="AY351" s="22"/>
      <c r="AZ351" s="25"/>
      <c r="BA351" s="25"/>
      <c r="BB351" s="25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</row>
    <row r="352" customFormat="false" ht="12.75" hidden="false" customHeight="false" outlineLevel="0" collapsed="false">
      <c r="A352" s="39"/>
      <c r="B352" s="39"/>
      <c r="C352" s="22"/>
      <c r="D352" s="39"/>
      <c r="E352" s="39"/>
      <c r="F352" s="39"/>
      <c r="G352" s="286"/>
      <c r="H352" s="286"/>
      <c r="I352" s="286"/>
      <c r="J352" s="22"/>
      <c r="K352" s="22"/>
      <c r="L352" s="22"/>
      <c r="M352" s="22"/>
      <c r="N352" s="22"/>
      <c r="O352" s="285"/>
      <c r="P352" s="22"/>
      <c r="Q352" s="22"/>
      <c r="S352" s="22"/>
      <c r="T352" s="22"/>
      <c r="U352" s="22"/>
      <c r="V352" s="22"/>
      <c r="W352" s="22"/>
      <c r="X352" s="22"/>
      <c r="Y352" s="22"/>
      <c r="Z352" s="22"/>
      <c r="AA352" s="24"/>
      <c r="AB352" s="22"/>
      <c r="AC352" s="22"/>
      <c r="AD352" s="22"/>
      <c r="AE352" s="22"/>
      <c r="AF352" s="22"/>
      <c r="AG352" s="277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U352" s="22"/>
      <c r="AV352" s="22"/>
      <c r="AW352" s="22"/>
      <c r="AX352" s="22"/>
      <c r="AY352" s="22"/>
      <c r="AZ352" s="25"/>
      <c r="BA352" s="25"/>
      <c r="BB352" s="25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</row>
    <row r="353" customFormat="false" ht="12.75" hidden="false" customHeight="false" outlineLevel="0" collapsed="false">
      <c r="A353" s="39"/>
      <c r="B353" s="39"/>
      <c r="C353" s="22"/>
      <c r="D353" s="39"/>
      <c r="E353" s="39"/>
      <c r="F353" s="39"/>
      <c r="G353" s="286"/>
      <c r="H353" s="286"/>
      <c r="I353" s="286"/>
      <c r="J353" s="22"/>
      <c r="K353" s="22"/>
      <c r="L353" s="22"/>
      <c r="M353" s="22"/>
      <c r="N353" s="22"/>
      <c r="O353" s="285"/>
      <c r="P353" s="22"/>
      <c r="Q353" s="22"/>
      <c r="S353" s="22"/>
      <c r="T353" s="22"/>
      <c r="U353" s="22"/>
      <c r="V353" s="22"/>
      <c r="W353" s="22"/>
      <c r="X353" s="22"/>
      <c r="Y353" s="22"/>
      <c r="Z353" s="22"/>
      <c r="AA353" s="24"/>
      <c r="AB353" s="22"/>
      <c r="AC353" s="22"/>
      <c r="AD353" s="22"/>
      <c r="AE353" s="22"/>
      <c r="AF353" s="22"/>
      <c r="AG353" s="277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U353" s="22"/>
      <c r="AV353" s="22"/>
      <c r="AW353" s="22"/>
      <c r="AX353" s="22"/>
      <c r="AY353" s="22"/>
      <c r="AZ353" s="25"/>
      <c r="BA353" s="25"/>
      <c r="BB353" s="25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</row>
    <row r="354" customFormat="false" ht="12.75" hidden="false" customHeight="false" outlineLevel="0" collapsed="false">
      <c r="A354" s="39"/>
      <c r="B354" s="39"/>
      <c r="C354" s="22"/>
      <c r="D354" s="39"/>
      <c r="E354" s="39"/>
      <c r="F354" s="39"/>
      <c r="G354" s="286"/>
      <c r="H354" s="286"/>
      <c r="I354" s="286"/>
      <c r="J354" s="22"/>
      <c r="K354" s="22"/>
      <c r="L354" s="22"/>
      <c r="M354" s="22"/>
      <c r="N354" s="22"/>
      <c r="O354" s="285"/>
      <c r="P354" s="22"/>
      <c r="Q354" s="22"/>
      <c r="S354" s="22"/>
      <c r="T354" s="22"/>
      <c r="U354" s="22"/>
      <c r="V354" s="22"/>
      <c r="W354" s="22"/>
      <c r="X354" s="22"/>
      <c r="Y354" s="22"/>
      <c r="Z354" s="22"/>
      <c r="AA354" s="24"/>
      <c r="AB354" s="22"/>
      <c r="AC354" s="22"/>
      <c r="AD354" s="22"/>
      <c r="AE354" s="22"/>
      <c r="AF354" s="22"/>
      <c r="AG354" s="277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U354" s="22"/>
      <c r="AV354" s="22"/>
      <c r="AW354" s="22"/>
      <c r="AX354" s="22"/>
      <c r="AY354" s="22"/>
      <c r="AZ354" s="25"/>
      <c r="BA354" s="25"/>
      <c r="BB354" s="25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</row>
    <row r="355" customFormat="false" ht="12.75" hidden="false" customHeight="false" outlineLevel="0" collapsed="false">
      <c r="A355" s="39"/>
      <c r="B355" s="39"/>
      <c r="C355" s="22"/>
      <c r="D355" s="39"/>
      <c r="E355" s="39"/>
      <c r="F355" s="39"/>
      <c r="G355" s="286"/>
      <c r="H355" s="286"/>
      <c r="I355" s="286"/>
      <c r="J355" s="22"/>
      <c r="K355" s="22"/>
      <c r="L355" s="22"/>
      <c r="M355" s="22"/>
      <c r="N355" s="22"/>
      <c r="O355" s="285"/>
      <c r="P355" s="22"/>
      <c r="Q355" s="22"/>
      <c r="S355" s="22"/>
      <c r="T355" s="22"/>
      <c r="U355" s="22"/>
      <c r="V355" s="22"/>
      <c r="W355" s="22"/>
      <c r="X355" s="22"/>
      <c r="Y355" s="22"/>
      <c r="Z355" s="22"/>
      <c r="AA355" s="24"/>
      <c r="AB355" s="22"/>
      <c r="AC355" s="22"/>
      <c r="AD355" s="22"/>
      <c r="AE355" s="22"/>
      <c r="AF355" s="22"/>
      <c r="AG355" s="277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U355" s="22"/>
      <c r="AV355" s="22"/>
      <c r="AW355" s="22"/>
      <c r="AX355" s="22"/>
      <c r="AY355" s="22"/>
      <c r="AZ355" s="25"/>
      <c r="BA355" s="25"/>
      <c r="BB355" s="25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</row>
    <row r="356" customFormat="false" ht="12.75" hidden="false" customHeight="false" outlineLevel="0" collapsed="false">
      <c r="A356" s="39"/>
      <c r="B356" s="39"/>
      <c r="C356" s="22"/>
      <c r="D356" s="39"/>
      <c r="E356" s="39"/>
      <c r="F356" s="39"/>
      <c r="G356" s="286"/>
      <c r="H356" s="286"/>
      <c r="I356" s="286"/>
      <c r="J356" s="22"/>
      <c r="K356" s="286"/>
      <c r="L356" s="22"/>
      <c r="M356" s="22"/>
      <c r="N356" s="22"/>
      <c r="O356" s="285"/>
      <c r="P356" s="22"/>
      <c r="Q356" s="22"/>
      <c r="S356" s="22"/>
      <c r="T356" s="22"/>
      <c r="U356" s="22"/>
      <c r="V356" s="22"/>
      <c r="W356" s="22"/>
      <c r="X356" s="22"/>
      <c r="Y356" s="22"/>
      <c r="Z356" s="22"/>
      <c r="AA356" s="24"/>
      <c r="AB356" s="22"/>
      <c r="AC356" s="22"/>
      <c r="AD356" s="22"/>
      <c r="AE356" s="22"/>
      <c r="AF356" s="22"/>
      <c r="AG356" s="277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U356" s="22"/>
      <c r="AV356" s="22"/>
      <c r="AW356" s="22"/>
      <c r="AX356" s="22"/>
      <c r="AY356" s="22"/>
      <c r="AZ356" s="25"/>
      <c r="BA356" s="25"/>
      <c r="BB356" s="25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</row>
    <row r="357" customFormat="false" ht="12.75" hidden="false" customHeight="false" outlineLevel="0" collapsed="false">
      <c r="A357" s="39"/>
      <c r="B357" s="39"/>
      <c r="C357" s="22"/>
      <c r="D357" s="39"/>
      <c r="E357" s="39"/>
      <c r="F357" s="39"/>
      <c r="G357" s="286"/>
      <c r="H357" s="286"/>
      <c r="I357" s="286"/>
      <c r="J357" s="22"/>
      <c r="K357" s="286"/>
      <c r="L357" s="22"/>
      <c r="M357" s="22"/>
      <c r="N357" s="22"/>
      <c r="O357" s="285"/>
      <c r="P357" s="22"/>
      <c r="Q357" s="22"/>
      <c r="S357" s="22"/>
      <c r="T357" s="22"/>
      <c r="U357" s="22"/>
      <c r="V357" s="22"/>
      <c r="W357" s="22"/>
      <c r="X357" s="22"/>
      <c r="Y357" s="22"/>
      <c r="Z357" s="22"/>
      <c r="AA357" s="24"/>
      <c r="AB357" s="22"/>
      <c r="AC357" s="22"/>
      <c r="AD357" s="22"/>
      <c r="AE357" s="22"/>
      <c r="AF357" s="22"/>
      <c r="AG357" s="277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U357" s="22"/>
      <c r="AV357" s="22"/>
      <c r="AW357" s="22"/>
      <c r="AX357" s="22"/>
      <c r="AY357" s="22"/>
      <c r="AZ357" s="25"/>
      <c r="BA357" s="25"/>
      <c r="BB357" s="25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</row>
    <row r="358" customFormat="false" ht="12.75" hidden="false" customHeight="false" outlineLevel="0" collapsed="false">
      <c r="A358" s="39"/>
      <c r="B358" s="39"/>
      <c r="C358" s="22"/>
      <c r="D358" s="39"/>
      <c r="E358" s="39"/>
      <c r="F358" s="39"/>
      <c r="G358" s="286"/>
      <c r="H358" s="286"/>
      <c r="I358" s="286"/>
      <c r="J358" s="22"/>
      <c r="K358" s="286"/>
      <c r="L358" s="22"/>
      <c r="M358" s="22"/>
      <c r="N358" s="22"/>
      <c r="O358" s="285"/>
      <c r="P358" s="22"/>
      <c r="Q358" s="22"/>
      <c r="S358" s="22"/>
      <c r="T358" s="22"/>
      <c r="U358" s="22"/>
      <c r="V358" s="22"/>
      <c r="W358" s="22"/>
      <c r="X358" s="22"/>
      <c r="Y358" s="22"/>
      <c r="Z358" s="22"/>
      <c r="AA358" s="24"/>
      <c r="AB358" s="22"/>
      <c r="AC358" s="22"/>
      <c r="AD358" s="22"/>
      <c r="AE358" s="22"/>
      <c r="AF358" s="22"/>
      <c r="AG358" s="277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U358" s="22"/>
      <c r="AV358" s="22"/>
      <c r="AW358" s="22"/>
      <c r="AX358" s="22"/>
      <c r="AY358" s="22"/>
      <c r="AZ358" s="25"/>
      <c r="BA358" s="25"/>
      <c r="BB358" s="25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</row>
    <row r="359" customFormat="false" ht="12.75" hidden="false" customHeight="false" outlineLevel="0" collapsed="false">
      <c r="A359" s="39"/>
      <c r="B359" s="39"/>
      <c r="C359" s="22"/>
      <c r="D359" s="39"/>
      <c r="E359" s="39"/>
      <c r="F359" s="39"/>
      <c r="G359" s="286"/>
      <c r="H359" s="286"/>
      <c r="I359" s="286"/>
      <c r="J359" s="22"/>
      <c r="K359" s="286"/>
      <c r="L359" s="22"/>
      <c r="M359" s="22"/>
      <c r="N359" s="22"/>
      <c r="O359" s="285"/>
      <c r="P359" s="22"/>
      <c r="Q359" s="22"/>
      <c r="S359" s="22"/>
      <c r="T359" s="22"/>
      <c r="U359" s="22"/>
      <c r="V359" s="22"/>
      <c r="W359" s="22"/>
      <c r="X359" s="22"/>
      <c r="Y359" s="22"/>
      <c r="Z359" s="22"/>
      <c r="AA359" s="24"/>
      <c r="AB359" s="22"/>
      <c r="AC359" s="22"/>
      <c r="AD359" s="22"/>
      <c r="AE359" s="22"/>
      <c r="AF359" s="22"/>
      <c r="AG359" s="277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U359" s="22"/>
      <c r="AV359" s="22"/>
      <c r="AW359" s="22"/>
      <c r="AX359" s="22"/>
      <c r="AY359" s="22"/>
      <c r="AZ359" s="25"/>
      <c r="BA359" s="25"/>
      <c r="BB359" s="25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</row>
    <row r="360" customFormat="false" ht="12.75" hidden="false" customHeight="false" outlineLevel="0" collapsed="false">
      <c r="A360" s="39"/>
      <c r="B360" s="39"/>
      <c r="C360" s="22"/>
      <c r="D360" s="39"/>
      <c r="E360" s="39"/>
      <c r="F360" s="39"/>
      <c r="G360" s="286"/>
      <c r="H360" s="286"/>
      <c r="I360" s="286"/>
      <c r="J360" s="22"/>
      <c r="K360" s="286"/>
      <c r="L360" s="22"/>
      <c r="M360" s="22"/>
      <c r="N360" s="22"/>
      <c r="O360" s="285"/>
      <c r="P360" s="22"/>
      <c r="Q360" s="22"/>
      <c r="S360" s="22"/>
      <c r="T360" s="22"/>
      <c r="U360" s="22"/>
      <c r="V360" s="22"/>
      <c r="W360" s="22"/>
      <c r="X360" s="22"/>
      <c r="Y360" s="22"/>
      <c r="Z360" s="22"/>
      <c r="AA360" s="24"/>
      <c r="AB360" s="22"/>
      <c r="AC360" s="22"/>
      <c r="AD360" s="22"/>
      <c r="AE360" s="22"/>
      <c r="AF360" s="22"/>
      <c r="AG360" s="277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U360" s="22"/>
      <c r="AV360" s="22"/>
      <c r="AW360" s="22"/>
      <c r="AX360" s="22"/>
      <c r="AY360" s="22"/>
      <c r="AZ360" s="25"/>
      <c r="BA360" s="25"/>
      <c r="BB360" s="25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</row>
    <row r="361" customFormat="false" ht="12.75" hidden="false" customHeight="false" outlineLevel="0" collapsed="false">
      <c r="A361" s="39"/>
      <c r="B361" s="39"/>
      <c r="C361" s="22"/>
      <c r="D361" s="39"/>
      <c r="E361" s="39"/>
      <c r="F361" s="39"/>
      <c r="G361" s="286"/>
      <c r="H361" s="286"/>
      <c r="I361" s="286"/>
      <c r="J361" s="22"/>
      <c r="K361" s="286"/>
      <c r="L361" s="22"/>
      <c r="M361" s="22"/>
      <c r="N361" s="22"/>
      <c r="O361" s="285"/>
      <c r="P361" s="22"/>
      <c r="Q361" s="22"/>
      <c r="S361" s="22"/>
      <c r="T361" s="22"/>
      <c r="U361" s="22"/>
      <c r="V361" s="22"/>
      <c r="W361" s="22"/>
      <c r="X361" s="22"/>
      <c r="Y361" s="22"/>
      <c r="Z361" s="22"/>
      <c r="AA361" s="24"/>
      <c r="AB361" s="22"/>
      <c r="AC361" s="22"/>
      <c r="AD361" s="22"/>
      <c r="AE361" s="22"/>
      <c r="AF361" s="22"/>
      <c r="AG361" s="277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U361" s="22"/>
      <c r="AV361" s="22"/>
      <c r="AW361" s="22"/>
      <c r="AX361" s="22"/>
      <c r="AY361" s="22"/>
      <c r="AZ361" s="25"/>
      <c r="BA361" s="25"/>
      <c r="BB361" s="25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</row>
    <row r="362" customFormat="false" ht="12.75" hidden="false" customHeight="false" outlineLevel="0" collapsed="false">
      <c r="A362" s="39"/>
      <c r="B362" s="39"/>
      <c r="C362" s="22"/>
      <c r="D362" s="39"/>
      <c r="E362" s="39"/>
      <c r="F362" s="39"/>
      <c r="G362" s="287"/>
      <c r="H362" s="287"/>
      <c r="I362" s="286"/>
      <c r="J362" s="22"/>
      <c r="K362" s="286"/>
      <c r="L362" s="22"/>
      <c r="M362" s="22"/>
      <c r="N362" s="22"/>
      <c r="O362" s="285"/>
      <c r="P362" s="22"/>
      <c r="Q362" s="22"/>
      <c r="S362" s="22"/>
      <c r="T362" s="22"/>
      <c r="U362" s="22"/>
      <c r="V362" s="22"/>
      <c r="W362" s="22"/>
      <c r="X362" s="22"/>
      <c r="Y362" s="22"/>
      <c r="Z362" s="22"/>
      <c r="AA362" s="24"/>
      <c r="AB362" s="22"/>
      <c r="AC362" s="22"/>
      <c r="AD362" s="22"/>
      <c r="AE362" s="22"/>
      <c r="AF362" s="22"/>
      <c r="AG362" s="277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U362" s="22"/>
      <c r="AV362" s="22"/>
      <c r="AW362" s="22"/>
      <c r="AX362" s="22"/>
      <c r="AY362" s="22"/>
      <c r="AZ362" s="25"/>
      <c r="BA362" s="25"/>
      <c r="BB362" s="25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</row>
    <row r="363" customFormat="false" ht="12.75" hidden="false" customHeight="false" outlineLevel="0" collapsed="false">
      <c r="A363" s="39"/>
      <c r="B363" s="39"/>
      <c r="C363" s="22"/>
      <c r="D363" s="39"/>
      <c r="E363" s="39"/>
      <c r="F363" s="39"/>
      <c r="G363" s="22"/>
      <c r="H363" s="22"/>
      <c r="I363" s="287"/>
      <c r="J363" s="22"/>
      <c r="K363" s="287"/>
      <c r="L363" s="22"/>
      <c r="M363" s="22"/>
      <c r="N363" s="22"/>
      <c r="O363" s="285"/>
      <c r="P363" s="22"/>
      <c r="Q363" s="22"/>
      <c r="S363" s="22"/>
      <c r="T363" s="22"/>
      <c r="U363" s="22"/>
      <c r="V363" s="22"/>
      <c r="W363" s="22"/>
      <c r="X363" s="22"/>
      <c r="Y363" s="22"/>
      <c r="Z363" s="22"/>
      <c r="AA363" s="24"/>
      <c r="AB363" s="22"/>
      <c r="AC363" s="22"/>
      <c r="AD363" s="22"/>
      <c r="AE363" s="22"/>
      <c r="AF363" s="22"/>
      <c r="AG363" s="277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U363" s="22"/>
      <c r="AV363" s="22"/>
      <c r="AW363" s="22"/>
      <c r="AX363" s="22"/>
      <c r="AY363" s="22"/>
      <c r="AZ363" s="25"/>
      <c r="BA363" s="25"/>
      <c r="BB363" s="25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</row>
    <row r="364" customFormat="false" ht="12.75" hidden="false" customHeight="false" outlineLevel="0" collapsed="false">
      <c r="A364" s="39"/>
      <c r="B364" s="39"/>
      <c r="C364" s="22"/>
      <c r="D364" s="39"/>
      <c r="E364" s="39"/>
      <c r="F364" s="39"/>
      <c r="G364" s="22"/>
      <c r="H364" s="22"/>
      <c r="I364" s="22"/>
      <c r="J364" s="22"/>
      <c r="K364" s="22"/>
      <c r="L364" s="22"/>
      <c r="M364" s="22"/>
      <c r="N364" s="22"/>
      <c r="O364" s="285"/>
      <c r="P364" s="22"/>
      <c r="Q364" s="22"/>
      <c r="S364" s="22"/>
      <c r="T364" s="22"/>
      <c r="U364" s="22"/>
      <c r="V364" s="22"/>
      <c r="W364" s="22"/>
      <c r="X364" s="22"/>
      <c r="Y364" s="22"/>
      <c r="Z364" s="22"/>
      <c r="AA364" s="24"/>
      <c r="AB364" s="22"/>
      <c r="AC364" s="22"/>
      <c r="AD364" s="22"/>
      <c r="AE364" s="22"/>
      <c r="AF364" s="22"/>
      <c r="AG364" s="277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U364" s="22"/>
      <c r="AV364" s="22"/>
      <c r="AW364" s="22"/>
      <c r="AX364" s="22"/>
      <c r="AY364" s="22"/>
      <c r="AZ364" s="25"/>
      <c r="BA364" s="25"/>
      <c r="BB364" s="25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</row>
    <row r="365" customFormat="false" ht="12.75" hidden="false" customHeight="false" outlineLevel="0" collapsed="false">
      <c r="A365" s="39"/>
      <c r="B365" s="39"/>
      <c r="C365" s="22"/>
      <c r="D365" s="39"/>
      <c r="E365" s="39"/>
      <c r="F365" s="39"/>
      <c r="G365" s="22"/>
      <c r="H365" s="22"/>
      <c r="I365" s="22"/>
      <c r="J365" s="22"/>
      <c r="K365" s="22"/>
      <c r="L365" s="22"/>
      <c r="M365" s="22"/>
      <c r="N365" s="22"/>
      <c r="O365" s="285"/>
      <c r="P365" s="22"/>
      <c r="Q365" s="22"/>
      <c r="S365" s="22"/>
      <c r="T365" s="22"/>
      <c r="U365" s="22"/>
      <c r="V365" s="22"/>
      <c r="W365" s="22"/>
      <c r="X365" s="22"/>
      <c r="Y365" s="22"/>
      <c r="Z365" s="22"/>
      <c r="AA365" s="24"/>
      <c r="AB365" s="22"/>
      <c r="AC365" s="22"/>
      <c r="AD365" s="22"/>
      <c r="AE365" s="22"/>
      <c r="AF365" s="22"/>
      <c r="AG365" s="277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U365" s="22"/>
      <c r="AV365" s="22"/>
      <c r="AW365" s="22"/>
      <c r="AX365" s="22"/>
      <c r="AY365" s="22"/>
      <c r="AZ365" s="25"/>
      <c r="BA365" s="25"/>
      <c r="BB365" s="25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</row>
    <row r="366" customFormat="false" ht="12.75" hidden="false" customHeight="false" outlineLevel="0" collapsed="false">
      <c r="A366" s="39"/>
      <c r="B366" s="39"/>
      <c r="C366" s="22"/>
      <c r="D366" s="39"/>
      <c r="E366" s="39"/>
      <c r="F366" s="39"/>
      <c r="G366" s="22"/>
      <c r="H366" s="22"/>
      <c r="I366" s="22"/>
      <c r="J366" s="22"/>
      <c r="K366" s="22"/>
      <c r="L366" s="22"/>
      <c r="M366" s="22"/>
      <c r="N366" s="22"/>
      <c r="O366" s="285"/>
      <c r="P366" s="22"/>
      <c r="Q366" s="22"/>
      <c r="S366" s="22"/>
      <c r="T366" s="22"/>
      <c r="U366" s="22"/>
      <c r="V366" s="22"/>
      <c r="W366" s="22"/>
      <c r="X366" s="22"/>
      <c r="Y366" s="22"/>
      <c r="Z366" s="22"/>
      <c r="AA366" s="24"/>
      <c r="AB366" s="22"/>
      <c r="AC366" s="22"/>
      <c r="AD366" s="22"/>
      <c r="AE366" s="22"/>
      <c r="AF366" s="22"/>
      <c r="AG366" s="277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U366" s="22"/>
      <c r="AV366" s="22"/>
      <c r="AW366" s="22"/>
      <c r="AX366" s="22"/>
      <c r="AY366" s="22"/>
      <c r="AZ366" s="25"/>
      <c r="BA366" s="25"/>
      <c r="BB366" s="25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</row>
    <row r="367" customFormat="false" ht="12.75" hidden="false" customHeight="false" outlineLevel="0" collapsed="false">
      <c r="A367" s="39"/>
      <c r="B367" s="39"/>
      <c r="C367" s="22"/>
      <c r="D367" s="39"/>
      <c r="E367" s="39"/>
      <c r="F367" s="39"/>
      <c r="G367" s="22"/>
      <c r="H367" s="22"/>
      <c r="I367" s="22"/>
      <c r="J367" s="22"/>
      <c r="K367" s="22"/>
      <c r="L367" s="22"/>
      <c r="M367" s="22"/>
      <c r="N367" s="22"/>
      <c r="O367" s="285"/>
      <c r="P367" s="22"/>
      <c r="Q367" s="22"/>
      <c r="S367" s="22"/>
      <c r="T367" s="22"/>
      <c r="U367" s="22"/>
      <c r="V367" s="22"/>
      <c r="W367" s="22"/>
      <c r="X367" s="22"/>
      <c r="Y367" s="22"/>
      <c r="Z367" s="22"/>
      <c r="AA367" s="24"/>
      <c r="AB367" s="22"/>
      <c r="AC367" s="22"/>
      <c r="AD367" s="22"/>
      <c r="AE367" s="22"/>
      <c r="AF367" s="22"/>
      <c r="AG367" s="277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U367" s="22"/>
      <c r="AV367" s="22"/>
      <c r="AW367" s="22"/>
      <c r="AX367" s="22"/>
      <c r="AY367" s="22"/>
      <c r="AZ367" s="25"/>
      <c r="BA367" s="25"/>
      <c r="BB367" s="25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</row>
    <row r="368" customFormat="false" ht="12.75" hidden="false" customHeight="false" outlineLevel="0" collapsed="false">
      <c r="A368" s="39"/>
      <c r="B368" s="39"/>
      <c r="C368" s="22"/>
      <c r="D368" s="39"/>
      <c r="E368" s="39"/>
      <c r="F368" s="39"/>
      <c r="G368" s="22"/>
      <c r="H368" s="22"/>
      <c r="I368" s="22"/>
      <c r="J368" s="22"/>
      <c r="K368" s="22"/>
      <c r="L368" s="22"/>
      <c r="M368" s="22"/>
      <c r="N368" s="22"/>
      <c r="O368" s="285"/>
      <c r="P368" s="22"/>
      <c r="Q368" s="22"/>
      <c r="S368" s="22"/>
      <c r="T368" s="22"/>
      <c r="U368" s="22"/>
      <c r="V368" s="22"/>
      <c r="W368" s="22"/>
      <c r="X368" s="22"/>
      <c r="Y368" s="22"/>
      <c r="Z368" s="22"/>
      <c r="AA368" s="24"/>
      <c r="AB368" s="22"/>
      <c r="AC368" s="22"/>
      <c r="AD368" s="22"/>
      <c r="AE368" s="22"/>
      <c r="AF368" s="22"/>
      <c r="AG368" s="277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U368" s="22"/>
      <c r="AV368" s="22"/>
      <c r="AW368" s="22"/>
      <c r="AX368" s="22"/>
      <c r="AY368" s="22"/>
      <c r="AZ368" s="25"/>
      <c r="BA368" s="25"/>
      <c r="BB368" s="25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</row>
    <row r="369" customFormat="false" ht="12.75" hidden="false" customHeight="false" outlineLevel="0" collapsed="false">
      <c r="A369" s="39"/>
      <c r="B369" s="39"/>
      <c r="C369" s="22"/>
      <c r="D369" s="39"/>
      <c r="E369" s="39"/>
      <c r="F369" s="39"/>
      <c r="G369" s="22"/>
      <c r="H369" s="22"/>
      <c r="I369" s="22"/>
      <c r="J369" s="22"/>
      <c r="K369" s="22"/>
      <c r="L369" s="22"/>
      <c r="M369" s="22"/>
      <c r="N369" s="22"/>
      <c r="O369" s="285"/>
      <c r="P369" s="22"/>
      <c r="Q369" s="22"/>
      <c r="S369" s="22"/>
      <c r="T369" s="22"/>
      <c r="U369" s="22"/>
      <c r="V369" s="22"/>
      <c r="W369" s="22"/>
      <c r="X369" s="22"/>
      <c r="Y369" s="22"/>
      <c r="Z369" s="22"/>
      <c r="AA369" s="24"/>
      <c r="AB369" s="22"/>
      <c r="AC369" s="22"/>
      <c r="AD369" s="22"/>
      <c r="AE369" s="22"/>
      <c r="AF369" s="22"/>
      <c r="AG369" s="277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U369" s="22"/>
      <c r="AV369" s="22"/>
      <c r="AW369" s="22"/>
      <c r="AX369" s="22"/>
      <c r="AY369" s="22"/>
      <c r="AZ369" s="25"/>
      <c r="BA369" s="25"/>
      <c r="BB369" s="25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</row>
    <row r="370" customFormat="false" ht="12.75" hidden="false" customHeight="false" outlineLevel="0" collapsed="false">
      <c r="A370" s="39"/>
      <c r="B370" s="39"/>
      <c r="C370" s="22"/>
      <c r="D370" s="39"/>
      <c r="E370" s="39"/>
      <c r="F370" s="39"/>
      <c r="G370" s="22"/>
      <c r="H370" s="22"/>
      <c r="I370" s="22"/>
      <c r="J370" s="22"/>
      <c r="K370" s="22"/>
      <c r="L370" s="22"/>
      <c r="M370" s="22"/>
      <c r="N370" s="22"/>
      <c r="O370" s="285"/>
      <c r="P370" s="22"/>
      <c r="Q370" s="22"/>
      <c r="S370" s="22"/>
      <c r="T370" s="22"/>
      <c r="U370" s="22"/>
      <c r="V370" s="22"/>
      <c r="W370" s="22"/>
      <c r="X370" s="22"/>
      <c r="Y370" s="22"/>
      <c r="Z370" s="22"/>
      <c r="AA370" s="24"/>
      <c r="AB370" s="22"/>
      <c r="AC370" s="22"/>
      <c r="AD370" s="22"/>
      <c r="AE370" s="22"/>
      <c r="AF370" s="22"/>
      <c r="AG370" s="277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U370" s="22"/>
      <c r="AV370" s="22"/>
      <c r="AW370" s="22"/>
      <c r="AX370" s="22"/>
      <c r="AY370" s="22"/>
      <c r="AZ370" s="25"/>
      <c r="BA370" s="25"/>
      <c r="BB370" s="25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</row>
    <row r="371" customFormat="false" ht="12.75" hidden="false" customHeight="false" outlineLevel="0" collapsed="false">
      <c r="A371" s="39"/>
      <c r="B371" s="39"/>
      <c r="C371" s="22"/>
      <c r="D371" s="39"/>
      <c r="E371" s="39"/>
      <c r="F371" s="39"/>
      <c r="G371" s="22"/>
      <c r="H371" s="22"/>
      <c r="I371" s="22"/>
      <c r="J371" s="22"/>
      <c r="K371" s="22"/>
      <c r="L371" s="22"/>
      <c r="M371" s="22"/>
      <c r="N371" s="22"/>
      <c r="O371" s="285"/>
      <c r="P371" s="22"/>
      <c r="Q371" s="22"/>
      <c r="S371" s="22"/>
      <c r="T371" s="22"/>
      <c r="U371" s="22"/>
      <c r="V371" s="22"/>
      <c r="W371" s="22"/>
      <c r="X371" s="22"/>
      <c r="Y371" s="22"/>
      <c r="Z371" s="22"/>
      <c r="AA371" s="24"/>
      <c r="AB371" s="22"/>
      <c r="AC371" s="22"/>
      <c r="AD371" s="22"/>
      <c r="AE371" s="22"/>
      <c r="AF371" s="22"/>
      <c r="AG371" s="277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U371" s="22"/>
      <c r="AV371" s="22"/>
      <c r="AW371" s="22"/>
      <c r="AX371" s="22"/>
      <c r="AY371" s="22"/>
      <c r="AZ371" s="25"/>
      <c r="BA371" s="25"/>
      <c r="BB371" s="25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</row>
    <row r="372" customFormat="false" ht="12.75" hidden="false" customHeight="false" outlineLevel="0" collapsed="false">
      <c r="A372" s="39"/>
      <c r="B372" s="39"/>
      <c r="C372" s="22"/>
      <c r="D372" s="39"/>
      <c r="E372" s="39"/>
      <c r="F372" s="39"/>
      <c r="G372" s="22"/>
      <c r="H372" s="22"/>
      <c r="I372" s="22"/>
      <c r="J372" s="22"/>
      <c r="K372" s="22"/>
      <c r="L372" s="22"/>
      <c r="M372" s="22"/>
      <c r="N372" s="22"/>
      <c r="O372" s="285"/>
      <c r="P372" s="22"/>
      <c r="Q372" s="22"/>
      <c r="S372" s="22"/>
      <c r="T372" s="22"/>
      <c r="U372" s="22"/>
      <c r="V372" s="22"/>
      <c r="W372" s="22"/>
      <c r="X372" s="22"/>
      <c r="Y372" s="22"/>
      <c r="Z372" s="22"/>
      <c r="AA372" s="24"/>
      <c r="AB372" s="22"/>
      <c r="AC372" s="22"/>
      <c r="AD372" s="22"/>
      <c r="AE372" s="22"/>
      <c r="AF372" s="22"/>
      <c r="AG372" s="277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U372" s="22"/>
      <c r="AV372" s="22"/>
      <c r="AW372" s="22"/>
      <c r="AX372" s="22"/>
      <c r="AY372" s="22"/>
      <c r="AZ372" s="25"/>
      <c r="BA372" s="25"/>
      <c r="BB372" s="25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</row>
    <row r="373" customFormat="false" ht="12.75" hidden="false" customHeight="false" outlineLevel="0" collapsed="false">
      <c r="A373" s="39"/>
      <c r="B373" s="39"/>
      <c r="C373" s="22"/>
      <c r="D373" s="39"/>
      <c r="E373" s="39"/>
      <c r="F373" s="39"/>
      <c r="G373" s="22"/>
      <c r="H373" s="22"/>
      <c r="I373" s="22"/>
      <c r="J373" s="22"/>
      <c r="K373" s="22"/>
      <c r="L373" s="22"/>
      <c r="M373" s="22"/>
      <c r="N373" s="22"/>
      <c r="O373" s="285"/>
      <c r="P373" s="22"/>
      <c r="Q373" s="22"/>
      <c r="S373" s="22"/>
      <c r="T373" s="22"/>
      <c r="U373" s="22"/>
      <c r="V373" s="22"/>
      <c r="W373" s="22"/>
      <c r="X373" s="22"/>
      <c r="Y373" s="22"/>
      <c r="Z373" s="22"/>
      <c r="AA373" s="24"/>
      <c r="AB373" s="22"/>
      <c r="AC373" s="22"/>
      <c r="AD373" s="22"/>
      <c r="AE373" s="22"/>
      <c r="AF373" s="22"/>
      <c r="AG373" s="277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U373" s="22"/>
      <c r="AV373" s="22"/>
      <c r="AW373" s="22"/>
      <c r="AX373" s="22"/>
      <c r="AY373" s="22"/>
      <c r="AZ373" s="25"/>
      <c r="BA373" s="25"/>
      <c r="BB373" s="25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</row>
    <row r="374" customFormat="false" ht="12.75" hidden="false" customHeight="false" outlineLevel="0" collapsed="false">
      <c r="A374" s="39"/>
      <c r="B374" s="39"/>
      <c r="C374" s="22"/>
      <c r="D374" s="39"/>
      <c r="E374" s="39"/>
      <c r="F374" s="39"/>
      <c r="G374" s="22"/>
      <c r="H374" s="22"/>
      <c r="I374" s="22"/>
      <c r="J374" s="22"/>
      <c r="K374" s="22"/>
      <c r="L374" s="22"/>
      <c r="M374" s="22"/>
      <c r="N374" s="22"/>
      <c r="O374" s="285"/>
      <c r="P374" s="22"/>
      <c r="Q374" s="22"/>
      <c r="S374" s="22"/>
      <c r="T374" s="22"/>
      <c r="U374" s="22"/>
      <c r="V374" s="22"/>
      <c r="W374" s="22"/>
      <c r="X374" s="22"/>
      <c r="Y374" s="22"/>
      <c r="Z374" s="22"/>
      <c r="AA374" s="24"/>
      <c r="AB374" s="22"/>
      <c r="AC374" s="22"/>
      <c r="AD374" s="22"/>
      <c r="AE374" s="22"/>
      <c r="AF374" s="22"/>
      <c r="AG374" s="277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U374" s="22"/>
      <c r="AV374" s="22"/>
      <c r="AW374" s="22"/>
      <c r="AX374" s="22"/>
      <c r="AY374" s="22"/>
      <c r="AZ374" s="25"/>
      <c r="BA374" s="25"/>
      <c r="BB374" s="25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</row>
    <row r="375" customFormat="false" ht="12.75" hidden="false" customHeight="false" outlineLevel="0" collapsed="false">
      <c r="A375" s="39"/>
      <c r="B375" s="39"/>
      <c r="C375" s="22"/>
      <c r="D375" s="39"/>
      <c r="E375" s="39"/>
      <c r="F375" s="39"/>
      <c r="G375" s="22"/>
      <c r="H375" s="22"/>
      <c r="I375" s="22"/>
      <c r="J375" s="22"/>
      <c r="K375" s="22"/>
      <c r="L375" s="22"/>
      <c r="M375" s="22"/>
      <c r="N375" s="22"/>
      <c r="O375" s="285"/>
      <c r="P375" s="22"/>
      <c r="Q375" s="22"/>
      <c r="S375" s="22"/>
      <c r="T375" s="22"/>
      <c r="U375" s="22"/>
      <c r="V375" s="22"/>
      <c r="W375" s="22"/>
      <c r="X375" s="22"/>
      <c r="Y375" s="22"/>
      <c r="Z375" s="22"/>
      <c r="AA375" s="24"/>
      <c r="AB375" s="22"/>
      <c r="AC375" s="22"/>
      <c r="AD375" s="22"/>
      <c r="AE375" s="22"/>
      <c r="AF375" s="22"/>
      <c r="AG375" s="277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U375" s="22"/>
      <c r="AV375" s="22"/>
      <c r="AW375" s="22"/>
      <c r="AX375" s="22"/>
      <c r="AY375" s="22"/>
      <c r="AZ375" s="25"/>
      <c r="BA375" s="25"/>
      <c r="BB375" s="25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</row>
    <row r="376" customFormat="false" ht="12.75" hidden="false" customHeight="false" outlineLevel="0" collapsed="false">
      <c r="A376" s="39"/>
      <c r="B376" s="39"/>
      <c r="C376" s="22"/>
      <c r="D376" s="39"/>
      <c r="E376" s="39"/>
      <c r="F376" s="39"/>
      <c r="G376" s="22"/>
      <c r="H376" s="22"/>
      <c r="I376" s="22"/>
      <c r="J376" s="22"/>
      <c r="K376" s="22"/>
      <c r="L376" s="22"/>
      <c r="M376" s="22"/>
      <c r="N376" s="22"/>
      <c r="O376" s="285"/>
      <c r="P376" s="22"/>
      <c r="Q376" s="22"/>
      <c r="S376" s="22"/>
      <c r="T376" s="22"/>
      <c r="U376" s="22"/>
      <c r="V376" s="22"/>
      <c r="W376" s="22"/>
      <c r="X376" s="22"/>
      <c r="Y376" s="22"/>
      <c r="Z376" s="22"/>
      <c r="AA376" s="24"/>
      <c r="AB376" s="22"/>
      <c r="AC376" s="22"/>
      <c r="AD376" s="22"/>
      <c r="AE376" s="22"/>
      <c r="AF376" s="22"/>
      <c r="AG376" s="277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U376" s="22"/>
      <c r="AV376" s="22"/>
      <c r="AW376" s="22"/>
      <c r="AX376" s="22"/>
      <c r="AY376" s="22"/>
      <c r="AZ376" s="25"/>
      <c r="BA376" s="25"/>
      <c r="BB376" s="25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</row>
    <row r="377" customFormat="false" ht="12.75" hidden="false" customHeight="false" outlineLevel="0" collapsed="false">
      <c r="A377" s="39"/>
      <c r="B377" s="39"/>
      <c r="C377" s="22"/>
      <c r="D377" s="39"/>
      <c r="E377" s="39"/>
      <c r="F377" s="39"/>
      <c r="G377" s="22"/>
      <c r="H377" s="22"/>
      <c r="I377" s="22"/>
      <c r="J377" s="22"/>
      <c r="K377" s="22"/>
      <c r="L377" s="22"/>
      <c r="M377" s="22"/>
      <c r="N377" s="22"/>
      <c r="O377" s="285"/>
      <c r="P377" s="22"/>
      <c r="Q377" s="22"/>
      <c r="S377" s="22"/>
      <c r="T377" s="22"/>
      <c r="U377" s="22"/>
      <c r="V377" s="22"/>
      <c r="W377" s="22"/>
      <c r="X377" s="22"/>
      <c r="Y377" s="22"/>
      <c r="Z377" s="22"/>
      <c r="AA377" s="24"/>
      <c r="AB377" s="22"/>
      <c r="AC377" s="22"/>
      <c r="AD377" s="22"/>
      <c r="AE377" s="22"/>
      <c r="AF377" s="22"/>
      <c r="AG377" s="277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U377" s="22"/>
      <c r="AV377" s="22"/>
      <c r="AW377" s="22"/>
      <c r="AX377" s="22"/>
      <c r="AY377" s="22"/>
      <c r="AZ377" s="25"/>
      <c r="BA377" s="25"/>
      <c r="BB377" s="25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</row>
    <row r="378" customFormat="false" ht="12.75" hidden="false" customHeight="false" outlineLevel="0" collapsed="false">
      <c r="A378" s="39"/>
      <c r="B378" s="39"/>
      <c r="C378" s="22"/>
      <c r="D378" s="39"/>
      <c r="E378" s="39"/>
      <c r="F378" s="39"/>
      <c r="G378" s="22"/>
      <c r="H378" s="22"/>
      <c r="I378" s="22"/>
      <c r="J378" s="22"/>
      <c r="K378" s="22"/>
      <c r="L378" s="22"/>
      <c r="M378" s="22"/>
      <c r="N378" s="22"/>
      <c r="O378" s="285"/>
      <c r="P378" s="22"/>
      <c r="Q378" s="22"/>
      <c r="S378" s="22"/>
      <c r="T378" s="22"/>
      <c r="U378" s="22"/>
      <c r="V378" s="22"/>
      <c r="W378" s="22"/>
      <c r="X378" s="22"/>
      <c r="Y378" s="22"/>
      <c r="Z378" s="22"/>
      <c r="AA378" s="24"/>
      <c r="AB378" s="22"/>
      <c r="AC378" s="22"/>
      <c r="AD378" s="22"/>
      <c r="AE378" s="22"/>
      <c r="AF378" s="22"/>
      <c r="AG378" s="277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U378" s="22"/>
      <c r="AV378" s="22"/>
      <c r="AW378" s="22"/>
      <c r="AX378" s="22"/>
      <c r="AY378" s="22"/>
      <c r="AZ378" s="25"/>
      <c r="BA378" s="25"/>
      <c r="BB378" s="25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</row>
    <row r="379" customFormat="false" ht="12.75" hidden="false" customHeight="false" outlineLevel="0" collapsed="false">
      <c r="A379" s="39"/>
      <c r="B379" s="39"/>
      <c r="C379" s="22"/>
      <c r="D379" s="39"/>
      <c r="E379" s="39"/>
      <c r="F379" s="39"/>
      <c r="G379" s="22"/>
      <c r="H379" s="22"/>
      <c r="I379" s="22"/>
      <c r="J379" s="22"/>
      <c r="K379" s="22"/>
      <c r="L379" s="22"/>
      <c r="M379" s="22"/>
      <c r="N379" s="22"/>
      <c r="O379" s="285"/>
      <c r="P379" s="22"/>
      <c r="Q379" s="22"/>
      <c r="S379" s="22"/>
      <c r="T379" s="22"/>
      <c r="U379" s="22"/>
      <c r="V379" s="22"/>
      <c r="W379" s="22"/>
      <c r="X379" s="22"/>
      <c r="Y379" s="22"/>
      <c r="Z379" s="22"/>
      <c r="AA379" s="24"/>
      <c r="AB379" s="22"/>
      <c r="AC379" s="22"/>
      <c r="AD379" s="22"/>
      <c r="AE379" s="22"/>
      <c r="AF379" s="22"/>
      <c r="AG379" s="277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U379" s="22"/>
      <c r="AV379" s="22"/>
      <c r="AW379" s="22"/>
      <c r="AX379" s="22"/>
      <c r="AY379" s="22"/>
      <c r="AZ379" s="25"/>
      <c r="BA379" s="25"/>
      <c r="BB379" s="25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</row>
    <row r="380" customFormat="false" ht="12.75" hidden="false" customHeight="false" outlineLevel="0" collapsed="false">
      <c r="A380" s="39"/>
      <c r="B380" s="39"/>
      <c r="C380" s="22"/>
      <c r="D380" s="39"/>
      <c r="E380" s="39"/>
      <c r="F380" s="39"/>
      <c r="G380" s="22"/>
      <c r="H380" s="22"/>
      <c r="I380" s="22"/>
      <c r="J380" s="22"/>
      <c r="K380" s="22"/>
      <c r="L380" s="22"/>
      <c r="M380" s="22"/>
      <c r="N380" s="22"/>
      <c r="O380" s="285"/>
      <c r="P380" s="22"/>
      <c r="Q380" s="22"/>
      <c r="S380" s="22"/>
      <c r="T380" s="22"/>
      <c r="U380" s="22"/>
      <c r="V380" s="22"/>
      <c r="W380" s="22"/>
      <c r="X380" s="22"/>
      <c r="Y380" s="22"/>
      <c r="Z380" s="22"/>
      <c r="AA380" s="24"/>
      <c r="AB380" s="22"/>
      <c r="AC380" s="22"/>
      <c r="AD380" s="22"/>
      <c r="AE380" s="22"/>
      <c r="AF380" s="22"/>
      <c r="AG380" s="277"/>
      <c r="AH380" s="22"/>
      <c r="AI380" s="22"/>
      <c r="AJ380" s="22"/>
      <c r="AK380" s="22"/>
      <c r="AL380" s="22"/>
      <c r="AM380" s="22"/>
      <c r="AO380" s="22"/>
      <c r="AP380" s="22"/>
      <c r="AQ380" s="22"/>
      <c r="AR380" s="22"/>
      <c r="AS380" s="22"/>
      <c r="AU380" s="22"/>
      <c r="AV380" s="22"/>
      <c r="AW380" s="22"/>
      <c r="AX380" s="22"/>
      <c r="AY380" s="22"/>
      <c r="AZ380" s="25"/>
      <c r="BA380" s="25"/>
      <c r="BB380" s="25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</row>
    <row r="381" customFormat="false" ht="12.75" hidden="false" customHeight="false" outlineLevel="0" collapsed="false">
      <c r="A381" s="39"/>
      <c r="B381" s="39"/>
      <c r="C381" s="22"/>
      <c r="D381" s="39"/>
      <c r="E381" s="39"/>
      <c r="F381" s="39"/>
      <c r="G381" s="22"/>
      <c r="H381" s="22"/>
      <c r="I381" s="22"/>
      <c r="J381" s="22"/>
      <c r="K381" s="22"/>
      <c r="L381" s="22"/>
      <c r="M381" s="22"/>
      <c r="N381" s="22"/>
      <c r="O381" s="285"/>
      <c r="P381" s="22"/>
      <c r="Q381" s="22"/>
      <c r="S381" s="22"/>
      <c r="T381" s="22"/>
      <c r="U381" s="22"/>
      <c r="V381" s="22"/>
      <c r="W381" s="22"/>
      <c r="X381" s="22"/>
      <c r="Y381" s="22"/>
      <c r="Z381" s="22"/>
      <c r="AA381" s="24"/>
      <c r="AB381" s="22"/>
      <c r="AC381" s="22"/>
      <c r="AD381" s="22"/>
      <c r="AE381" s="22"/>
      <c r="AF381" s="22"/>
      <c r="AG381" s="277"/>
      <c r="AH381" s="22"/>
      <c r="AI381" s="22"/>
      <c r="AJ381" s="22"/>
      <c r="AK381" s="22"/>
      <c r="AL381" s="22"/>
      <c r="AM381" s="22"/>
      <c r="AO381" s="22"/>
      <c r="AP381" s="22"/>
      <c r="AQ381" s="22"/>
      <c r="AR381" s="22"/>
      <c r="AS381" s="22"/>
      <c r="AU381" s="22"/>
      <c r="AV381" s="22"/>
      <c r="AW381" s="22"/>
      <c r="AX381" s="22"/>
      <c r="AY381" s="22"/>
      <c r="AZ381" s="25"/>
      <c r="BA381" s="25"/>
      <c r="BB381" s="25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</row>
    <row r="382" customFormat="false" ht="12.75" hidden="false" customHeight="false" outlineLevel="0" collapsed="false">
      <c r="A382" s="39"/>
      <c r="B382" s="39"/>
      <c r="C382" s="22"/>
      <c r="D382" s="39"/>
      <c r="E382" s="39"/>
      <c r="F382" s="39"/>
      <c r="G382" s="22"/>
      <c r="H382" s="22"/>
      <c r="I382" s="22"/>
      <c r="J382" s="22"/>
      <c r="K382" s="22"/>
      <c r="L382" s="22"/>
      <c r="M382" s="22"/>
      <c r="N382" s="22"/>
      <c r="O382" s="285"/>
      <c r="P382" s="22"/>
      <c r="Q382" s="22"/>
      <c r="S382" s="22"/>
      <c r="T382" s="22"/>
      <c r="U382" s="22"/>
      <c r="V382" s="22"/>
      <c r="W382" s="22"/>
      <c r="X382" s="22"/>
      <c r="Y382" s="22"/>
      <c r="Z382" s="22"/>
      <c r="AA382" s="24"/>
      <c r="AB382" s="22"/>
      <c r="AC382" s="22"/>
      <c r="AD382" s="22"/>
      <c r="AE382" s="22"/>
      <c r="AF382" s="22"/>
      <c r="AG382" s="277"/>
      <c r="AH382" s="22"/>
      <c r="AI382" s="22"/>
      <c r="AJ382" s="22"/>
      <c r="AK382" s="22"/>
      <c r="AL382" s="22"/>
      <c r="AM382" s="22"/>
      <c r="AO382" s="22"/>
      <c r="AP382" s="22"/>
      <c r="AQ382" s="22"/>
      <c r="AR382" s="22"/>
      <c r="AS382" s="22"/>
      <c r="AU382" s="22"/>
      <c r="AV382" s="22"/>
      <c r="AW382" s="22"/>
      <c r="AX382" s="22"/>
      <c r="AY382" s="22"/>
      <c r="AZ382" s="25"/>
      <c r="BA382" s="25"/>
      <c r="BB382" s="25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</row>
    <row r="383" customFormat="false" ht="12.75" hidden="false" customHeight="false" outlineLevel="0" collapsed="false">
      <c r="O383" s="288"/>
    </row>
  </sheetData>
  <mergeCells count="2">
    <mergeCell ref="Y4:AD4"/>
    <mergeCell ref="M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2" activeCellId="0" sqref="F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6" min="6" style="374" width="9.14"/>
  </cols>
  <sheetData>
    <row r="1" customFormat="false" ht="15.75" hidden="false" customHeight="false" outlineLevel="0" collapsed="false">
      <c r="A1" s="365" t="s">
        <v>275</v>
      </c>
    </row>
    <row r="4" customFormat="false" ht="12.75" hidden="false" customHeight="false" outlineLevel="0" collapsed="false">
      <c r="A4" s="338" t="s">
        <v>276</v>
      </c>
      <c r="F4" s="375"/>
    </row>
    <row r="5" customFormat="false" ht="12.75" hidden="false" customHeight="false" outlineLevel="0" collapsed="false">
      <c r="A5" s="0" t="s">
        <v>277</v>
      </c>
      <c r="B5" s="376" t="n">
        <f aca="false">0.011212*277.37</f>
        <v>3.10987244</v>
      </c>
      <c r="C5" s="0" t="s">
        <v>94</v>
      </c>
      <c r="F5" s="372"/>
    </row>
    <row r="6" customFormat="false" ht="12.75" hidden="false" customHeight="false" outlineLevel="0" collapsed="false">
      <c r="A6" s="0" t="s">
        <v>278</v>
      </c>
      <c r="B6" s="376" t="n">
        <v>0.884028</v>
      </c>
      <c r="C6" s="0" t="s">
        <v>94</v>
      </c>
      <c r="F6" s="372"/>
    </row>
    <row r="7" customFormat="false" ht="12.75" hidden="false" customHeight="false" outlineLevel="0" collapsed="false">
      <c r="A7" s="0" t="s">
        <v>279</v>
      </c>
      <c r="B7" s="376" t="n">
        <f aca="false">0.000013*277.37</f>
        <v>0.00360581</v>
      </c>
      <c r="C7" s="0" t="s">
        <v>94</v>
      </c>
      <c r="F7" s="372"/>
    </row>
    <row r="8" customFormat="false" ht="12.75" hidden="false" customHeight="false" outlineLevel="0" collapsed="false">
      <c r="A8" s="0" t="s">
        <v>280</v>
      </c>
      <c r="B8" s="376" t="n">
        <f aca="false">0.000382*277.37+0.029064</f>
        <v>0.13501934</v>
      </c>
      <c r="C8" s="0" t="s">
        <v>94</v>
      </c>
      <c r="F8" s="372"/>
    </row>
    <row r="9" customFormat="false" ht="12.75" hidden="false" customHeight="false" outlineLevel="0" collapsed="false">
      <c r="A9" s="0" t="s">
        <v>247</v>
      </c>
      <c r="B9" s="376" t="n">
        <v>0.0022</v>
      </c>
      <c r="C9" s="0" t="s">
        <v>94</v>
      </c>
      <c r="F9" s="372"/>
    </row>
    <row r="10" customFormat="false" ht="12.75" hidden="false" customHeight="false" outlineLevel="0" collapsed="false">
      <c r="A10" s="0" t="s">
        <v>281</v>
      </c>
      <c r="B10" s="376" t="n">
        <v>0.007</v>
      </c>
      <c r="C10" s="0" t="s">
        <v>94</v>
      </c>
      <c r="F10" s="372"/>
    </row>
    <row r="11" customFormat="false" ht="12.75" hidden="false" customHeight="false" outlineLevel="0" collapsed="false">
      <c r="A11" s="0" t="s">
        <v>282</v>
      </c>
    </row>
    <row r="12" customFormat="false" ht="12.75" hidden="false" customHeight="false" outlineLevel="0" collapsed="false">
      <c r="A12" s="0" t="s">
        <v>283</v>
      </c>
    </row>
    <row r="14" customFormat="false" ht="12.75" hidden="false" customHeight="false" outlineLevel="0" collapsed="false">
      <c r="A14" s="338" t="s">
        <v>284</v>
      </c>
    </row>
    <row r="15" customFormat="false" ht="12.75" hidden="false" customHeight="false" outlineLevel="0" collapsed="false">
      <c r="A15" s="0" t="s">
        <v>277</v>
      </c>
      <c r="B15" s="376" t="n">
        <f aca="false">0.011212*612.46</f>
        <v>6.86690152</v>
      </c>
      <c r="C15" s="0" t="s">
        <v>94</v>
      </c>
      <c r="F15" s="372"/>
    </row>
    <row r="16" customFormat="false" ht="12.75" hidden="false" customHeight="false" outlineLevel="0" collapsed="false">
      <c r="A16" s="0" t="s">
        <v>278</v>
      </c>
      <c r="B16" s="376" t="n">
        <v>0.884028</v>
      </c>
      <c r="C16" s="0" t="s">
        <v>94</v>
      </c>
      <c r="F16" s="372"/>
    </row>
    <row r="17" customFormat="false" ht="12.75" hidden="false" customHeight="false" outlineLevel="0" collapsed="false">
      <c r="A17" s="0" t="s">
        <v>279</v>
      </c>
      <c r="B17" s="376" t="n">
        <f aca="false">0.000013*612.46</f>
        <v>0.00796198</v>
      </c>
      <c r="C17" s="0" t="s">
        <v>94</v>
      </c>
      <c r="F17" s="372"/>
    </row>
    <row r="18" customFormat="false" ht="12.75" hidden="false" customHeight="false" outlineLevel="0" collapsed="false">
      <c r="A18" s="0" t="s">
        <v>245</v>
      </c>
      <c r="B18" s="376" t="n">
        <f aca="false">0.000382*612.46+0.029064</f>
        <v>0.26302372</v>
      </c>
      <c r="C18" s="0" t="s">
        <v>94</v>
      </c>
      <c r="F18" s="372"/>
    </row>
    <row r="19" customFormat="false" ht="12.75" hidden="false" customHeight="false" outlineLevel="0" collapsed="false">
      <c r="A19" s="0" t="s">
        <v>247</v>
      </c>
      <c r="B19" s="376" t="n">
        <v>0.0022</v>
      </c>
      <c r="C19" s="0" t="s">
        <v>94</v>
      </c>
      <c r="F19" s="372"/>
    </row>
    <row r="20" customFormat="false" ht="12.75" hidden="false" customHeight="false" outlineLevel="0" collapsed="false">
      <c r="A20" s="0" t="s">
        <v>281</v>
      </c>
      <c r="B20" s="376" t="n">
        <v>0.007</v>
      </c>
      <c r="C20" s="0" t="s">
        <v>94</v>
      </c>
      <c r="F20" s="372"/>
    </row>
    <row r="22" customFormat="false" ht="12.75" hidden="false" customHeight="false" outlineLevel="0" collapsed="false">
      <c r="A22" s="338" t="s">
        <v>285</v>
      </c>
    </row>
    <row r="23" customFormat="false" ht="12.75" hidden="false" customHeight="false" outlineLevel="0" collapsed="false">
      <c r="A23" s="0" t="s">
        <v>277</v>
      </c>
      <c r="B23" s="376" t="n">
        <f aca="false">0.011212*335.09</f>
        <v>3.75702908</v>
      </c>
      <c r="C23" s="0" t="s">
        <v>94</v>
      </c>
      <c r="F23" s="372"/>
    </row>
    <row r="24" customFormat="false" ht="12.75" hidden="false" customHeight="false" outlineLevel="0" collapsed="false">
      <c r="A24" s="0" t="s">
        <v>278</v>
      </c>
      <c r="B24" s="376" t="n">
        <v>0.884028</v>
      </c>
      <c r="C24" s="0" t="s">
        <v>94</v>
      </c>
      <c r="F24" s="372"/>
    </row>
    <row r="25" customFormat="false" ht="12.75" hidden="false" customHeight="false" outlineLevel="0" collapsed="false">
      <c r="A25" s="0" t="s">
        <v>279</v>
      </c>
      <c r="B25" s="376" t="n">
        <f aca="false">0.000013*335.09</f>
        <v>0.00435617</v>
      </c>
      <c r="C25" s="0" t="s">
        <v>94</v>
      </c>
      <c r="F25" s="372"/>
    </row>
    <row r="26" customFormat="false" ht="12.75" hidden="false" customHeight="false" outlineLevel="0" collapsed="false">
      <c r="A26" s="0" t="s">
        <v>245</v>
      </c>
      <c r="B26" s="376" t="n">
        <f aca="false">0.000382*335.09+0.029064</f>
        <v>0.15706838</v>
      </c>
      <c r="C26" s="0" t="s">
        <v>94</v>
      </c>
      <c r="F26" s="372"/>
    </row>
    <row r="27" customFormat="false" ht="12.75" hidden="false" customHeight="false" outlineLevel="0" collapsed="false">
      <c r="A27" s="0" t="s">
        <v>247</v>
      </c>
      <c r="B27" s="376" t="n">
        <v>0.0022</v>
      </c>
      <c r="C27" s="0" t="s">
        <v>94</v>
      </c>
      <c r="F27" s="372"/>
    </row>
    <row r="28" customFormat="false" ht="12.75" hidden="false" customHeight="false" outlineLevel="0" collapsed="false">
      <c r="A28" s="0" t="s">
        <v>281</v>
      </c>
      <c r="B28" s="376" t="n">
        <v>0.007</v>
      </c>
      <c r="C28" s="0" t="s">
        <v>94</v>
      </c>
      <c r="F28" s="3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8"/>
  <sheetViews>
    <sheetView showFormulas="false" showGridLines="true" showRowColHeaders="true" showZeros="true" rightToLeft="false" tabSelected="false" showOutlineSymbols="true" defaultGridColor="true" view="normal" topLeftCell="A49" colorId="64" zoomScale="90" zoomScaleNormal="90" zoomScalePageLayoutView="100" workbookViewId="0">
      <selection pane="topLeft" activeCell="C65" activeCellId="0" sqref="C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8.99"/>
    <col collapsed="false" customWidth="true" hidden="false" outlineLevel="0" max="3" min="3" style="0" width="11.28"/>
    <col collapsed="false" customWidth="true" hidden="false" outlineLevel="0" max="5" min="5" style="289" width="9.14"/>
    <col collapsed="false" customWidth="true" hidden="false" outlineLevel="0" max="6" min="6" style="0" width="11.42"/>
  </cols>
  <sheetData>
    <row r="1" customFormat="false" ht="15.75" hidden="false" customHeight="false" outlineLevel="0" collapsed="false">
      <c r="A1" s="365" t="s">
        <v>286</v>
      </c>
    </row>
    <row r="2" customFormat="false" ht="15.75" hidden="false" customHeight="false" outlineLevel="0" collapsed="false">
      <c r="A2" s="365"/>
    </row>
    <row r="3" customFormat="false" ht="14.25" hidden="false" customHeight="false" outlineLevel="0" collapsed="false">
      <c r="A3" s="377" t="s">
        <v>287</v>
      </c>
      <c r="B3" s="377" t="n">
        <f aca="false">SummerSum!T4</f>
        <v>4.04065670264844</v>
      </c>
      <c r="C3" s="377" t="s">
        <v>93</v>
      </c>
      <c r="D3" s="377"/>
      <c r="E3" s="378"/>
      <c r="F3" s="377"/>
    </row>
    <row r="4" customFormat="false" ht="14.25" hidden="false" customHeight="false" outlineLevel="0" collapsed="false">
      <c r="A4" s="377" t="s">
        <v>288</v>
      </c>
      <c r="B4" s="377" t="n">
        <f aca="false">WinterSum!T4</f>
        <v>4.89678870611291</v>
      </c>
      <c r="C4" s="377" t="s">
        <v>93</v>
      </c>
      <c r="D4" s="377"/>
      <c r="E4" s="378"/>
      <c r="F4" s="377"/>
    </row>
    <row r="5" customFormat="false" ht="12.75" hidden="false" customHeight="false" outlineLevel="0" collapsed="false">
      <c r="A5" s="0" t="s">
        <v>289</v>
      </c>
      <c r="B5" s="379" t="n">
        <v>0.14</v>
      </c>
    </row>
    <row r="7" customFormat="false" ht="12.75" hidden="false" customHeight="false" outlineLevel="0" collapsed="false">
      <c r="E7" s="289" t="s">
        <v>290</v>
      </c>
      <c r="F7" s="293"/>
      <c r="G7" s="380"/>
    </row>
    <row r="8" customFormat="false" ht="12.75" hidden="false" customHeight="false" outlineLevel="0" collapsed="false">
      <c r="A8" s="338" t="s">
        <v>116</v>
      </c>
      <c r="B8" s="339" t="s">
        <v>93</v>
      </c>
      <c r="C8" s="338" t="s">
        <v>172</v>
      </c>
      <c r="E8" s="339" t="s">
        <v>93</v>
      </c>
      <c r="F8" s="338" t="s">
        <v>172</v>
      </c>
      <c r="G8" s="339"/>
    </row>
    <row r="9" customFormat="false" ht="12.75" hidden="false" customHeight="false" outlineLevel="0" collapsed="false">
      <c r="A9" s="0" t="s">
        <v>291</v>
      </c>
      <c r="B9" s="368" t="n">
        <f aca="false">5.59657*12/365</f>
        <v>0.183996821917808</v>
      </c>
      <c r="C9" s="297" t="n">
        <f aca="false">B9*1.055056/Summary!$B$4</f>
        <v>0.127960961995644</v>
      </c>
    </row>
    <row r="10" customFormat="false" ht="12.75" hidden="false" customHeight="false" outlineLevel="0" collapsed="false">
      <c r="A10" s="0" t="s">
        <v>292</v>
      </c>
      <c r="B10" s="368" t="n">
        <v>0.00797</v>
      </c>
      <c r="C10" s="297" t="n">
        <f aca="false">B10*1.055056/Summary!$B$4</f>
        <v>0.00554275262189502</v>
      </c>
      <c r="F10" s="338"/>
      <c r="G10" s="334"/>
      <c r="J10" s="338"/>
    </row>
    <row r="11" customFormat="false" ht="12.75" hidden="false" customHeight="false" outlineLevel="0" collapsed="false">
      <c r="A11" s="0" t="s">
        <v>293</v>
      </c>
      <c r="B11" s="368" t="n">
        <v>0.1536</v>
      </c>
      <c r="C11" s="297" t="n">
        <f aca="false">B11*1.055056/Summary!$B$4</f>
        <v>0.10682143070553</v>
      </c>
      <c r="D11" s="0" t="n">
        <f aca="false">$B$5*($B$4+'Nova&amp;ANG&amp;GLGT$'!$B$9)/('TCPL$'!$B$25+'TCPL$'!$B$26)*('TCPL$'!B9+'TCPL$'!B10)+0.04*'TCPL$'!B9+'TCPL$'!B10</f>
        <v>0.135359379292304</v>
      </c>
      <c r="E11" s="289" t="n">
        <f aca="false">IF(D11&lt;0.8*(B9+B10),0.8*(B9+B10),IF(D11&gt;1.2*(B9+B10),1.2*(B9+B10),D11))</f>
        <v>0.153573457534247</v>
      </c>
      <c r="F11" s="297" t="n">
        <f aca="false">E11*1.055056/Summary!$B$4</f>
        <v>0.106802971694031</v>
      </c>
      <c r="G11" s="381"/>
      <c r="H11" s="382"/>
      <c r="J11" s="374"/>
      <c r="K11" s="383"/>
      <c r="L11" s="382"/>
    </row>
    <row r="12" customFormat="false" ht="12.75" hidden="false" customHeight="false" outlineLevel="0" collapsed="false">
      <c r="B12" s="368"/>
      <c r="F12" s="374"/>
      <c r="G12" s="384"/>
      <c r="H12" s="289"/>
      <c r="K12" s="384"/>
      <c r="L12" s="289"/>
    </row>
    <row r="13" customFormat="false" ht="12.75" hidden="false" customHeight="false" outlineLevel="0" collapsed="false">
      <c r="B13" s="368"/>
      <c r="G13" s="289"/>
      <c r="H13" s="289"/>
      <c r="K13" s="289"/>
      <c r="L13" s="289"/>
    </row>
    <row r="14" customFormat="false" ht="12.75" hidden="false" customHeight="false" outlineLevel="0" collapsed="false">
      <c r="A14" s="338" t="s">
        <v>294</v>
      </c>
      <c r="B14" s="385"/>
      <c r="G14" s="289"/>
      <c r="H14" s="289"/>
      <c r="K14" s="289"/>
      <c r="L14" s="289"/>
    </row>
    <row r="15" customFormat="false" ht="12.75" hidden="false" customHeight="false" outlineLevel="0" collapsed="false">
      <c r="A15" s="0" t="s">
        <v>291</v>
      </c>
      <c r="B15" s="385" t="n">
        <f aca="false">11.87942*12/365</f>
        <v>0.390556273972603</v>
      </c>
      <c r="C15" s="297" t="n">
        <f aca="false">B15*1.055056/Summary!$B$4</f>
        <v>0.27161315076025</v>
      </c>
      <c r="F15" s="334"/>
      <c r="G15" s="386"/>
      <c r="H15" s="381"/>
      <c r="I15" s="334"/>
      <c r="J15" s="334"/>
      <c r="K15" s="381"/>
      <c r="L15" s="381"/>
    </row>
    <row r="16" customFormat="false" ht="12.75" hidden="false" customHeight="false" outlineLevel="0" collapsed="false">
      <c r="A16" s="0" t="s">
        <v>292</v>
      </c>
      <c r="B16" s="385" t="n">
        <v>0.01638</v>
      </c>
      <c r="C16" s="297" t="n">
        <f aca="false">B16*1.055056/Summary!$B$4</f>
        <v>0.0113915041338319</v>
      </c>
      <c r="F16" s="334"/>
      <c r="G16" s="324"/>
      <c r="H16" s="381"/>
      <c r="I16" s="334"/>
      <c r="J16" s="334"/>
      <c r="K16" s="381"/>
      <c r="L16" s="381"/>
    </row>
    <row r="17" customFormat="false" ht="12.75" hidden="false" customHeight="false" outlineLevel="0" collapsed="false">
      <c r="A17" s="0" t="s">
        <v>295</v>
      </c>
      <c r="B17" s="385" t="n">
        <f aca="false">0.1199*12/365</f>
        <v>0.00394191780821918</v>
      </c>
      <c r="C17" s="297" t="n">
        <f aca="false">B17*1.055056/Summary!$B$4</f>
        <v>0.00274141471352591</v>
      </c>
      <c r="F17" s="387"/>
      <c r="G17" s="388"/>
      <c r="H17" s="381"/>
      <c r="I17" s="334"/>
      <c r="J17" s="334"/>
      <c r="K17" s="324"/>
      <c r="L17" s="381"/>
    </row>
    <row r="18" customFormat="false" ht="12.75" hidden="false" customHeight="false" outlineLevel="0" collapsed="false">
      <c r="A18" s="0" t="s">
        <v>296</v>
      </c>
      <c r="B18" s="385" t="n">
        <f aca="false">0.16118*12/365</f>
        <v>0.00529906849315069</v>
      </c>
      <c r="C18" s="297" t="n">
        <f aca="false">B18*1.055056/Summary!$B$4</f>
        <v>0.00368524790263642</v>
      </c>
      <c r="F18" s="387"/>
      <c r="G18" s="389"/>
      <c r="H18" s="381"/>
      <c r="I18" s="334"/>
      <c r="J18" s="387"/>
      <c r="K18" s="388"/>
      <c r="L18" s="381"/>
    </row>
    <row r="19" customFormat="false" ht="12.75" hidden="false" customHeight="false" outlineLevel="0" collapsed="false">
      <c r="A19" s="0" t="s">
        <v>293</v>
      </c>
      <c r="B19" s="385" t="n">
        <v>0.3256</v>
      </c>
      <c r="C19" s="297" t="n">
        <f aca="false">B19*1.055056/Summary!$B$4</f>
        <v>0.226439178630994</v>
      </c>
      <c r="D19" s="0" t="n">
        <f aca="false">$B$5*($B$4+'Nova&amp;ANG&amp;GLGT$'!$B$9)/('TCPL$'!$B$25+'TCPL$'!$B$26)*('TCPL$'!B15+'TCPL$'!B16)+0.04*'TCPL$'!B15+'TCPL$'!B16</f>
        <v>0.286443928013102</v>
      </c>
      <c r="E19" s="289" t="n">
        <f aca="false">IF(D19&lt;0.8*(B15+B16),0.8*(B15+B16),IF(D19&gt;1.2*(B15+B16),1.2*(B15+B16),D19))</f>
        <v>0.325549019178082</v>
      </c>
      <c r="F19" s="297" t="n">
        <f aca="false">E19*1.055056/Summary!$B$4</f>
        <v>0.226403723915266</v>
      </c>
      <c r="G19" s="381"/>
      <c r="H19" s="334"/>
      <c r="I19" s="334"/>
      <c r="J19" s="387"/>
      <c r="K19" s="389"/>
      <c r="L19" s="381"/>
    </row>
    <row r="20" customFormat="false" ht="12.75" hidden="false" customHeight="false" outlineLevel="0" collapsed="false">
      <c r="A20" s="0" t="s">
        <v>297</v>
      </c>
      <c r="B20" s="301" t="n">
        <f aca="false">B17</f>
        <v>0.00394191780821918</v>
      </c>
      <c r="C20" s="297" t="n">
        <f aca="false">B20*1.055056/Summary!$B$4</f>
        <v>0.00274141471352591</v>
      </c>
      <c r="F20" s="334"/>
      <c r="G20" s="334"/>
      <c r="H20" s="334"/>
      <c r="I20" s="334"/>
      <c r="J20" s="334"/>
      <c r="K20" s="334"/>
      <c r="L20" s="334"/>
    </row>
    <row r="21" customFormat="false" ht="12.75" hidden="false" customHeight="false" outlineLevel="0" collapsed="false">
      <c r="A21" s="0" t="s">
        <v>298</v>
      </c>
      <c r="B21" s="301" t="n">
        <f aca="false">B18</f>
        <v>0.00529906849315069</v>
      </c>
      <c r="C21" s="297" t="n">
        <f aca="false">B21*1.055056/Summary!$B$4</f>
        <v>0.00368524790263642</v>
      </c>
      <c r="F21" s="334"/>
      <c r="G21" s="334"/>
      <c r="H21" s="334"/>
      <c r="I21" s="334"/>
      <c r="J21" s="334"/>
      <c r="K21" s="334"/>
      <c r="L21" s="334"/>
    </row>
    <row r="22" customFormat="false" ht="12.75" hidden="false" customHeight="false" outlineLevel="0" collapsed="false">
      <c r="B22" s="385"/>
      <c r="F22" s="387"/>
      <c r="G22" s="334"/>
      <c r="H22" s="334"/>
      <c r="I22" s="334"/>
      <c r="J22" s="387"/>
      <c r="K22" s="334"/>
      <c r="L22" s="334"/>
    </row>
    <row r="23" customFormat="false" ht="12.75" hidden="false" customHeight="false" outlineLevel="0" collapsed="false">
      <c r="B23" s="385"/>
      <c r="F23" s="390"/>
      <c r="G23" s="383"/>
      <c r="H23" s="391"/>
      <c r="I23" s="334"/>
      <c r="J23" s="390"/>
      <c r="K23" s="383"/>
      <c r="L23" s="391"/>
    </row>
    <row r="24" customFormat="false" ht="12.75" hidden="false" customHeight="false" outlineLevel="0" collapsed="false">
      <c r="A24" s="338" t="s">
        <v>299</v>
      </c>
      <c r="B24" s="385"/>
      <c r="F24" s="390"/>
      <c r="G24" s="384"/>
      <c r="H24" s="381"/>
      <c r="I24" s="334"/>
      <c r="J24" s="390"/>
      <c r="K24" s="384"/>
      <c r="L24" s="381"/>
    </row>
    <row r="25" customFormat="false" ht="12.75" hidden="false" customHeight="false" outlineLevel="0" collapsed="false">
      <c r="A25" s="0" t="s">
        <v>291</v>
      </c>
      <c r="B25" s="385" t="n">
        <f aca="false">32.99445*12/365</f>
        <v>1.08474904109589</v>
      </c>
      <c r="C25" s="297" t="n">
        <f aca="false">B25*1.055056/Summary!$B$4</f>
        <v>0.754390914884863</v>
      </c>
      <c r="F25" s="334"/>
      <c r="G25" s="381"/>
      <c r="H25" s="381"/>
      <c r="I25" s="334"/>
      <c r="J25" s="334"/>
      <c r="K25" s="381"/>
      <c r="L25" s="381"/>
    </row>
    <row r="26" customFormat="false" ht="12.75" hidden="false" customHeight="false" outlineLevel="0" collapsed="false">
      <c r="A26" s="0" t="s">
        <v>292</v>
      </c>
      <c r="B26" s="385" t="n">
        <v>0.04757</v>
      </c>
      <c r="C26" s="297" t="n">
        <f aca="false">B26*1.055056/Summary!$B$4</f>
        <v>0.0330826527256645</v>
      </c>
      <c r="F26" s="334"/>
      <c r="G26" s="381"/>
      <c r="H26" s="381"/>
      <c r="I26" s="334"/>
      <c r="J26" s="334"/>
      <c r="K26" s="381"/>
      <c r="L26" s="381"/>
    </row>
    <row r="27" customFormat="false" ht="12.75" hidden="false" customHeight="false" outlineLevel="0" collapsed="false">
      <c r="A27" s="0" t="s">
        <v>300</v>
      </c>
      <c r="B27" s="385" t="n">
        <f aca="false">0.11165*12/365</f>
        <v>0.00367068493150685</v>
      </c>
      <c r="C27" s="297" t="n">
        <f aca="false">B27*1.055056/Summary!$B$4</f>
        <v>0.00255278526076037</v>
      </c>
      <c r="F27" s="334"/>
      <c r="G27" s="381"/>
      <c r="H27" s="381"/>
      <c r="I27" s="392"/>
      <c r="J27" s="334"/>
      <c r="K27" s="381"/>
      <c r="L27" s="381"/>
    </row>
    <row r="28" customFormat="false" ht="12.75" hidden="false" customHeight="false" outlineLevel="0" collapsed="false">
      <c r="A28" s="0" t="s">
        <v>293</v>
      </c>
      <c r="B28" s="385" t="n">
        <v>0.9059</v>
      </c>
      <c r="C28" s="297" t="n">
        <f aca="false">B28*1.055056/Summary!$B$4</f>
        <v>0.630009987474868</v>
      </c>
      <c r="D28" s="0" t="n">
        <f aca="false">$B$5*($B$4+'Nova&amp;ANG&amp;GLGT$'!$B$9)/('TCPL$'!$B$25+'TCPL$'!$B$26)*('TCPL$'!B25+'TCPL$'!B26)+0.04*'TCPL$'!B25+'TCPL$'!B26</f>
        <v>0.798955719712423</v>
      </c>
      <c r="E28" s="289" t="n">
        <f aca="false">IF(D28&lt;0.8*(B25+B26),0.8*(B25+B26),IF(D28&gt;1.2*(B25+B26),1.2*(B25+B26),D28))</f>
        <v>0.905855232876712</v>
      </c>
      <c r="F28" s="297" t="n">
        <f aca="false">E28*1.055056/Summary!$B$4</f>
        <v>0.629978854088422</v>
      </c>
      <c r="G28" s="381"/>
      <c r="H28" s="381"/>
      <c r="I28" s="334"/>
      <c r="J28" s="334"/>
      <c r="K28" s="386"/>
      <c r="L28" s="381"/>
    </row>
    <row r="29" customFormat="false" ht="12.75" hidden="false" customHeight="false" outlineLevel="0" collapsed="false">
      <c r="A29" s="0" t="s">
        <v>301</v>
      </c>
      <c r="B29" s="301" t="n">
        <f aca="false">B27</f>
        <v>0.00367068493150685</v>
      </c>
      <c r="C29" s="297" t="n">
        <f aca="false">B29*1.055056/Summary!$B$4</f>
        <v>0.00255278526076037</v>
      </c>
      <c r="F29" s="334"/>
      <c r="G29" s="386"/>
      <c r="H29" s="381"/>
      <c r="I29" s="334"/>
      <c r="J29" s="334"/>
      <c r="K29" s="386"/>
      <c r="L29" s="381"/>
    </row>
    <row r="30" customFormat="false" ht="12.75" hidden="false" customHeight="false" outlineLevel="0" collapsed="false">
      <c r="A30" s="0" t="s">
        <v>302</v>
      </c>
      <c r="B30" s="385"/>
      <c r="C30" s="289" t="n">
        <v>0.02</v>
      </c>
      <c r="F30" s="334"/>
      <c r="G30" s="324"/>
      <c r="H30" s="381"/>
      <c r="I30" s="334"/>
      <c r="J30" s="334"/>
      <c r="K30" s="324"/>
      <c r="L30" s="381"/>
    </row>
    <row r="31" customFormat="false" ht="12.75" hidden="false" customHeight="false" outlineLevel="0" collapsed="false">
      <c r="B31" s="385"/>
      <c r="F31" s="387"/>
      <c r="G31" s="388"/>
      <c r="H31" s="381"/>
      <c r="I31" s="334"/>
      <c r="J31" s="387"/>
      <c r="K31" s="388"/>
      <c r="L31" s="381"/>
    </row>
    <row r="32" customFormat="false" ht="12.75" hidden="false" customHeight="false" outlineLevel="0" collapsed="false">
      <c r="B32" s="385"/>
      <c r="F32" s="387"/>
      <c r="G32" s="389"/>
      <c r="H32" s="381"/>
      <c r="I32" s="334"/>
      <c r="J32" s="387"/>
      <c r="K32" s="389"/>
      <c r="L32" s="381"/>
    </row>
    <row r="33" customFormat="false" ht="12.75" hidden="false" customHeight="false" outlineLevel="0" collapsed="false">
      <c r="A33" s="338" t="s">
        <v>119</v>
      </c>
      <c r="B33" s="385"/>
      <c r="F33" s="334"/>
      <c r="G33" s="334"/>
      <c r="H33" s="334"/>
      <c r="I33" s="334"/>
      <c r="J33" s="334"/>
      <c r="K33" s="334"/>
      <c r="L33" s="334"/>
    </row>
    <row r="34" customFormat="false" ht="12.75" hidden="false" customHeight="false" outlineLevel="0" collapsed="false">
      <c r="A34" s="0" t="s">
        <v>291</v>
      </c>
      <c r="B34" s="385" t="n">
        <f aca="false">33.24926*12/365</f>
        <v>1.09312635616438</v>
      </c>
      <c r="C34" s="297" t="n">
        <f aca="false">B34*1.055056/Summary!$B$4</f>
        <v>0.760216935595067</v>
      </c>
      <c r="F34" s="334"/>
      <c r="G34" s="334"/>
      <c r="H34" s="334"/>
      <c r="I34" s="334"/>
      <c r="J34" s="334"/>
      <c r="K34" s="334"/>
      <c r="L34" s="334"/>
    </row>
    <row r="35" customFormat="false" ht="12.75" hidden="false" customHeight="false" outlineLevel="0" collapsed="false">
      <c r="A35" s="0" t="s">
        <v>292</v>
      </c>
      <c r="B35" s="385" t="n">
        <v>0.04822</v>
      </c>
      <c r="C35" s="297" t="n">
        <f aca="false">B35*1.055056/Summary!$B$4</f>
        <v>0.0335346965404991</v>
      </c>
      <c r="F35" s="387"/>
      <c r="G35" s="334"/>
      <c r="H35" s="334"/>
      <c r="I35" s="334"/>
      <c r="J35" s="387"/>
      <c r="K35" s="334"/>
      <c r="L35" s="334"/>
    </row>
    <row r="36" customFormat="false" ht="12.75" hidden="false" customHeight="false" outlineLevel="0" collapsed="false">
      <c r="A36" s="0" t="s">
        <v>303</v>
      </c>
      <c r="B36" s="385" t="n">
        <f aca="false">0.09995*12/365</f>
        <v>0.00328602739726027</v>
      </c>
      <c r="C36" s="297" t="n">
        <f aca="false">B36*1.055056/Summary!$B$4</f>
        <v>0.00228527440047469</v>
      </c>
      <c r="F36" s="390"/>
      <c r="G36" s="383"/>
      <c r="H36" s="391"/>
      <c r="I36" s="334"/>
      <c r="J36" s="390"/>
      <c r="K36" s="383"/>
      <c r="L36" s="391"/>
    </row>
    <row r="37" customFormat="false" ht="12.75" hidden="false" customHeight="false" outlineLevel="0" collapsed="false">
      <c r="A37" s="0" t="s">
        <v>293</v>
      </c>
      <c r="B37" s="385" t="n">
        <v>0.9131</v>
      </c>
      <c r="C37" s="297" t="n">
        <f aca="false">B37*1.055056/Summary!$B$4</f>
        <v>0.63501724203919</v>
      </c>
      <c r="D37" s="0" t="n">
        <f aca="false">$B$5*($B$4+'Nova&amp;ANG&amp;GLGT$'!$B$9)/('TCPL$'!$B$25+'TCPL$'!$B$26)*('TCPL$'!B34+'TCPL$'!B35)+0.04*'TCPL$'!B34+'TCPL$'!B35</f>
        <v>0.805585246916436</v>
      </c>
      <c r="E37" s="289" t="n">
        <f aca="false">IF(D37&lt;0.8*(B34+B35),0.8*(B34+B35),IF(D37&gt;1.2*(B34+B35),1.2*(B34+B35),D37))</f>
        <v>0.913077084931507</v>
      </c>
      <c r="F37" s="297" t="n">
        <f aca="false">E37*1.055056/Summary!$B$4</f>
        <v>0.635001305708453</v>
      </c>
      <c r="G37" s="381"/>
      <c r="H37" s="381"/>
      <c r="I37" s="334"/>
      <c r="J37" s="390"/>
      <c r="K37" s="384"/>
      <c r="L37" s="381"/>
    </row>
    <row r="38" customFormat="false" ht="12.75" hidden="false" customHeight="false" outlineLevel="0" collapsed="false">
      <c r="A38" s="0" t="s">
        <v>301</v>
      </c>
      <c r="B38" s="301" t="n">
        <f aca="false">B36</f>
        <v>0.00328602739726027</v>
      </c>
      <c r="C38" s="297" t="n">
        <f aca="false">B38*1.055056/Summary!$B$4</f>
        <v>0.00228527440047469</v>
      </c>
      <c r="F38" s="334"/>
      <c r="G38" s="381"/>
      <c r="H38" s="381"/>
      <c r="I38" s="334"/>
      <c r="J38" s="334"/>
      <c r="K38" s="381"/>
      <c r="L38" s="381"/>
    </row>
    <row r="39" customFormat="false" ht="12.75" hidden="false" customHeight="false" outlineLevel="0" collapsed="false">
      <c r="B39" s="385"/>
      <c r="F39" s="334"/>
      <c r="G39" s="381"/>
      <c r="H39" s="381"/>
      <c r="I39" s="334"/>
      <c r="J39" s="334"/>
      <c r="K39" s="381"/>
      <c r="L39" s="381"/>
    </row>
    <row r="40" customFormat="false" ht="12.75" hidden="false" customHeight="false" outlineLevel="0" collapsed="false">
      <c r="B40" s="385"/>
      <c r="F40" s="334"/>
      <c r="G40" s="386"/>
      <c r="H40" s="381"/>
      <c r="I40" s="334"/>
      <c r="J40" s="334"/>
      <c r="K40" s="335"/>
      <c r="L40" s="381"/>
    </row>
    <row r="41" customFormat="false" ht="12.75" hidden="false" customHeight="false" outlineLevel="0" collapsed="false">
      <c r="A41" s="338" t="s">
        <v>304</v>
      </c>
      <c r="B41" s="385"/>
      <c r="F41" s="334"/>
      <c r="G41" s="324"/>
      <c r="H41" s="381"/>
      <c r="I41" s="334"/>
      <c r="J41" s="334"/>
      <c r="K41" s="324"/>
      <c r="L41" s="381"/>
    </row>
    <row r="42" customFormat="false" ht="12.75" hidden="false" customHeight="false" outlineLevel="0" collapsed="false">
      <c r="A42" s="0" t="s">
        <v>291</v>
      </c>
      <c r="B42" s="385" t="n">
        <f aca="false">33.32208*12/365</f>
        <v>1.09552043835616</v>
      </c>
      <c r="C42" s="297" t="n">
        <f aca="false">B42*1.055056/Summary!$B$4</f>
        <v>0.761881904898145</v>
      </c>
      <c r="F42" s="387"/>
      <c r="G42" s="388"/>
      <c r="H42" s="381"/>
      <c r="I42" s="334"/>
      <c r="J42" s="387"/>
      <c r="K42" s="388"/>
      <c r="L42" s="381"/>
    </row>
    <row r="43" customFormat="false" ht="12.75" hidden="false" customHeight="false" outlineLevel="0" collapsed="false">
      <c r="A43" s="0" t="s">
        <v>292</v>
      </c>
      <c r="B43" s="385" t="n">
        <v>0.04834</v>
      </c>
      <c r="C43" s="297" t="n">
        <f aca="false">B43*1.055056/Summary!$B$4</f>
        <v>0.0336181507832378</v>
      </c>
      <c r="F43" s="387"/>
      <c r="G43" s="389"/>
      <c r="H43" s="381"/>
      <c r="I43" s="334"/>
      <c r="J43" s="387"/>
      <c r="K43" s="389"/>
      <c r="L43" s="381"/>
    </row>
    <row r="44" customFormat="false" ht="12.75" hidden="false" customHeight="false" outlineLevel="0" collapsed="false">
      <c r="A44" s="0" t="s">
        <v>303</v>
      </c>
      <c r="B44" s="385" t="n">
        <f aca="false">0.77351*12/365</f>
        <v>0.0254304657534247</v>
      </c>
      <c r="C44" s="297" t="n">
        <f aca="false">B44*1.055056/Summary!$B$4</f>
        <v>0.0176856688495365</v>
      </c>
      <c r="F44" s="334"/>
      <c r="G44" s="334"/>
      <c r="H44" s="334"/>
      <c r="I44" s="334"/>
      <c r="J44" s="334"/>
      <c r="K44" s="334"/>
      <c r="L44" s="334"/>
    </row>
    <row r="45" customFormat="false" ht="12.75" hidden="false" customHeight="false" outlineLevel="0" collapsed="false">
      <c r="A45" s="0" t="s">
        <v>293</v>
      </c>
      <c r="B45" s="385" t="n">
        <v>0.9151</v>
      </c>
      <c r="C45" s="297" t="n">
        <f aca="false">B45*1.055056/Summary!$B$4</f>
        <v>0.636408146084835</v>
      </c>
      <c r="D45" s="0" t="n">
        <f aca="false">$B$5*($B$4+'Nova&amp;ANG&amp;GLGT$'!$B$9)/('TCPL$'!$B$25+'TCPL$'!$B$26)*('TCPL$'!B42+'TCPL$'!B43)+0.04*'TCPL$'!B42+'TCPL$'!B43</f>
        <v>0.807372969574758</v>
      </c>
      <c r="E45" s="289" t="n">
        <f aca="false">IF(D45&lt;0.8*(B42+B43),0.8*(B42+B43),IF(D45&gt;1.2*(B42+B43),1.2*(B42+B43),D45))</f>
        <v>0.915088350684932</v>
      </c>
      <c r="F45" s="297" t="n">
        <f aca="false">E45*1.055056/Summary!$B$4</f>
        <v>0.636400044545106</v>
      </c>
      <c r="G45" s="381"/>
      <c r="H45" s="334"/>
      <c r="I45" s="334"/>
      <c r="J45" s="334"/>
      <c r="K45" s="334"/>
      <c r="L45" s="334"/>
    </row>
    <row r="46" customFormat="false" ht="12.75" hidden="false" customHeight="false" outlineLevel="0" collapsed="false">
      <c r="A46" s="0" t="s">
        <v>301</v>
      </c>
      <c r="B46" s="301" t="n">
        <f aca="false">B44</f>
        <v>0.0254304657534247</v>
      </c>
      <c r="C46" s="297" t="n">
        <f aca="false">B46*1.055056/Summary!$B$4</f>
        <v>0.0176856688495365</v>
      </c>
      <c r="F46" s="387"/>
      <c r="G46" s="334"/>
      <c r="H46" s="334"/>
      <c r="I46" s="334"/>
      <c r="J46" s="387"/>
      <c r="K46" s="334"/>
      <c r="L46" s="334"/>
    </row>
    <row r="47" customFormat="false" ht="12.75" hidden="false" customHeight="false" outlineLevel="0" collapsed="false">
      <c r="B47" s="385"/>
      <c r="F47" s="390"/>
      <c r="G47" s="383"/>
      <c r="H47" s="391"/>
      <c r="I47" s="334"/>
      <c r="J47" s="390"/>
      <c r="K47" s="383"/>
      <c r="L47" s="391"/>
    </row>
    <row r="48" customFormat="false" ht="12.75" hidden="false" customHeight="false" outlineLevel="0" collapsed="false">
      <c r="B48" s="385"/>
      <c r="F48" s="390"/>
      <c r="G48" s="384"/>
      <c r="H48" s="381"/>
      <c r="I48" s="334"/>
      <c r="J48" s="390"/>
      <c r="K48" s="384"/>
      <c r="L48" s="381"/>
    </row>
    <row r="49" customFormat="false" ht="12.75" hidden="false" customHeight="false" outlineLevel="0" collapsed="false">
      <c r="A49" s="338" t="s">
        <v>121</v>
      </c>
      <c r="B49" s="385"/>
      <c r="F49" s="334"/>
      <c r="G49" s="381"/>
      <c r="H49" s="381"/>
      <c r="I49" s="334"/>
      <c r="J49" s="334"/>
      <c r="K49" s="381"/>
      <c r="L49" s="381"/>
    </row>
    <row r="50" customFormat="false" ht="12.75" hidden="false" customHeight="false" outlineLevel="0" collapsed="false">
      <c r="A50" s="0" t="s">
        <v>291</v>
      </c>
      <c r="B50" s="385" t="n">
        <f aca="false">33.27492*12/365</f>
        <v>1.09396997260274</v>
      </c>
      <c r="C50" s="297" t="n">
        <f aca="false">B50*1.055056/Summary!$B$4</f>
        <v>0.760803630353609</v>
      </c>
      <c r="F50" s="334"/>
      <c r="G50" s="381"/>
      <c r="H50" s="381"/>
      <c r="I50" s="334"/>
      <c r="J50" s="334"/>
      <c r="K50" s="381"/>
      <c r="L50" s="381"/>
    </row>
    <row r="51" customFormat="false" ht="12.75" hidden="false" customHeight="false" outlineLevel="0" collapsed="false">
      <c r="A51" s="0" t="s">
        <v>292</v>
      </c>
      <c r="B51" s="385" t="n">
        <v>0.04826</v>
      </c>
      <c r="C51" s="297" t="n">
        <f aca="false">B51*1.055056/Summary!$B$4</f>
        <v>0.033562514621412</v>
      </c>
      <c r="F51" s="334"/>
      <c r="G51" s="335"/>
      <c r="H51" s="381"/>
      <c r="I51" s="334"/>
      <c r="J51" s="334"/>
      <c r="K51" s="335"/>
      <c r="L51" s="381"/>
    </row>
    <row r="52" customFormat="false" ht="12.75" hidden="false" customHeight="false" outlineLevel="0" collapsed="false">
      <c r="A52" s="0" t="s">
        <v>303</v>
      </c>
      <c r="B52" s="385" t="n">
        <f aca="false">0.83454*12/365</f>
        <v>0.0274369315068493</v>
      </c>
      <c r="C52" s="297" t="n">
        <f aca="false">B52*1.055056/Summary!$B$4</f>
        <v>0.0190810695164797</v>
      </c>
      <c r="F52" s="334"/>
      <c r="G52" s="324"/>
      <c r="H52" s="381"/>
      <c r="I52" s="334"/>
      <c r="J52" s="334"/>
      <c r="K52" s="324"/>
      <c r="L52" s="381"/>
    </row>
    <row r="53" customFormat="false" ht="12.75" hidden="false" customHeight="false" outlineLevel="0" collapsed="false">
      <c r="A53" s="0" t="s">
        <v>293</v>
      </c>
      <c r="B53" s="385" t="n">
        <v>0.9138</v>
      </c>
      <c r="C53" s="297" t="n">
        <f aca="false">B53*1.055056/Summary!$B$4</f>
        <v>0.635504058455166</v>
      </c>
      <c r="D53" s="0" t="n">
        <f aca="false">$B$5*($B$4+'Nova&amp;ANG&amp;GLGT$'!$B$9)/('TCPL$'!$B$25+'TCPL$'!$B$26)*('TCPL$'!B50+'TCPL$'!B51)+0.04*'TCPL$'!B50+'TCPL$'!B51</f>
        <v>0.806211483113378</v>
      </c>
      <c r="E53" s="289" t="n">
        <f aca="false">IF(D53&lt;0.8*(B50+B51),0.8*(B50+B51),IF(D53&gt;1.2*(B50+B51),1.2*(B50+B51),D53))</f>
        <v>0.913783978082192</v>
      </c>
      <c r="F53" s="297" t="n">
        <f aca="false">E53*1.055056/Summary!$B$4</f>
        <v>0.635492915980016</v>
      </c>
      <c r="G53" s="381"/>
      <c r="H53" s="381"/>
      <c r="I53" s="334"/>
      <c r="J53" s="387"/>
      <c r="K53" s="388"/>
      <c r="L53" s="381"/>
    </row>
    <row r="54" customFormat="false" ht="12.75" hidden="false" customHeight="false" outlineLevel="0" collapsed="false">
      <c r="A54" s="0" t="s">
        <v>301</v>
      </c>
      <c r="B54" s="301" t="n">
        <f aca="false">B52</f>
        <v>0.0274369315068493</v>
      </c>
      <c r="C54" s="297" t="n">
        <f aca="false">B54*1.055056/Summary!$B$4</f>
        <v>0.0190810695164797</v>
      </c>
      <c r="F54" s="387"/>
      <c r="G54" s="389"/>
      <c r="H54" s="381"/>
      <c r="I54" s="334"/>
      <c r="J54" s="387"/>
      <c r="K54" s="389"/>
      <c r="L54" s="381"/>
    </row>
    <row r="55" customFormat="false" ht="12.75" hidden="false" customHeight="false" outlineLevel="0" collapsed="false">
      <c r="B55" s="393"/>
      <c r="F55" s="334"/>
      <c r="G55" s="334"/>
      <c r="H55" s="334"/>
      <c r="I55" s="334"/>
      <c r="J55" s="334"/>
      <c r="K55" s="334"/>
      <c r="L55" s="334"/>
    </row>
    <row r="56" customFormat="false" ht="12.75" hidden="false" customHeight="false" outlineLevel="0" collapsed="false">
      <c r="B56" s="393"/>
      <c r="F56" s="334"/>
      <c r="G56" s="334"/>
      <c r="H56" s="334"/>
      <c r="I56" s="334"/>
      <c r="J56" s="334"/>
      <c r="K56" s="334"/>
      <c r="L56" s="334"/>
    </row>
    <row r="57" customFormat="false" ht="12.75" hidden="false" customHeight="false" outlineLevel="0" collapsed="false">
      <c r="A57" s="338" t="s">
        <v>122</v>
      </c>
      <c r="B57" s="385"/>
      <c r="F57" s="387"/>
      <c r="G57" s="334"/>
      <c r="H57" s="334"/>
      <c r="I57" s="334"/>
      <c r="J57" s="387"/>
      <c r="K57" s="334"/>
      <c r="L57" s="334"/>
    </row>
    <row r="58" customFormat="false" ht="12.75" hidden="false" customHeight="false" outlineLevel="0" collapsed="false">
      <c r="A58" s="0" t="s">
        <v>291</v>
      </c>
      <c r="B58" s="385" t="n">
        <f aca="false">36.02381*12/365</f>
        <v>1.18434443835616</v>
      </c>
      <c r="C58" s="297" t="n">
        <f aca="false">B58*1.055056/Summary!$B$4</f>
        <v>0.823654735373327</v>
      </c>
      <c r="F58" s="390"/>
      <c r="G58" s="383"/>
      <c r="H58" s="391"/>
      <c r="I58" s="334"/>
      <c r="J58" s="390"/>
      <c r="K58" s="383"/>
      <c r="L58" s="391"/>
    </row>
    <row r="59" customFormat="false" ht="12.75" hidden="false" customHeight="false" outlineLevel="0" collapsed="false">
      <c r="A59" s="0" t="s">
        <v>292</v>
      </c>
      <c r="B59" s="385" t="n">
        <v>0.05236</v>
      </c>
      <c r="C59" s="297" t="n">
        <f aca="false">B59*1.055056/Summary!$B$4</f>
        <v>0.0364138679149841</v>
      </c>
      <c r="F59" s="390"/>
      <c r="G59" s="384"/>
      <c r="H59" s="381"/>
      <c r="I59" s="334"/>
      <c r="J59" s="390"/>
      <c r="K59" s="384"/>
      <c r="L59" s="381"/>
    </row>
    <row r="60" customFormat="false" ht="12.75" hidden="false" customHeight="false" outlineLevel="0" collapsed="false">
      <c r="A60" s="0" t="s">
        <v>303</v>
      </c>
      <c r="B60" s="385" t="n">
        <f aca="false">0*12/365</f>
        <v>0</v>
      </c>
      <c r="C60" s="297" t="n">
        <f aca="false">B60*1.055056/Summary!$B$4</f>
        <v>0</v>
      </c>
      <c r="F60" s="334"/>
      <c r="G60" s="381"/>
      <c r="H60" s="381"/>
      <c r="I60" s="334"/>
      <c r="J60" s="334"/>
      <c r="K60" s="381"/>
      <c r="L60" s="381"/>
    </row>
    <row r="61" customFormat="false" ht="12.75" hidden="false" customHeight="false" outlineLevel="0" collapsed="false">
      <c r="A61" s="0" t="s">
        <v>293</v>
      </c>
      <c r="B61" s="385" t="n">
        <v>0.9894</v>
      </c>
      <c r="C61" s="297" t="n">
        <f aca="false">B61*1.055056/Summary!$B$4</f>
        <v>0.688080231380544</v>
      </c>
      <c r="D61" s="0" t="n">
        <f aca="false">$B$5*($B$4+'Nova&amp;ANG&amp;GLGT$'!$B$9)/('TCPL$'!$B$25+'TCPL$'!$B$26)*('TCPL$'!B58+'TCPL$'!B59)+0.04*'TCPL$'!B58+'TCPL$'!B59</f>
        <v>0.872997729267626</v>
      </c>
      <c r="E61" s="289" t="n">
        <f aca="false">IF(D61&lt;0.8*(B58+B59),0.8*(B58+B59),IF(D61&gt;1.2*(B58+B59),1.2*(B58+B59),D61))</f>
        <v>0.989363550684931</v>
      </c>
      <c r="F61" s="297" t="n">
        <f aca="false">E61*1.055056/Summary!$B$4</f>
        <v>0.688054882630649</v>
      </c>
      <c r="G61" s="381"/>
      <c r="H61" s="381"/>
      <c r="I61" s="334"/>
      <c r="J61" s="334"/>
      <c r="K61" s="381"/>
      <c r="L61" s="381"/>
    </row>
    <row r="62" customFormat="false" ht="12.75" hidden="false" customHeight="false" outlineLevel="0" collapsed="false">
      <c r="A62" s="0" t="s">
        <v>301</v>
      </c>
      <c r="B62" s="301" t="n">
        <f aca="false">B60</f>
        <v>0</v>
      </c>
      <c r="C62" s="297" t="n">
        <f aca="false">B62*1.055056/Summary!$B$4</f>
        <v>0</v>
      </c>
      <c r="F62" s="334"/>
      <c r="G62" s="335"/>
      <c r="H62" s="381"/>
      <c r="I62" s="334"/>
      <c r="J62" s="334"/>
      <c r="K62" s="335"/>
      <c r="L62" s="381"/>
    </row>
    <row r="63" customFormat="false" ht="12.75" hidden="false" customHeight="false" outlineLevel="0" collapsed="false">
      <c r="B63" s="393"/>
      <c r="F63" s="334"/>
      <c r="G63" s="324"/>
      <c r="H63" s="381"/>
      <c r="I63" s="334"/>
      <c r="J63" s="334"/>
      <c r="K63" s="324"/>
      <c r="L63" s="289"/>
    </row>
    <row r="64" customFormat="false" ht="12.75" hidden="false" customHeight="false" outlineLevel="0" collapsed="false">
      <c r="B64" s="393"/>
      <c r="F64" s="387"/>
      <c r="G64" s="388"/>
      <c r="H64" s="381"/>
      <c r="I64" s="334"/>
      <c r="J64" s="387"/>
      <c r="K64" s="388"/>
      <c r="L64" s="289"/>
    </row>
    <row r="65" customFormat="false" ht="12.75" hidden="false" customHeight="false" outlineLevel="0" collapsed="false">
      <c r="A65" s="338" t="s">
        <v>305</v>
      </c>
      <c r="B65" s="385"/>
      <c r="F65" s="387"/>
      <c r="G65" s="389"/>
      <c r="H65" s="381"/>
      <c r="I65" s="334"/>
      <c r="J65" s="387"/>
      <c r="K65" s="389"/>
      <c r="L65" s="289"/>
    </row>
    <row r="66" customFormat="false" ht="12.75" hidden="false" customHeight="false" outlineLevel="0" collapsed="false">
      <c r="A66" s="0" t="s">
        <v>291</v>
      </c>
      <c r="B66" s="385" t="n">
        <f aca="false">28.69853*12/365</f>
        <v>0.943513315068493</v>
      </c>
      <c r="C66" s="297" t="n">
        <f aca="false">B66*1.055056/Summary!$B$4</f>
        <v>0.65616824352431</v>
      </c>
      <c r="F66" s="334"/>
      <c r="G66" s="334"/>
      <c r="H66" s="334"/>
      <c r="I66" s="334"/>
      <c r="J66" s="334"/>
      <c r="K66" s="334"/>
    </row>
    <row r="67" customFormat="false" ht="12.75" hidden="false" customHeight="false" outlineLevel="0" collapsed="false">
      <c r="A67" s="0" t="s">
        <v>292</v>
      </c>
      <c r="B67" s="385" t="n">
        <v>0.04144</v>
      </c>
      <c r="C67" s="297" t="n">
        <f aca="false">B67*1.055056/Summary!$B$4</f>
        <v>0.0288195318257628</v>
      </c>
      <c r="F67" s="334"/>
      <c r="G67" s="334"/>
      <c r="H67" s="334"/>
      <c r="I67" s="334"/>
      <c r="J67" s="334"/>
      <c r="K67" s="334"/>
    </row>
    <row r="68" customFormat="false" ht="12.75" hidden="false" customHeight="false" outlineLevel="0" collapsed="false">
      <c r="A68" s="0" t="s">
        <v>303</v>
      </c>
      <c r="B68" s="385" t="n">
        <f aca="false">0*12/365</f>
        <v>0</v>
      </c>
      <c r="C68" s="297" t="n">
        <f aca="false">B68*1.055056/Summary!$B$4</f>
        <v>0</v>
      </c>
      <c r="F68" s="387"/>
      <c r="G68" s="334"/>
      <c r="H68" s="334"/>
      <c r="I68" s="334"/>
      <c r="J68" s="387"/>
      <c r="K68" s="334"/>
    </row>
    <row r="69" customFormat="false" ht="12.75" hidden="false" customHeight="false" outlineLevel="0" collapsed="false">
      <c r="A69" s="0" t="s">
        <v>293</v>
      </c>
      <c r="B69" s="385" t="n">
        <v>0.788</v>
      </c>
      <c r="C69" s="297" t="n">
        <f aca="false">B69*1.055056/Summary!$B$4</f>
        <v>0.5480161939841</v>
      </c>
      <c r="D69" s="0" t="n">
        <f aca="false">$B$5*($B$4+'Nova&amp;ANG&amp;GLGT$'!$B$9)/('TCPL$'!$B$25+'TCPL$'!$B$26)*('TCPL$'!B66+'TCPL$'!B67)+0.04*'TCPL$'!B66+'TCPL$'!B67</f>
        <v>0.695034142455647</v>
      </c>
      <c r="E69" s="289" t="n">
        <f aca="false">IF(D69&lt;0.8*(B66+B67),0.8*(B66+B67),IF(D69&gt;1.2*(B66+B67),1.2*(B66+B67),D69))</f>
        <v>0.787962652054795</v>
      </c>
      <c r="F69" s="297" t="n">
        <f aca="false">E69*1.055056/Summary!$B$4</f>
        <v>0.547990220280059</v>
      </c>
      <c r="G69" s="381"/>
      <c r="H69" s="391"/>
      <c r="I69" s="334"/>
      <c r="J69" s="390"/>
      <c r="K69" s="383"/>
      <c r="L69" s="391"/>
    </row>
    <row r="70" customFormat="false" ht="12.75" hidden="false" customHeight="false" outlineLevel="0" collapsed="false">
      <c r="A70" s="0" t="s">
        <v>301</v>
      </c>
      <c r="B70" s="301" t="n">
        <f aca="false">B68</f>
        <v>0</v>
      </c>
      <c r="C70" s="297" t="n">
        <f aca="false">B70*1.055056/Summary!$B$4</f>
        <v>0</v>
      </c>
      <c r="F70" s="390"/>
      <c r="G70" s="384"/>
      <c r="H70" s="381"/>
      <c r="I70" s="334"/>
      <c r="J70" s="390"/>
      <c r="K70" s="384"/>
      <c r="L70" s="381"/>
    </row>
    <row r="71" customFormat="false" ht="12.75" hidden="false" customHeight="false" outlineLevel="0" collapsed="false">
      <c r="B71" s="393"/>
      <c r="F71" s="334"/>
      <c r="G71" s="381"/>
      <c r="H71" s="381"/>
      <c r="I71" s="334"/>
      <c r="J71" s="334"/>
      <c r="K71" s="381"/>
      <c r="L71" s="381"/>
    </row>
    <row r="72" customFormat="false" ht="12.75" hidden="false" customHeight="false" outlineLevel="0" collapsed="false">
      <c r="B72" s="393"/>
      <c r="F72" s="334"/>
      <c r="G72" s="381"/>
      <c r="H72" s="381"/>
      <c r="I72" s="334"/>
      <c r="J72" s="334"/>
      <c r="K72" s="381"/>
      <c r="L72" s="381"/>
    </row>
    <row r="73" customFormat="false" ht="12.75" hidden="false" customHeight="false" outlineLevel="0" collapsed="false">
      <c r="A73" s="338" t="s">
        <v>126</v>
      </c>
      <c r="B73" s="368"/>
      <c r="F73" s="334"/>
      <c r="G73" s="335"/>
      <c r="H73" s="381"/>
      <c r="I73" s="334"/>
      <c r="J73" s="334"/>
      <c r="K73" s="335"/>
      <c r="L73" s="381"/>
    </row>
    <row r="74" customFormat="false" ht="12.75" hidden="false" customHeight="false" outlineLevel="0" collapsed="false">
      <c r="A74" s="0" t="s">
        <v>291</v>
      </c>
      <c r="B74" s="368" t="n">
        <f aca="false">32.99445*12/365</f>
        <v>1.08474904109589</v>
      </c>
      <c r="C74" s="297" t="n">
        <f aca="false">B74*1.055056/Summary!$B$4</f>
        <v>0.754390914884863</v>
      </c>
      <c r="F74" s="334"/>
      <c r="G74" s="324"/>
      <c r="H74" s="381"/>
      <c r="I74" s="334"/>
      <c r="J74" s="334"/>
      <c r="K74" s="324"/>
      <c r="L74" s="289"/>
    </row>
    <row r="75" customFormat="false" ht="12.75" hidden="false" customHeight="false" outlineLevel="0" collapsed="false">
      <c r="A75" s="0" t="s">
        <v>292</v>
      </c>
      <c r="B75" s="368" t="n">
        <v>0.04757</v>
      </c>
      <c r="C75" s="297" t="n">
        <f aca="false">B75*1.055056/Summary!$B$4</f>
        <v>0.0330826527256645</v>
      </c>
      <c r="F75" s="387"/>
      <c r="G75" s="388"/>
      <c r="H75" s="381"/>
      <c r="I75" s="334"/>
      <c r="J75" s="387"/>
      <c r="K75" s="388"/>
      <c r="L75" s="289"/>
    </row>
    <row r="76" customFormat="false" ht="12.75" hidden="false" customHeight="false" outlineLevel="0" collapsed="false">
      <c r="A76" s="0" t="s">
        <v>303</v>
      </c>
      <c r="B76" s="368" t="n">
        <f aca="false">0*12/365</f>
        <v>0</v>
      </c>
      <c r="C76" s="297" t="n">
        <f aca="false">B76*1.055056/Summary!$B$4</f>
        <v>0</v>
      </c>
      <c r="F76" s="387"/>
      <c r="G76" s="389"/>
      <c r="H76" s="381"/>
      <c r="I76" s="334"/>
      <c r="J76" s="387"/>
      <c r="K76" s="389"/>
      <c r="L76" s="289"/>
    </row>
    <row r="77" customFormat="false" ht="12.75" hidden="false" customHeight="false" outlineLevel="0" collapsed="false">
      <c r="A77" s="0" t="s">
        <v>293</v>
      </c>
      <c r="B77" s="368" t="n">
        <v>0.9059</v>
      </c>
      <c r="C77" s="297" t="n">
        <f aca="false">B77*1.055056/Summary!$B$4</f>
        <v>0.630009987474868</v>
      </c>
      <c r="D77" s="0" t="n">
        <f aca="false">$B$5*($B$4+'Nova&amp;ANG&amp;GLGT$'!$B$9)/('TCPL$'!$B$25+'TCPL$'!$B$26)*('TCPL$'!B74+'TCPL$'!B75)+0.04*'TCPL$'!B74+'TCPL$'!B75</f>
        <v>0.798955719712423</v>
      </c>
      <c r="E77" s="289" t="n">
        <f aca="false">IF(D77&lt;0.8*(B74+B75),0.8*(B74+B75),IF(D77&gt;1.2*(B74+B75),1.2*(B74+B75),D77))</f>
        <v>0.905855232876712</v>
      </c>
      <c r="F77" s="297" t="n">
        <f aca="false">E77*1.055056/Summary!$B$4</f>
        <v>0.629978854088422</v>
      </c>
      <c r="G77" s="381"/>
      <c r="H77" s="334"/>
      <c r="I77" s="334"/>
      <c r="J77" s="334"/>
      <c r="K77" s="334"/>
    </row>
    <row r="78" customFormat="false" ht="12.75" hidden="false" customHeight="false" outlineLevel="0" collapsed="false">
      <c r="A78" s="0" t="s">
        <v>301</v>
      </c>
      <c r="B78" s="300" t="n">
        <f aca="false">B76</f>
        <v>0</v>
      </c>
      <c r="C78" s="297" t="n">
        <f aca="false">B78*1.055056/Summary!$B$4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41"/>
  </cols>
  <sheetData>
    <row r="1" customFormat="false" ht="18" hidden="false" customHeight="false" outlineLevel="0" collapsed="false">
      <c r="A1" s="290" t="s">
        <v>90</v>
      </c>
    </row>
    <row r="2" customFormat="false" ht="15" hidden="false" customHeight="false" outlineLevel="0" collapsed="false">
      <c r="A2" s="346" t="s">
        <v>105</v>
      </c>
      <c r="B2" s="338" t="s">
        <v>306</v>
      </c>
    </row>
    <row r="3" customFormat="false" ht="12.75" hidden="false" customHeight="false" outlineLevel="0" collapsed="false">
      <c r="A3" s="334" t="s">
        <v>112</v>
      </c>
      <c r="B3" s="0" t="s">
        <v>307</v>
      </c>
    </row>
    <row r="4" customFormat="false" ht="12.75" hidden="false" customHeight="false" outlineLevel="0" collapsed="false">
      <c r="A4" s="334" t="s">
        <v>113</v>
      </c>
      <c r="B4" s="0" t="s">
        <v>308</v>
      </c>
    </row>
    <row r="5" customFormat="false" ht="12.75" hidden="false" customHeight="false" outlineLevel="0" collapsed="false">
      <c r="A5" s="334" t="s">
        <v>114</v>
      </c>
      <c r="B5" s="0" t="s">
        <v>309</v>
      </c>
    </row>
    <row r="6" customFormat="false" ht="12.75" hidden="false" customHeight="false" outlineLevel="0" collapsed="false">
      <c r="A6" s="334" t="s">
        <v>115</v>
      </c>
      <c r="B6" s="0" t="s">
        <v>310</v>
      </c>
    </row>
    <row r="7" customFormat="false" ht="12.75" hidden="false" customHeight="false" outlineLevel="0" collapsed="false">
      <c r="A7" s="334" t="s">
        <v>116</v>
      </c>
      <c r="B7" s="0" t="s">
        <v>311</v>
      </c>
    </row>
    <row r="8" customFormat="false" ht="12.75" hidden="false" customHeight="false" outlineLevel="0" collapsed="false">
      <c r="A8" s="334" t="s">
        <v>117</v>
      </c>
      <c r="B8" s="0" t="s">
        <v>312</v>
      </c>
    </row>
    <row r="9" customFormat="false" ht="12.75" hidden="false" customHeight="false" outlineLevel="0" collapsed="false">
      <c r="A9" s="334" t="s">
        <v>118</v>
      </c>
      <c r="B9" s="0" t="s">
        <v>313</v>
      </c>
    </row>
    <row r="10" customFormat="false" ht="12.75" hidden="false" customHeight="false" outlineLevel="0" collapsed="false">
      <c r="A10" s="352" t="s">
        <v>119</v>
      </c>
      <c r="B10" s="0" t="s">
        <v>314</v>
      </c>
    </row>
    <row r="11" customFormat="false" ht="12.75" hidden="false" customHeight="false" outlineLevel="0" collapsed="false">
      <c r="A11" s="334" t="s">
        <v>120</v>
      </c>
      <c r="B11" s="0" t="s">
        <v>315</v>
      </c>
    </row>
    <row r="12" customFormat="false" ht="12.75" hidden="false" customHeight="false" outlineLevel="0" collapsed="false">
      <c r="A12" s="334" t="s">
        <v>121</v>
      </c>
      <c r="B12" s="0" t="s">
        <v>316</v>
      </c>
    </row>
    <row r="13" customFormat="false" ht="12.75" hidden="false" customHeight="false" outlineLevel="0" collapsed="false">
      <c r="A13" s="334" t="s">
        <v>122</v>
      </c>
      <c r="B13" s="0" t="s">
        <v>317</v>
      </c>
    </row>
    <row r="14" customFormat="false" ht="12.75" hidden="false" customHeight="false" outlineLevel="0" collapsed="false">
      <c r="A14" s="352" t="s">
        <v>123</v>
      </c>
      <c r="B14" s="0" t="s">
        <v>318</v>
      </c>
    </row>
    <row r="15" customFormat="false" ht="12.75" hidden="false" customHeight="false" outlineLevel="0" collapsed="false">
      <c r="A15" s="334" t="s">
        <v>124</v>
      </c>
    </row>
    <row r="16" customFormat="false" ht="12.75" hidden="false" customHeight="false" outlineLevel="0" collapsed="false">
      <c r="A16" s="334" t="s">
        <v>125</v>
      </c>
    </row>
    <row r="17" customFormat="false" ht="12.75" hidden="false" customHeight="false" outlineLevel="0" collapsed="false">
      <c r="A17" s="334" t="s">
        <v>126</v>
      </c>
      <c r="B17" s="0" t="s">
        <v>319</v>
      </c>
    </row>
    <row r="18" customFormat="false" ht="12.75" hidden="false" customHeight="false" outlineLevel="0" collapsed="false">
      <c r="A18" s="352" t="s">
        <v>127</v>
      </c>
    </row>
    <row r="19" customFormat="false" ht="12.75" hidden="false" customHeight="false" outlineLevel="0" collapsed="false">
      <c r="A19" s="334" t="s">
        <v>128</v>
      </c>
    </row>
    <row r="20" customFormat="false" ht="12.75" hidden="false" customHeight="false" outlineLevel="0" collapsed="false">
      <c r="A20" s="334" t="s">
        <v>129</v>
      </c>
    </row>
    <row r="21" customFormat="false" ht="12.75" hidden="false" customHeight="false" outlineLevel="0" collapsed="false">
      <c r="A21" s="334" t="s">
        <v>130</v>
      </c>
    </row>
    <row r="22" customFormat="false" ht="12.75" hidden="false" customHeight="false" outlineLevel="0" collapsed="false">
      <c r="A22" s="334"/>
    </row>
    <row r="23" customFormat="false" ht="12.75" hidden="false" customHeight="false" outlineLevel="0" collapsed="false">
      <c r="A23" s="334" t="s">
        <v>131</v>
      </c>
    </row>
    <row r="24" customFormat="false" ht="12.75" hidden="false" customHeight="false" outlineLevel="0" collapsed="false">
      <c r="A24" s="352" t="s">
        <v>132</v>
      </c>
      <c r="B24" s="0" t="s">
        <v>320</v>
      </c>
    </row>
    <row r="25" customFormat="false" ht="12.75" hidden="false" customHeight="false" outlineLevel="0" collapsed="false">
      <c r="A25" s="334" t="s">
        <v>133</v>
      </c>
      <c r="B25" s="0" t="s">
        <v>321</v>
      </c>
    </row>
    <row r="26" customFormat="false" ht="12.75" hidden="false" customHeight="false" outlineLevel="0" collapsed="false">
      <c r="A26" s="352" t="s">
        <v>134</v>
      </c>
      <c r="B26" s="0" t="s">
        <v>322</v>
      </c>
      <c r="H26" s="0" t="s">
        <v>323</v>
      </c>
    </row>
    <row r="27" customFormat="false" ht="12.75" hidden="false" customHeight="false" outlineLevel="0" collapsed="false">
      <c r="A27" s="334" t="s">
        <v>135</v>
      </c>
      <c r="B27" s="0" t="s">
        <v>324</v>
      </c>
    </row>
    <row r="28" customFormat="false" ht="12.75" hidden="false" customHeight="false" outlineLevel="0" collapsed="false">
      <c r="A28" s="334" t="s">
        <v>136</v>
      </c>
      <c r="B28" s="0" t="s">
        <v>325</v>
      </c>
    </row>
    <row r="29" customFormat="false" ht="12.75" hidden="false" customHeight="false" outlineLevel="0" collapsed="false">
      <c r="A29" s="334" t="s">
        <v>137</v>
      </c>
      <c r="B29" s="0" t="s">
        <v>326</v>
      </c>
    </row>
    <row r="30" customFormat="false" ht="12.75" hidden="false" customHeight="false" outlineLevel="0" collapsed="false">
      <c r="A30" s="334" t="s">
        <v>138</v>
      </c>
      <c r="B30" s="0" t="s">
        <v>327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pane xSplit="3" ySplit="0" topLeftCell="P1" activePane="topRight" state="frozen"/>
      <selection pane="topLeft" activeCell="A13" activeCellId="0" sqref="A13"/>
      <selection pane="topRigh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6" min="6" style="0" width="9.99"/>
    <col collapsed="false" customWidth="true" hidden="false" outlineLevel="0" max="7" min="7" style="0" width="11.99"/>
    <col collapsed="false" customWidth="true" hidden="false" outlineLevel="0" max="8" min="8" style="0" width="9.28"/>
    <col collapsed="false" customWidth="true" hidden="false" outlineLevel="0" max="11" min="10" style="0" width="9.28"/>
    <col collapsed="false" customWidth="true" hidden="false" outlineLevel="0" max="18" min="14" style="0" width="9.28"/>
  </cols>
  <sheetData>
    <row r="1" customFormat="false" ht="12.75" hidden="false" customHeight="false" outlineLevel="0" collapsed="false">
      <c r="X1" s="394"/>
    </row>
    <row r="3" customFormat="false" ht="12.75" hidden="false" customHeight="false" outlineLevel="0" collapsed="false">
      <c r="C3" s="0" t="n">
        <f aca="false">C8+C12</f>
        <v>0.0130855627217483</v>
      </c>
    </row>
    <row r="4" customFormat="false" ht="12.75" hidden="false" customHeight="false" outlineLevel="0" collapsed="false">
      <c r="A4" s="0" t="s">
        <v>328</v>
      </c>
      <c r="B4" s="395" t="n">
        <v>13</v>
      </c>
      <c r="C4" s="0" t="n">
        <f aca="false">1+C14</f>
        <v>1.011</v>
      </c>
    </row>
    <row r="5" customFormat="false" ht="12.75" hidden="false" customHeight="false" outlineLevel="0" collapsed="false">
      <c r="A5" s="289"/>
      <c r="B5" s="289" t="n">
        <f aca="true">HLOOKUP(DATE(YEAR(TODAY()),MONTH(TODAY()),1),H6:AE7,2)</f>
        <v>13</v>
      </c>
      <c r="C5" s="0" t="n">
        <f aca="false">C4*C3+C4</f>
        <v>1.02422950391169</v>
      </c>
    </row>
    <row r="6" customFormat="false" ht="12.75" hidden="false" customHeight="false" outlineLevel="0" collapsed="false">
      <c r="H6" s="370" t="n">
        <v>36708</v>
      </c>
      <c r="I6" s="370" t="n">
        <v>36739</v>
      </c>
      <c r="J6" s="370" t="n">
        <v>36770</v>
      </c>
      <c r="K6" s="370" t="n">
        <v>36800</v>
      </c>
      <c r="L6" s="370" t="n">
        <v>36831</v>
      </c>
      <c r="M6" s="370" t="n">
        <v>36861</v>
      </c>
      <c r="N6" s="370" t="n">
        <v>36892</v>
      </c>
      <c r="O6" s="370" t="n">
        <v>36923</v>
      </c>
      <c r="P6" s="370" t="n">
        <v>36951</v>
      </c>
      <c r="Q6" s="370" t="n">
        <v>36982</v>
      </c>
      <c r="R6" s="370" t="n">
        <v>37012</v>
      </c>
      <c r="S6" s="370" t="n">
        <v>37043</v>
      </c>
      <c r="T6" s="370" t="n">
        <v>37073</v>
      </c>
    </row>
    <row r="7" customFormat="false" ht="12.75" hidden="false" customHeight="false" outlineLevel="0" collapsed="false">
      <c r="B7" s="289" t="s">
        <v>329</v>
      </c>
      <c r="C7" s="370" t="s">
        <v>330</v>
      </c>
      <c r="D7" s="370" t="s">
        <v>331</v>
      </c>
      <c r="E7" s="370" t="s">
        <v>332</v>
      </c>
      <c r="F7" s="370" t="s">
        <v>333</v>
      </c>
      <c r="G7" s="370" t="s">
        <v>334</v>
      </c>
      <c r="H7" s="289" t="n">
        <v>1</v>
      </c>
      <c r="I7" s="289" t="n">
        <f aca="false">H7+1</f>
        <v>2</v>
      </c>
      <c r="J7" s="289" t="n">
        <v>3</v>
      </c>
      <c r="K7" s="289" t="n">
        <v>4</v>
      </c>
      <c r="L7" s="289" t="n">
        <v>5</v>
      </c>
      <c r="M7" s="289" t="n">
        <v>6</v>
      </c>
      <c r="N7" s="289" t="n">
        <v>7</v>
      </c>
      <c r="O7" s="289" t="n">
        <v>8</v>
      </c>
      <c r="P7" s="289" t="n">
        <v>9</v>
      </c>
      <c r="Q7" s="289" t="n">
        <v>10</v>
      </c>
      <c r="R7" s="289" t="n">
        <v>11</v>
      </c>
      <c r="S7" s="289" t="n">
        <v>12</v>
      </c>
      <c r="T7" s="289" t="n">
        <v>13</v>
      </c>
    </row>
    <row r="8" customFormat="false" ht="12.75" hidden="false" customHeight="false" outlineLevel="0" collapsed="false">
      <c r="A8" s="334" t="s">
        <v>335</v>
      </c>
      <c r="B8" s="396" t="n">
        <f aca="false">VALUE(INDEX(H8:AM8,1,$B$4))</f>
        <v>0.006</v>
      </c>
      <c r="C8" s="397" t="n">
        <f aca="false">1/(1-VALUE(B8))-1</f>
        <v>0.00603621730382287</v>
      </c>
      <c r="D8" s="398" t="n">
        <f aca="false">AVERAGE(Q8:W8)</f>
        <v>0.0065</v>
      </c>
      <c r="E8" s="397" t="n">
        <f aca="false">1/(1-VALUE(D8))-1</f>
        <v>0.00654252642174136</v>
      </c>
      <c r="F8" s="398" t="n">
        <f aca="false">AVERAGE(L8:P8)</f>
        <v>0.0074</v>
      </c>
      <c r="G8" s="397" t="n">
        <f aca="false">1/(1-VALUE(F8))-1</f>
        <v>0.00745516824501302</v>
      </c>
      <c r="H8" s="399" t="n">
        <v>0.007</v>
      </c>
      <c r="I8" s="399" t="n">
        <v>0.007</v>
      </c>
      <c r="J8" s="399" t="n">
        <v>0.006</v>
      </c>
      <c r="K8" s="399" t="n">
        <v>0.007</v>
      </c>
      <c r="L8" s="399" t="n">
        <v>0.007</v>
      </c>
      <c r="M8" s="400" t="n">
        <v>0.008</v>
      </c>
      <c r="N8" s="400" t="n">
        <v>0.008</v>
      </c>
      <c r="O8" s="401" t="n">
        <v>0.007</v>
      </c>
      <c r="P8" s="401" t="n">
        <v>0.007</v>
      </c>
      <c r="Q8" s="401" t="n">
        <v>0.007</v>
      </c>
      <c r="R8" s="401" t="n">
        <v>0.007</v>
      </c>
      <c r="S8" s="401" t="n">
        <v>0.006</v>
      </c>
      <c r="T8" s="402" t="n">
        <v>0.006</v>
      </c>
    </row>
    <row r="9" customFormat="false" ht="12.75" hidden="false" customHeight="false" outlineLevel="0" collapsed="false">
      <c r="A9" s="334" t="s">
        <v>336</v>
      </c>
      <c r="B9" s="396" t="n">
        <f aca="false">VALUE(INDEX(H9:AM9,1,$B$4))</f>
        <v>0.0036</v>
      </c>
      <c r="C9" s="397" t="n">
        <f aca="false">1/(1-VALUE(B9))-1</f>
        <v>0.00361300682456855</v>
      </c>
      <c r="D9" s="398" t="n">
        <f aca="false">AVERAGE(Q9:W9)</f>
        <v>0.004725</v>
      </c>
      <c r="E9" s="397" t="n">
        <f aca="false">1/(1-VALUE(D9))-1</f>
        <v>0.00474743161437785</v>
      </c>
      <c r="F9" s="398" t="n">
        <f aca="false">AVERAGE(L9:P9)</f>
        <v>0.00772</v>
      </c>
      <c r="G9" s="397" t="n">
        <f aca="false">1/(1-VALUE(F9))-1</f>
        <v>0.00778006207925186</v>
      </c>
      <c r="H9" s="399" t="n">
        <v>0.0059</v>
      </c>
      <c r="I9" s="399" t="n">
        <v>0.0059</v>
      </c>
      <c r="J9" s="399" t="n">
        <v>0.005</v>
      </c>
      <c r="K9" s="399" t="n">
        <v>0.0063</v>
      </c>
      <c r="L9" s="399" t="n">
        <v>0.0067</v>
      </c>
      <c r="M9" s="400" t="n">
        <v>0.0094</v>
      </c>
      <c r="N9" s="400" t="n">
        <v>0.0085</v>
      </c>
      <c r="O9" s="401" t="n">
        <v>0.0072</v>
      </c>
      <c r="P9" s="401" t="n">
        <v>0.0068</v>
      </c>
      <c r="Q9" s="401" t="n">
        <v>0.0074</v>
      </c>
      <c r="R9" s="401" t="n">
        <v>0.0043</v>
      </c>
      <c r="S9" s="401" t="n">
        <v>0.0036</v>
      </c>
      <c r="T9" s="402" t="n">
        <v>0.0036</v>
      </c>
    </row>
    <row r="10" customFormat="false" ht="12.75" hidden="false" customHeight="false" outlineLevel="0" collapsed="false">
      <c r="A10" s="334" t="s">
        <v>337</v>
      </c>
      <c r="B10" s="396" t="n">
        <f aca="false">VALUE(INDEX(H10:AM10,1,$B$4))</f>
        <v>0.0092</v>
      </c>
      <c r="C10" s="397" t="n">
        <f aca="false">1/(1-VALUE(B10))-1</f>
        <v>0.00928542591844983</v>
      </c>
      <c r="D10" s="398" t="n">
        <f aca="false">AVERAGE(Q10:W10)</f>
        <v>0.012075</v>
      </c>
      <c r="E10" s="397" t="n">
        <f aca="false">1/(1-VALUE(D10))-1</f>
        <v>0.0122225877470454</v>
      </c>
      <c r="F10" s="398" t="n">
        <f aca="false">AVERAGE(L10:P10)</f>
        <v>0.01978</v>
      </c>
      <c r="G10" s="397" t="n">
        <f aca="false">1/(1-VALUE(F10))-1</f>
        <v>0.0201791434575911</v>
      </c>
      <c r="H10" s="399" t="n">
        <v>0.0151</v>
      </c>
      <c r="I10" s="399" t="n">
        <v>0.0151</v>
      </c>
      <c r="J10" s="399" t="n">
        <v>0.0125</v>
      </c>
      <c r="K10" s="399" t="n">
        <v>0.016</v>
      </c>
      <c r="L10" s="399" t="n">
        <v>0.0172</v>
      </c>
      <c r="M10" s="400" t="n">
        <v>0.0242</v>
      </c>
      <c r="N10" s="400" t="n">
        <v>0.0218</v>
      </c>
      <c r="O10" s="401" t="n">
        <v>0.0184</v>
      </c>
      <c r="P10" s="401" t="n">
        <v>0.0173</v>
      </c>
      <c r="Q10" s="401" t="n">
        <v>0.019</v>
      </c>
      <c r="R10" s="401" t="n">
        <v>0.0109</v>
      </c>
      <c r="S10" s="401" t="n">
        <v>0.0092</v>
      </c>
      <c r="T10" s="402" t="n">
        <v>0.0092</v>
      </c>
    </row>
    <row r="11" customFormat="false" ht="12.75" hidden="false" customHeight="false" outlineLevel="0" collapsed="false">
      <c r="A11" s="334" t="s">
        <v>338</v>
      </c>
      <c r="B11" s="396" t="n">
        <f aca="false">VALUE(INDEX(H11:AM11,1,$B$4))</f>
        <v>0.016</v>
      </c>
      <c r="C11" s="397" t="n">
        <f aca="false">1/(1-VALUE(B11))-1</f>
        <v>0.0162601626016261</v>
      </c>
      <c r="D11" s="398" t="n">
        <f aca="false">AVERAGE(Q11:W11)</f>
        <v>0.021</v>
      </c>
      <c r="E11" s="397" t="n">
        <f aca="false">1/(1-VALUE(D11))-1</f>
        <v>0.0214504596527068</v>
      </c>
      <c r="F11" s="398" t="n">
        <f aca="false">AVERAGE(L11:P11)</f>
        <v>0.0344</v>
      </c>
      <c r="G11" s="397" t="n">
        <f aca="false">1/(1-VALUE(F11))-1</f>
        <v>0.0356255178127589</v>
      </c>
      <c r="H11" s="399" t="n">
        <v>0.0264</v>
      </c>
      <c r="I11" s="399" t="n">
        <v>0.0264</v>
      </c>
      <c r="J11" s="399" t="n">
        <v>0.022</v>
      </c>
      <c r="K11" s="399" t="n">
        <v>0.028</v>
      </c>
      <c r="L11" s="399" t="n">
        <v>0.03</v>
      </c>
      <c r="M11" s="400" t="n">
        <v>0.042</v>
      </c>
      <c r="N11" s="400" t="n">
        <v>0.038</v>
      </c>
      <c r="O11" s="401" t="n">
        <v>0.032</v>
      </c>
      <c r="P11" s="401" t="n">
        <v>0.03</v>
      </c>
      <c r="Q11" s="401" t="n">
        <v>0.033</v>
      </c>
      <c r="R11" s="401" t="n">
        <v>0.019</v>
      </c>
      <c r="S11" s="401" t="n">
        <v>0.016</v>
      </c>
      <c r="T11" s="402" t="n">
        <v>0.016</v>
      </c>
    </row>
    <row r="12" customFormat="false" ht="12.75" hidden="false" customHeight="false" outlineLevel="0" collapsed="false">
      <c r="A12" s="334" t="s">
        <v>339</v>
      </c>
      <c r="B12" s="396" t="n">
        <f aca="false">VALUE(INDEX(H12:AM12,1,$B$4))</f>
        <v>0.007</v>
      </c>
      <c r="C12" s="397" t="n">
        <f aca="false">1/(1-VALUE(B12))-1</f>
        <v>0.00704934541792546</v>
      </c>
      <c r="D12" s="398" t="n">
        <f aca="false">AVERAGE(Q12:W12)</f>
        <v>0.007</v>
      </c>
      <c r="E12" s="397" t="n">
        <f aca="false">1/(1-VALUE(D12))-1</f>
        <v>0.00704934541792546</v>
      </c>
      <c r="F12" s="398" t="n">
        <f aca="false">AVERAGE(L12:P12)</f>
        <v>0.00954</v>
      </c>
      <c r="G12" s="397" t="n">
        <f aca="false">1/(1-VALUE(F12))-1</f>
        <v>0.00963188821355732</v>
      </c>
      <c r="H12" s="399" t="n">
        <v>0.0099</v>
      </c>
      <c r="I12" s="399" t="n">
        <v>0.0099</v>
      </c>
      <c r="J12" s="399" t="n">
        <v>0.0099</v>
      </c>
      <c r="K12" s="399" t="n">
        <v>0.0099</v>
      </c>
      <c r="L12" s="399" t="n">
        <v>0.0099</v>
      </c>
      <c r="M12" s="400" t="n">
        <v>0.0099</v>
      </c>
      <c r="N12" s="400" t="n">
        <v>0.0099</v>
      </c>
      <c r="O12" s="401" t="n">
        <v>0.009</v>
      </c>
      <c r="P12" s="401" t="n">
        <v>0.009</v>
      </c>
      <c r="Q12" s="401" t="n">
        <v>0.007</v>
      </c>
      <c r="R12" s="401" t="n">
        <v>0.007</v>
      </c>
      <c r="S12" s="401" t="n">
        <v>0.007</v>
      </c>
      <c r="T12" s="402" t="n">
        <v>0.007</v>
      </c>
    </row>
    <row r="13" customFormat="false" ht="12.75" hidden="false" customHeight="false" outlineLevel="0" collapsed="false">
      <c r="A13" s="334" t="s">
        <v>340</v>
      </c>
      <c r="B13" s="396" t="n">
        <f aca="false">VALUE(INDEX(H13:AM13,1,$B$4))</f>
        <v>0.0149</v>
      </c>
      <c r="C13" s="397" t="n">
        <f aca="false">1/(1-VALUE(B13))-1</f>
        <v>0.0151253679829459</v>
      </c>
      <c r="D13" s="398" t="n">
        <f aca="false">AVERAGE(Q13:W13)</f>
        <v>0.0149</v>
      </c>
      <c r="E13" s="397" t="n">
        <f aca="false">1/(1-VALUE(D13))-1</f>
        <v>0.0151253679829459</v>
      </c>
      <c r="F13" s="398" t="n">
        <f aca="false">AVERAGE(L13:P13)</f>
        <v>0.0121</v>
      </c>
      <c r="G13" s="397" t="n">
        <f aca="false">1/(1-VALUE(F13))-1</f>
        <v>0.0122482032594393</v>
      </c>
      <c r="H13" s="399" t="n">
        <v>0.0121</v>
      </c>
      <c r="I13" s="399" t="n">
        <v>0.0121</v>
      </c>
      <c r="J13" s="399" t="n">
        <v>0.0121</v>
      </c>
      <c r="K13" s="399" t="n">
        <v>0.0121</v>
      </c>
      <c r="L13" s="399" t="n">
        <v>0.0121</v>
      </c>
      <c r="M13" s="400" t="n">
        <v>0.0121</v>
      </c>
      <c r="N13" s="400" t="n">
        <v>0.0121</v>
      </c>
      <c r="O13" s="401" t="n">
        <v>0.0121</v>
      </c>
      <c r="P13" s="401" t="n">
        <v>0.0121</v>
      </c>
      <c r="Q13" s="401" t="n">
        <v>0.0149</v>
      </c>
      <c r="R13" s="401" t="n">
        <v>0.0149</v>
      </c>
      <c r="S13" s="401" t="n">
        <v>0.0149</v>
      </c>
      <c r="T13" s="402" t="n">
        <v>0.0149</v>
      </c>
    </row>
    <row r="14" customFormat="false" ht="12.75" hidden="false" customHeight="false" outlineLevel="0" collapsed="false">
      <c r="A14" s="334" t="s">
        <v>341</v>
      </c>
      <c r="B14" s="396" t="n">
        <f aca="false">VALUE(INDEX(H14:AM14,1,$B$4))</f>
        <v>0.011</v>
      </c>
      <c r="C14" s="397" t="n">
        <f aca="false">VALUE(B14)</f>
        <v>0.011</v>
      </c>
      <c r="D14" s="398" t="n">
        <f aca="false">AVERAGE(Q14:W14)</f>
        <v>0.0109</v>
      </c>
      <c r="E14" s="397" t="n">
        <f aca="false">VALUE(D14)</f>
        <v>0.0109</v>
      </c>
      <c r="F14" s="398" t="n">
        <f aca="false">AVERAGE(L14:P14)</f>
        <v>0.0113</v>
      </c>
      <c r="G14" s="397" t="n">
        <f aca="false">VALUE(F14)</f>
        <v>0.0113</v>
      </c>
      <c r="H14" s="399" t="n">
        <v>0.012</v>
      </c>
      <c r="I14" s="399" t="n">
        <v>0.012</v>
      </c>
      <c r="J14" s="399" t="n">
        <v>0.012</v>
      </c>
      <c r="K14" s="399" t="n">
        <v>0.012</v>
      </c>
      <c r="L14" s="399" t="n">
        <v>0.0119</v>
      </c>
      <c r="M14" s="400" t="n">
        <v>0.0112</v>
      </c>
      <c r="N14" s="400" t="n">
        <v>0.0115</v>
      </c>
      <c r="O14" s="401" t="n">
        <v>0.011</v>
      </c>
      <c r="P14" s="401" t="n">
        <v>0.0109</v>
      </c>
      <c r="Q14" s="401" t="n">
        <v>0.0106</v>
      </c>
      <c r="R14" s="401" t="n">
        <v>0.011</v>
      </c>
      <c r="S14" s="401" t="n">
        <v>0.011</v>
      </c>
      <c r="T14" s="402" t="n">
        <v>0.011</v>
      </c>
    </row>
    <row r="15" customFormat="false" ht="12.75" hidden="false" customHeight="false" outlineLevel="0" collapsed="false">
      <c r="A15" s="334" t="s">
        <v>342</v>
      </c>
      <c r="B15" s="396" t="n">
        <f aca="false">VALUE(INDEX(H15:AM15,1,$B$4))</f>
        <v>0.013</v>
      </c>
      <c r="C15" s="397" t="n">
        <f aca="false">VALUE(B15)</f>
        <v>0.013</v>
      </c>
      <c r="D15" s="398" t="n">
        <f aca="false">AVERAGE(Q15:W15)</f>
        <v>0.01075</v>
      </c>
      <c r="E15" s="397" t="n">
        <f aca="false">VALUE(D15)</f>
        <v>0.01075</v>
      </c>
      <c r="F15" s="398" t="n">
        <f aca="false">AVERAGE(L15:P15)</f>
        <v>0.013802</v>
      </c>
      <c r="G15" s="397" t="n">
        <f aca="false">VALUE(F15)</f>
        <v>0.013802</v>
      </c>
      <c r="H15" s="399" t="n">
        <v>0.007</v>
      </c>
      <c r="I15" s="403" t="n">
        <v>0.008</v>
      </c>
      <c r="J15" s="404" t="n">
        <v>0.009</v>
      </c>
      <c r="K15" s="403" t="n">
        <v>0.011</v>
      </c>
      <c r="L15" s="399" t="n">
        <v>0.013</v>
      </c>
      <c r="M15" s="400" t="n">
        <v>0.014005</v>
      </c>
      <c r="N15" s="400" t="n">
        <v>0.014</v>
      </c>
      <c r="O15" s="401" t="n">
        <v>0.014005</v>
      </c>
      <c r="P15" s="401" t="n">
        <v>0.014</v>
      </c>
      <c r="Q15" s="401" t="n">
        <v>0.009</v>
      </c>
      <c r="R15" s="401" t="n">
        <v>0.009</v>
      </c>
      <c r="S15" s="401" t="n">
        <v>0.012</v>
      </c>
      <c r="T15" s="402" t="n">
        <v>0.013</v>
      </c>
    </row>
    <row r="16" customFormat="false" ht="12.75" hidden="false" customHeight="false" outlineLevel="0" collapsed="false">
      <c r="A16" s="334" t="s">
        <v>343</v>
      </c>
      <c r="B16" s="396" t="n">
        <f aca="false">VALUE(INDEX(H16:AM16,1,$B$4))</f>
        <v>0.010263</v>
      </c>
      <c r="C16" s="397" t="n">
        <f aca="false">1/(1-VALUE(B16))-1</f>
        <v>0.0103694213715362</v>
      </c>
      <c r="D16" s="398" t="n">
        <f aca="false">AVERAGE(Q16:W16)</f>
        <v>0.01178825</v>
      </c>
      <c r="E16" s="397" t="n">
        <f aca="false">1/(1-VALUE(D16))-1</f>
        <v>0.0119288705077631</v>
      </c>
      <c r="F16" s="398" t="n">
        <f aca="false">AVERAGE(L16:P16)</f>
        <v>0.014367544</v>
      </c>
      <c r="G16" s="397" t="n">
        <f aca="false">1/(1-VALUE(F16))-1</f>
        <v>0.0145769793928132</v>
      </c>
      <c r="H16" s="399" t="n">
        <v>0.0119</v>
      </c>
      <c r="I16" s="399" t="n">
        <v>0.0119</v>
      </c>
      <c r="J16" s="399" t="n">
        <v>0.013036</v>
      </c>
      <c r="K16" s="399" t="n">
        <v>0.013036</v>
      </c>
      <c r="L16" s="399" t="n">
        <v>0.013036</v>
      </c>
      <c r="M16" s="400" t="n">
        <v>0.013036</v>
      </c>
      <c r="N16" s="400" t="n">
        <v>0.014146</v>
      </c>
      <c r="O16" s="401" t="n">
        <v>0.016087</v>
      </c>
      <c r="P16" s="401" t="n">
        <f aca="false">277.37*0.000056</f>
        <v>0.01553272</v>
      </c>
      <c r="Q16" s="401" t="n">
        <v>0.014146</v>
      </c>
      <c r="R16" s="401" t="n">
        <v>0.011927</v>
      </c>
      <c r="S16" s="401" t="n">
        <v>0.010817</v>
      </c>
      <c r="T16" s="402" t="n">
        <v>0.010263</v>
      </c>
    </row>
    <row r="17" customFormat="false" ht="12.75" hidden="false" customHeight="false" outlineLevel="0" collapsed="false">
      <c r="A17" s="334" t="s">
        <v>344</v>
      </c>
      <c r="B17" s="396" t="n">
        <f aca="false">VALUE(INDEX(H17:AM17,1,$B$4))</f>
        <v>0.022661</v>
      </c>
      <c r="C17" s="397" t="n">
        <f aca="false">1/(1-VALUE(B17))-1</f>
        <v>0.0231864276366747</v>
      </c>
      <c r="D17" s="398" t="n">
        <f aca="false">AVERAGE(Q17:W17)</f>
        <v>0.0260295</v>
      </c>
      <c r="E17" s="397" t="n">
        <f aca="false">1/(1-VALUE(D17))-1</f>
        <v>0.0267251420859256</v>
      </c>
      <c r="F17" s="398" t="n">
        <f aca="false">AVERAGE(L17:P17)</f>
        <v>0.031725552</v>
      </c>
      <c r="G17" s="397" t="n">
        <f aca="false">1/(1-VALUE(F17))-1</f>
        <v>0.0327650410124218</v>
      </c>
      <c r="H17" s="399" t="n">
        <v>0.0263</v>
      </c>
      <c r="I17" s="399" t="n">
        <v>0.0263</v>
      </c>
      <c r="J17" s="399" t="n">
        <v>0.028786</v>
      </c>
      <c r="K17" s="399" t="n">
        <v>0.028786</v>
      </c>
      <c r="L17" s="399" t="n">
        <v>0.028786</v>
      </c>
      <c r="M17" s="400" t="n">
        <v>0.028786</v>
      </c>
      <c r="N17" s="400" t="n">
        <v>0.031235</v>
      </c>
      <c r="O17" s="401" t="n">
        <v>0.035523</v>
      </c>
      <c r="P17" s="401" t="n">
        <f aca="false">612.46*0.000056</f>
        <v>0.03429776</v>
      </c>
      <c r="Q17" s="401" t="n">
        <v>0.031235</v>
      </c>
      <c r="R17" s="401" t="n">
        <v>0.026336</v>
      </c>
      <c r="S17" s="401" t="n">
        <v>0.023886</v>
      </c>
      <c r="T17" s="402" t="n">
        <v>0.022661</v>
      </c>
    </row>
    <row r="18" customFormat="false" ht="12.75" hidden="false" customHeight="false" outlineLevel="0" collapsed="false">
      <c r="A18" s="334" t="s">
        <v>345</v>
      </c>
      <c r="B18" s="396" t="n">
        <f aca="false">VALUE(INDEX(H18:AM18,1,$B$4))</f>
        <v>0.012398</v>
      </c>
      <c r="C18" s="397" t="n">
        <f aca="false">1/(1-VALUE(B18))-1</f>
        <v>0.0125536400290807</v>
      </c>
      <c r="D18" s="398" t="n">
        <f aca="false">AVERAGE(Q18:W18)</f>
        <v>0.0142415</v>
      </c>
      <c r="E18" s="397" t="n">
        <f aca="false">1/(1-VALUE(D18))-1</f>
        <v>0.0144472505182558</v>
      </c>
      <c r="F18" s="398" t="n">
        <f aca="false">AVERAGE(L18:P18)</f>
        <v>0.017347588</v>
      </c>
      <c r="G18" s="397" t="n">
        <f aca="false">1/(1-VALUE(F18))-1</f>
        <v>0.0176538395348691</v>
      </c>
      <c r="H18" s="399" t="n">
        <v>0.0144</v>
      </c>
      <c r="I18" s="399" t="n">
        <v>0.0144</v>
      </c>
      <c r="J18" s="399" t="n">
        <v>0.015749</v>
      </c>
      <c r="K18" s="399" t="n">
        <v>0.015749</v>
      </c>
      <c r="L18" s="399" t="n">
        <v>0.0154749</v>
      </c>
      <c r="M18" s="400" t="n">
        <v>0.015749</v>
      </c>
      <c r="N18" s="400" t="n">
        <v>0.01709</v>
      </c>
      <c r="O18" s="401" t="n">
        <v>0.019435</v>
      </c>
      <c r="P18" s="401" t="n">
        <f aca="false">339.09*0.000056</f>
        <v>0.01898904</v>
      </c>
      <c r="Q18" s="401" t="n">
        <v>0.01709</v>
      </c>
      <c r="R18" s="401" t="n">
        <v>0.014409</v>
      </c>
      <c r="S18" s="401" t="n">
        <v>0.013069</v>
      </c>
      <c r="T18" s="402" t="n">
        <v>0.012398</v>
      </c>
    </row>
    <row r="19" customFormat="false" ht="12.75" hidden="false" customHeight="false" outlineLevel="0" collapsed="false">
      <c r="A19" s="334" t="s">
        <v>346</v>
      </c>
      <c r="B19" s="396" t="n">
        <f aca="false">VALUE(INDEX(H19:AM19,1,$B$4))</f>
        <v>0.0065</v>
      </c>
      <c r="C19" s="397" t="n">
        <f aca="false">VALUE(B19)</f>
        <v>0.0065</v>
      </c>
      <c r="D19" s="398" t="n">
        <f aca="false">AVERAGE(Q19:W19)</f>
        <v>0.0075</v>
      </c>
      <c r="E19" s="397" t="n">
        <f aca="false">VALUE(D19)</f>
        <v>0.0075</v>
      </c>
      <c r="F19" s="398" t="n">
        <f aca="false">AVERAGE(L19:P19)</f>
        <v>0.0078</v>
      </c>
      <c r="G19" s="397" t="n">
        <f aca="false">VALUE(F19)</f>
        <v>0.0078</v>
      </c>
      <c r="H19" s="399" t="n">
        <v>0.0055</v>
      </c>
      <c r="I19" s="399" t="n">
        <v>0.006</v>
      </c>
      <c r="J19" s="399" t="n">
        <v>0.007</v>
      </c>
      <c r="K19" s="399" t="n">
        <v>0.0065</v>
      </c>
      <c r="L19" s="399" t="n">
        <v>0.007</v>
      </c>
      <c r="M19" s="400" t="n">
        <v>0.007</v>
      </c>
      <c r="N19" s="400" t="n">
        <v>0.008</v>
      </c>
      <c r="O19" s="401" t="n">
        <v>0.008</v>
      </c>
      <c r="P19" s="401" t="n">
        <v>0.009</v>
      </c>
      <c r="Q19" s="401" t="n">
        <v>0.009</v>
      </c>
      <c r="R19" s="401" t="n">
        <v>0.0075</v>
      </c>
      <c r="S19" s="401" t="n">
        <v>0.007</v>
      </c>
      <c r="T19" s="402" t="n">
        <v>0.0065</v>
      </c>
    </row>
    <row r="20" customFormat="false" ht="12.75" hidden="false" customHeight="false" outlineLevel="0" collapsed="false">
      <c r="A20" s="334" t="s">
        <v>347</v>
      </c>
      <c r="B20" s="396" t="n">
        <f aca="false">VALUE(INDEX(H20:AM20,1,$B$4))</f>
        <v>0.0047</v>
      </c>
      <c r="C20" s="397" t="n">
        <f aca="false">VALUE(B20)</f>
        <v>0.0047</v>
      </c>
      <c r="D20" s="398" t="n">
        <f aca="false">AVERAGE(Q20:W20)</f>
        <v>0.0064</v>
      </c>
      <c r="E20" s="397" t="n">
        <f aca="false">VALUE(D20)</f>
        <v>0.0064</v>
      </c>
      <c r="F20" s="398" t="n">
        <f aca="false">AVERAGE(L20:P20)</f>
        <v>0.00688</v>
      </c>
      <c r="G20" s="397" t="n">
        <f aca="false">VALUE(F20)</f>
        <v>0.00688</v>
      </c>
      <c r="H20" s="399" t="n">
        <v>0.0085</v>
      </c>
      <c r="I20" s="399" t="n">
        <v>0.0082</v>
      </c>
      <c r="J20" s="399" t="n">
        <v>0.0074</v>
      </c>
      <c r="K20" s="399" t="n">
        <v>0.0069</v>
      </c>
      <c r="L20" s="399" t="n">
        <v>0.0076</v>
      </c>
      <c r="M20" s="399" t="n">
        <v>0.0075</v>
      </c>
      <c r="N20" s="400" t="n">
        <v>0.0046</v>
      </c>
      <c r="O20" s="401" t="n">
        <v>0.0039</v>
      </c>
      <c r="P20" s="401" t="n">
        <v>0.0108</v>
      </c>
      <c r="Q20" s="401" t="n">
        <v>0.0081</v>
      </c>
      <c r="R20" s="401" t="n">
        <v>0.007</v>
      </c>
      <c r="S20" s="401" t="n">
        <v>0.0058</v>
      </c>
      <c r="T20" s="405" t="n">
        <v>0.0047</v>
      </c>
    </row>
    <row r="21" customFormat="false" ht="12.75" hidden="false" customHeight="false" outlineLevel="0" collapsed="false">
      <c r="A21" s="334" t="s">
        <v>348</v>
      </c>
      <c r="B21" s="396" t="n">
        <f aca="false">VALUE(INDEX(H21:AM21,1,$B$4))</f>
        <v>0.0132</v>
      </c>
      <c r="C21" s="397" t="n">
        <f aca="false">VALUE(B21)</f>
        <v>0.0132</v>
      </c>
      <c r="D21" s="398" t="n">
        <f aca="false">AVERAGE(Q21:W21)</f>
        <v>0.01465</v>
      </c>
      <c r="E21" s="397" t="n">
        <f aca="false">VALUE(D21)</f>
        <v>0.01465</v>
      </c>
      <c r="F21" s="398" t="n">
        <f aca="false">AVERAGE(L21:P21)</f>
        <v>0.0203804</v>
      </c>
      <c r="G21" s="397" t="n">
        <f aca="false">VALUE(F21)</f>
        <v>0.0203804</v>
      </c>
      <c r="H21" s="399" t="n">
        <f aca="false">(0.0239+0.0002)</f>
        <v>0.0241</v>
      </c>
      <c r="I21" s="399" t="n">
        <f aca="false">(0.0242+0.0002)</f>
        <v>0.0244</v>
      </c>
      <c r="J21" s="399" t="n">
        <f aca="false">(0.0245+0.002)</f>
        <v>0.0265</v>
      </c>
      <c r="K21" s="399" t="n">
        <f aca="false">0.0234+0.0002</f>
        <v>0.0236</v>
      </c>
      <c r="L21" s="399" t="n">
        <f aca="false">0.0233+0.0002</f>
        <v>0.0235</v>
      </c>
      <c r="M21" s="399" t="n">
        <f aca="false">0.02+0.0002%</f>
        <v>0.020002</v>
      </c>
      <c r="N21" s="400" t="n">
        <f aca="false">0.0002+1.75%</f>
        <v>0.0177</v>
      </c>
      <c r="O21" s="401" t="n">
        <f aca="false">0.0002+1.87%</f>
        <v>0.0189</v>
      </c>
      <c r="P21" s="401" t="n">
        <f aca="false">0.0002+2.16%</f>
        <v>0.0218</v>
      </c>
      <c r="Q21" s="401" t="n">
        <f aca="false">0.0002+0.0159</f>
        <v>0.0161</v>
      </c>
      <c r="R21" s="401" t="n">
        <f aca="false">0.0009+0.0144</f>
        <v>0.0153</v>
      </c>
      <c r="S21" s="401" t="n">
        <f aca="false">0.0131+0.0009</f>
        <v>0.014</v>
      </c>
      <c r="T21" s="405" t="n">
        <f aca="false">0.0123+0.0009</f>
        <v>0.0132</v>
      </c>
    </row>
    <row r="22" customFormat="false" ht="12.75" hidden="false" customHeight="false" outlineLevel="0" collapsed="false">
      <c r="A22" s="334" t="s">
        <v>349</v>
      </c>
      <c r="B22" s="396" t="n">
        <f aca="false">VALUE(INDEX(H22:AM22,1,$B$4))</f>
        <v>0.0132</v>
      </c>
      <c r="C22" s="397" t="n">
        <f aca="false">VALUE(B22)</f>
        <v>0.0132</v>
      </c>
      <c r="D22" s="398" t="n">
        <f aca="false">AVERAGE(Q22:W22)</f>
        <v>0.01465</v>
      </c>
      <c r="E22" s="397" t="n">
        <f aca="false">VALUE(D22)</f>
        <v>0.01465</v>
      </c>
      <c r="F22" s="398" t="n">
        <f aca="false">AVERAGE(L22:P22)</f>
        <v>0.0203804</v>
      </c>
      <c r="G22" s="397" t="n">
        <f aca="false">VALUE(F22)</f>
        <v>0.0203804</v>
      </c>
      <c r="H22" s="399" t="n">
        <f aca="false">(0.0239+0.0002)</f>
        <v>0.0241</v>
      </c>
      <c r="I22" s="399" t="n">
        <f aca="false">(0.0242+0.0002)</f>
        <v>0.0244</v>
      </c>
      <c r="J22" s="399" t="n">
        <f aca="false">(0.0245+0.002)</f>
        <v>0.0265</v>
      </c>
      <c r="K22" s="399" t="n">
        <f aca="false">0.0234+0.0002</f>
        <v>0.0236</v>
      </c>
      <c r="L22" s="399" t="n">
        <f aca="false">0.0233+0.0002</f>
        <v>0.0235</v>
      </c>
      <c r="M22" s="399" t="n">
        <f aca="false">0.02+0.0002%</f>
        <v>0.020002</v>
      </c>
      <c r="N22" s="400" t="n">
        <f aca="false">0.0002+1.75%</f>
        <v>0.0177</v>
      </c>
      <c r="O22" s="401" t="n">
        <f aca="false">0.0002+1.87%</f>
        <v>0.0189</v>
      </c>
      <c r="P22" s="401" t="n">
        <f aca="false">0.0002+2.16%</f>
        <v>0.0218</v>
      </c>
      <c r="Q22" s="401" t="n">
        <f aca="false">0.0002+0.0159</f>
        <v>0.0161</v>
      </c>
      <c r="R22" s="401" t="n">
        <f aca="false">0.0009+0.0144</f>
        <v>0.0153</v>
      </c>
      <c r="S22" s="401" t="n">
        <f aca="false">0.0131+0.0009</f>
        <v>0.014</v>
      </c>
      <c r="T22" s="405" t="n">
        <f aca="false">0.0123+0.0009</f>
        <v>0.0132</v>
      </c>
    </row>
    <row r="23" customFormat="false" ht="12.75" hidden="false" customHeight="false" outlineLevel="0" collapsed="false">
      <c r="A23" s="334" t="s">
        <v>350</v>
      </c>
      <c r="B23" s="396" t="n">
        <f aca="false">VALUE(INDEX(H23:AM23,1,$B$4))</f>
        <v>0.0403</v>
      </c>
      <c r="C23" s="397" t="n">
        <f aca="false">VALUE(B23)</f>
        <v>0.0403</v>
      </c>
      <c r="D23" s="398" t="n">
        <f aca="false">AVERAGE(Q23:W23)</f>
        <v>0.041825</v>
      </c>
      <c r="E23" s="397" t="n">
        <f aca="false">VALUE(D23)</f>
        <v>0.041825</v>
      </c>
      <c r="F23" s="398" t="n">
        <f aca="false">AVERAGE(L23:P23)</f>
        <v>0.05944</v>
      </c>
      <c r="G23" s="397" t="n">
        <f aca="false">VALUE(F23)</f>
        <v>0.05944</v>
      </c>
      <c r="H23" s="399" t="n">
        <v>0.0662</v>
      </c>
      <c r="I23" s="399" t="n">
        <v>0.0684</v>
      </c>
      <c r="J23" s="399" t="n">
        <v>0.0713</v>
      </c>
      <c r="K23" s="399" t="n">
        <v>0.0687</v>
      </c>
      <c r="L23" s="399" t="n">
        <v>0.0663</v>
      </c>
      <c r="M23" s="399" t="n">
        <v>0.057</v>
      </c>
      <c r="N23" s="400" t="n">
        <v>0.0529</v>
      </c>
      <c r="O23" s="401" t="n">
        <v>0.0593</v>
      </c>
      <c r="P23" s="401" t="n">
        <v>0.0617</v>
      </c>
      <c r="Q23" s="401" t="n">
        <v>0.0451</v>
      </c>
      <c r="R23" s="401" t="n">
        <v>0.0417</v>
      </c>
      <c r="S23" s="401" t="n">
        <v>0.0402</v>
      </c>
      <c r="T23" s="405" t="n">
        <v>0.0403</v>
      </c>
    </row>
    <row r="24" customFormat="false" ht="12.75" hidden="false" customHeight="false" outlineLevel="0" collapsed="false">
      <c r="A24" s="334" t="s">
        <v>351</v>
      </c>
      <c r="B24" s="396" t="n">
        <f aca="false">VALUE(INDEX(H24:AM24,1,$B$4))</f>
        <v>0.0418</v>
      </c>
      <c r="C24" s="397" t="n">
        <f aca="false">VALUE(B24)</f>
        <v>0.0418</v>
      </c>
      <c r="D24" s="398" t="n">
        <f aca="false">AVERAGE(Q24:W24)</f>
        <v>0.04315</v>
      </c>
      <c r="E24" s="397" t="n">
        <f aca="false">VALUE(D24)</f>
        <v>0.04315</v>
      </c>
      <c r="F24" s="398" t="n">
        <f aca="false">AVERAGE(L24:P24)</f>
        <v>0.06196</v>
      </c>
      <c r="G24" s="397" t="n">
        <f aca="false">VALUE(F24)</f>
        <v>0.06196</v>
      </c>
      <c r="H24" s="399" t="n">
        <f aca="false">0.068+0.001</f>
        <v>0.069</v>
      </c>
      <c r="I24" s="399" t="n">
        <v>0.0703</v>
      </c>
      <c r="J24" s="399" t="n">
        <f aca="false">0.0733+0.001</f>
        <v>0.0743</v>
      </c>
      <c r="K24" s="399" t="n">
        <f aca="false">0.0706+0.001</f>
        <v>0.0716</v>
      </c>
      <c r="L24" s="399" t="n">
        <f aca="false">0.0682+0.001</f>
        <v>0.0692</v>
      </c>
      <c r="M24" s="399" t="n">
        <f aca="false">0.0586+0.001</f>
        <v>0.0596</v>
      </c>
      <c r="N24" s="400" t="n">
        <f aca="false">0.001+0.0544</f>
        <v>0.0554</v>
      </c>
      <c r="O24" s="401" t="n">
        <f aca="false">0.001+0.0611</f>
        <v>0.0621</v>
      </c>
      <c r="P24" s="401" t="n">
        <f aca="false">0.001+0.0625</f>
        <v>0.0635</v>
      </c>
      <c r="Q24" s="401" t="n">
        <f aca="false">0.001+0.0457</f>
        <v>0.0467</v>
      </c>
      <c r="R24" s="401" t="n">
        <f aca="false">0.001+0.0423</f>
        <v>0.0433</v>
      </c>
      <c r="S24" s="401" t="n">
        <v>0.0408</v>
      </c>
      <c r="T24" s="405" t="n">
        <v>0.0418</v>
      </c>
    </row>
    <row r="25" customFormat="false" ht="12.75" hidden="false" customHeight="false" outlineLevel="0" collapsed="false">
      <c r="A25" s="334" t="s">
        <v>352</v>
      </c>
      <c r="B25" s="396" t="n">
        <f aca="false">VALUE(INDEX(H25:AM25,1,$B$4))</f>
        <v>0.0459</v>
      </c>
      <c r="C25" s="397" t="n">
        <f aca="false">VALUE(B25)</f>
        <v>0.0459</v>
      </c>
      <c r="D25" s="398" t="n">
        <f aca="false">AVERAGE(Q25:W25)</f>
        <v>0.0475</v>
      </c>
      <c r="E25" s="397" t="n">
        <f aca="false">VALUE(D25)</f>
        <v>0.0475</v>
      </c>
      <c r="F25" s="398" t="n">
        <f aca="false">AVERAGE(L25:P25)</f>
        <v>0.06664</v>
      </c>
      <c r="G25" s="397" t="n">
        <f aca="false">VALUE(F25)</f>
        <v>0.06664</v>
      </c>
      <c r="H25" s="399" t="n">
        <f aca="false">0.0683+0.0054</f>
        <v>0.0737</v>
      </c>
      <c r="I25" s="399" t="n">
        <f aca="false">0.0706+0.0054</f>
        <v>0.076</v>
      </c>
      <c r="J25" s="399" t="n">
        <f aca="false">0.0054+0.0737</f>
        <v>0.0791</v>
      </c>
      <c r="K25" s="399" t="n">
        <f aca="false">0.071+0.0054</f>
        <v>0.0764</v>
      </c>
      <c r="L25" s="399" t="n">
        <f aca="false">0.0685+0.0054</f>
        <v>0.0739</v>
      </c>
      <c r="M25" s="399" t="n">
        <f aca="false">0.0589+0.0054</f>
        <v>0.0643</v>
      </c>
      <c r="N25" s="400" t="n">
        <f aca="false">0.0547+0.0054</f>
        <v>0.0601</v>
      </c>
      <c r="O25" s="401" t="n">
        <f aca="false">0.0614+0.0054</f>
        <v>0.0668</v>
      </c>
      <c r="P25" s="401" t="n">
        <f aca="false">0.0627+0.0054</f>
        <v>0.0681</v>
      </c>
      <c r="Q25" s="401" t="n">
        <f aca="false">0.0458+0.005</f>
        <v>0.0508</v>
      </c>
      <c r="R25" s="401" t="n">
        <f aca="false">0.005+0.0424</f>
        <v>0.0474</v>
      </c>
      <c r="S25" s="401" t="n">
        <f aca="false">0.0409+0.005</f>
        <v>0.0459</v>
      </c>
      <c r="T25" s="404" t="n">
        <v>0.0459</v>
      </c>
    </row>
    <row r="26" customFormat="false" ht="12.75" hidden="false" customHeight="false" outlineLevel="0" collapsed="false">
      <c r="A26" s="334" t="s">
        <v>353</v>
      </c>
      <c r="B26" s="396" t="n">
        <f aca="false">VALUE(INDEX(H26:AM26,1,$B$4))</f>
        <v>0.0457</v>
      </c>
      <c r="C26" s="397" t="n">
        <f aca="false">VALUE(B26)</f>
        <v>0.0457</v>
      </c>
      <c r="D26" s="398" t="n">
        <f aca="false">AVERAGE(Q26:W26)</f>
        <v>0.0472</v>
      </c>
      <c r="E26" s="397" t="n">
        <f aca="false">VALUE(D26)</f>
        <v>0.0472</v>
      </c>
      <c r="F26" s="398" t="n">
        <f aca="false">AVERAGE(L26:P26)</f>
        <v>0.06562</v>
      </c>
      <c r="G26" s="397" t="n">
        <f aca="false">VALUE(F26)</f>
        <v>0.06562</v>
      </c>
      <c r="H26" s="399" t="n">
        <f aca="false">0.0681+0.0046</f>
        <v>0.0727</v>
      </c>
      <c r="I26" s="399" t="n">
        <f aca="false">0.0703+0.0046</f>
        <v>0.0749</v>
      </c>
      <c r="J26" s="399" t="n">
        <f aca="false">0.0734+0.0046</f>
        <v>0.078</v>
      </c>
      <c r="K26" s="399" t="n">
        <f aca="false">0.0707+0.0046</f>
        <v>0.0753</v>
      </c>
      <c r="L26" s="399" t="n">
        <f aca="false">0.0682+0.0046</f>
        <v>0.0728</v>
      </c>
      <c r="M26" s="399" t="n">
        <f aca="false">0.0587+0.0046</f>
        <v>0.0633</v>
      </c>
      <c r="N26" s="400" t="n">
        <f aca="false">0.0545+0.0046</f>
        <v>0.0591</v>
      </c>
      <c r="O26" s="401" t="n">
        <f aca="false">0.0611+0.0046</f>
        <v>0.0657</v>
      </c>
      <c r="P26" s="401" t="n">
        <f aca="false">0.0626+0.0046</f>
        <v>0.0672</v>
      </c>
      <c r="Q26" s="401" t="n">
        <f aca="false">0.0458+0.0046</f>
        <v>0.0504</v>
      </c>
      <c r="R26" s="401" t="n">
        <f aca="false">0.0048+0.0423</f>
        <v>0.0471</v>
      </c>
      <c r="S26" s="401" t="n">
        <f aca="false">0.0408+0.0048</f>
        <v>0.0456</v>
      </c>
      <c r="T26" s="405" t="n">
        <v>0.0457</v>
      </c>
    </row>
    <row r="27" customFormat="false" ht="12.75" hidden="false" customHeight="false" outlineLevel="0" collapsed="false">
      <c r="A27" s="334" t="s">
        <v>354</v>
      </c>
      <c r="B27" s="396" t="n">
        <f aca="false">VALUE(INDEX(H27:AM27,1,$B$4))</f>
        <v>0.0446</v>
      </c>
      <c r="C27" s="397" t="n">
        <f aca="false">VALUE(B27)</f>
        <v>0.0446</v>
      </c>
      <c r="D27" s="398" t="n">
        <f aca="false">AVERAGE(Q27:W27)</f>
        <v>0.046125</v>
      </c>
      <c r="E27" s="397" t="n">
        <f aca="false">VALUE(D27)</f>
        <v>0.046125</v>
      </c>
      <c r="F27" s="398" t="n">
        <f aca="false">AVERAGE(L27:P27)</f>
        <v>0.06568</v>
      </c>
      <c r="G27" s="397" t="n">
        <f aca="false">VALUE(F27)</f>
        <v>0.06568</v>
      </c>
      <c r="H27" s="399" t="n">
        <v>0.0729</v>
      </c>
      <c r="I27" s="399" t="n">
        <v>0.0729</v>
      </c>
      <c r="J27" s="399" t="n">
        <v>0.079</v>
      </c>
      <c r="K27" s="399" t="n">
        <v>0.0759</v>
      </c>
      <c r="L27" s="399" t="n">
        <v>0.0732</v>
      </c>
      <c r="M27" s="399" t="n">
        <v>0.0629</v>
      </c>
      <c r="N27" s="400" t="n">
        <v>0.0586</v>
      </c>
      <c r="O27" s="401" t="n">
        <v>0.0658</v>
      </c>
      <c r="P27" s="401" t="n">
        <v>0.0679</v>
      </c>
      <c r="Q27" s="401" t="n">
        <v>0.0496</v>
      </c>
      <c r="R27" s="401" t="n">
        <v>0.0459</v>
      </c>
      <c r="S27" s="401" t="n">
        <v>0.0444</v>
      </c>
      <c r="T27" s="402" t="n">
        <v>0.0446</v>
      </c>
    </row>
    <row r="28" customFormat="false" ht="12.75" hidden="false" customHeight="false" outlineLevel="0" collapsed="false">
      <c r="A28" s="334" t="s">
        <v>355</v>
      </c>
      <c r="B28" s="396" t="n">
        <f aca="false">VALUE(INDEX(H28:AM28,1,$B$4))</f>
        <v>0.0348</v>
      </c>
      <c r="C28" s="397" t="n">
        <f aca="false">VALUE(B28)</f>
        <v>0.0348</v>
      </c>
      <c r="D28" s="398" t="n">
        <f aca="false">AVERAGE(Q28:W28)</f>
        <v>0.03635</v>
      </c>
      <c r="E28" s="397" t="n">
        <f aca="false">VALUE(D28)</f>
        <v>0.03635</v>
      </c>
      <c r="F28" s="398" t="n">
        <f aca="false">AVERAGE(L28:P28)</f>
        <v>0.05238</v>
      </c>
      <c r="G28" s="397" t="n">
        <f aca="false">VALUE(F28)</f>
        <v>0.05238</v>
      </c>
      <c r="H28" s="399" t="n">
        <v>0.0587</v>
      </c>
      <c r="I28" s="399" t="n">
        <v>0.0587</v>
      </c>
      <c r="J28" s="399" t="n">
        <v>0.063</v>
      </c>
      <c r="K28" s="399" t="n">
        <v>0.0607</v>
      </c>
      <c r="L28" s="399" t="n">
        <v>0.0587</v>
      </c>
      <c r="M28" s="399" t="n">
        <v>0.0506</v>
      </c>
      <c r="N28" s="400" t="n">
        <v>0.0467</v>
      </c>
      <c r="O28" s="401" t="n">
        <v>0.0521</v>
      </c>
      <c r="P28" s="401" t="n">
        <v>0.0538</v>
      </c>
      <c r="Q28" s="401" t="n">
        <v>0.0394</v>
      </c>
      <c r="R28" s="401" t="n">
        <v>0.0363</v>
      </c>
      <c r="S28" s="401" t="n">
        <v>0.0349</v>
      </c>
      <c r="T28" s="402" t="n">
        <v>0.0348</v>
      </c>
    </row>
    <row r="29" customFormat="false" ht="12.75" hidden="false" customHeight="false" outlineLevel="0" collapsed="false">
      <c r="A29" s="334" t="s">
        <v>356</v>
      </c>
      <c r="B29" s="396" t="n">
        <f aca="false">VALUE(INDEX(H29:AM29,1,$B$4))</f>
        <v>0.026</v>
      </c>
      <c r="C29" s="397" t="n">
        <f aca="false">1/(1-VALUE(B29))-1</f>
        <v>0.0266940451745381</v>
      </c>
      <c r="D29" s="398" t="n">
        <f aca="false">AVERAGE(Q29:W29)</f>
        <v>0.02275</v>
      </c>
      <c r="E29" s="397" t="n">
        <f aca="false">1/(1-VALUE(D29))-1</f>
        <v>0.0232796111537479</v>
      </c>
      <c r="F29" s="398" t="n">
        <f aca="false">AVERAGE(L29:P29)</f>
        <v>0.0288</v>
      </c>
      <c r="G29" s="397" t="n">
        <f aca="false">1/(1-VALUE(F29))-1</f>
        <v>0.0296540362438222</v>
      </c>
      <c r="H29" s="399" t="n">
        <v>0.022</v>
      </c>
      <c r="I29" s="399" t="n">
        <v>0.022</v>
      </c>
      <c r="J29" s="399" t="n">
        <v>0.024</v>
      </c>
      <c r="K29" s="399" t="n">
        <v>0.025</v>
      </c>
      <c r="L29" s="399" t="n">
        <v>0.021</v>
      </c>
      <c r="M29" s="399" t="n">
        <v>0.036</v>
      </c>
      <c r="N29" s="400" t="n">
        <v>0.03</v>
      </c>
      <c r="O29" s="401" t="n">
        <v>0.03</v>
      </c>
      <c r="P29" s="401" t="n">
        <v>0.027</v>
      </c>
      <c r="Q29" s="401" t="n">
        <v>0.021</v>
      </c>
      <c r="R29" s="401" t="n">
        <v>0.025</v>
      </c>
      <c r="S29" s="401" t="n">
        <v>0.019</v>
      </c>
      <c r="T29" s="402" t="n">
        <v>0.026</v>
      </c>
    </row>
    <row r="30" customFormat="false" ht="12.75" hidden="false" customHeight="false" outlineLevel="0" collapsed="false">
      <c r="A30" s="334" t="s">
        <v>357</v>
      </c>
      <c r="B30" s="396" t="n">
        <f aca="false">VALUE(INDEX(H30:AM30,1,$B$4))</f>
        <v>0.031</v>
      </c>
      <c r="C30" s="397" t="n">
        <f aca="false">1/(1-VALUE(B30))-1</f>
        <v>0.0319917440660475</v>
      </c>
      <c r="D30" s="398" t="n">
        <f aca="false">AVERAGE(Q30:W30)</f>
        <v>0.02675</v>
      </c>
      <c r="E30" s="397" t="n">
        <f aca="false">1/(1-VALUE(D30))-1</f>
        <v>0.0274852298998203</v>
      </c>
      <c r="F30" s="398" t="n">
        <f aca="false">AVERAGE(L30:P30)</f>
        <v>0.034</v>
      </c>
      <c r="G30" s="397" t="n">
        <f aca="false">1/(1-VALUE(F30))-1</f>
        <v>0.0351966873706004</v>
      </c>
      <c r="H30" s="399" t="n">
        <v>0.026</v>
      </c>
      <c r="I30" s="399" t="n">
        <v>0.026</v>
      </c>
      <c r="J30" s="399" t="n">
        <v>0.029</v>
      </c>
      <c r="K30" s="399" t="n">
        <v>0.029</v>
      </c>
      <c r="L30" s="399" t="n">
        <v>0.025</v>
      </c>
      <c r="M30" s="399" t="n">
        <v>0.042</v>
      </c>
      <c r="N30" s="400" t="n">
        <v>0.036</v>
      </c>
      <c r="O30" s="401" t="n">
        <v>0.036</v>
      </c>
      <c r="P30" s="401" t="n">
        <v>0.031</v>
      </c>
      <c r="Q30" s="401" t="n">
        <v>0.025</v>
      </c>
      <c r="R30" s="401" t="n">
        <v>0.029</v>
      </c>
      <c r="S30" s="401" t="n">
        <v>0.022</v>
      </c>
      <c r="T30" s="402" t="n">
        <v>0.031</v>
      </c>
    </row>
    <row r="31" customFormat="false" ht="12.75" hidden="false" customHeight="false" outlineLevel="0" collapsed="false">
      <c r="A31" s="334" t="s">
        <v>358</v>
      </c>
      <c r="B31" s="396" t="n">
        <f aca="false">VALUE(INDEX(H31:AM31,1,$B$4))</f>
        <v>0.039</v>
      </c>
      <c r="C31" s="397" t="n">
        <f aca="false">1/(1-VALUE(B31))-1</f>
        <v>0.0405827263267431</v>
      </c>
      <c r="D31" s="398" t="n">
        <f aca="false">AVERAGE(Q31:W31)</f>
        <v>0.03375</v>
      </c>
      <c r="E31" s="397" t="n">
        <f aca="false">1/(1-VALUE(D31))-1</f>
        <v>0.0349288486416559</v>
      </c>
      <c r="F31" s="398" t="n">
        <f aca="false">AVERAGE(L31:P31)</f>
        <v>0.0428</v>
      </c>
      <c r="G31" s="397" t="n">
        <f aca="false">1/(1-VALUE(F31))-1</f>
        <v>0.0447137484329294</v>
      </c>
      <c r="H31" s="399" t="n">
        <v>0.033</v>
      </c>
      <c r="I31" s="399" t="n">
        <v>0.033</v>
      </c>
      <c r="J31" s="399" t="n">
        <v>0.036</v>
      </c>
      <c r="K31" s="399" t="n">
        <v>0.036</v>
      </c>
      <c r="L31" s="399" t="n">
        <v>0.032</v>
      </c>
      <c r="M31" s="399" t="n">
        <v>0.053</v>
      </c>
      <c r="N31" s="400" t="n">
        <v>0.045</v>
      </c>
      <c r="O31" s="401" t="n">
        <v>0.045</v>
      </c>
      <c r="P31" s="401" t="n">
        <v>0.039</v>
      </c>
      <c r="Q31" s="401" t="n">
        <v>0.031</v>
      </c>
      <c r="R31" s="401" t="n">
        <v>0.037</v>
      </c>
      <c r="S31" s="401" t="n">
        <v>0.028</v>
      </c>
      <c r="T31" s="402" t="n">
        <v>0.039</v>
      </c>
    </row>
    <row r="32" customFormat="false" ht="12.75" hidden="false" customHeight="false" outlineLevel="0" collapsed="false">
      <c r="A32" s="334" t="s">
        <v>359</v>
      </c>
      <c r="B32" s="396" t="n">
        <f aca="false">VALUE(INDEX(H32:AM32,1,$B$4))</f>
        <v>0.0403</v>
      </c>
      <c r="C32" s="397" t="n">
        <f aca="false">VALUE(B32)</f>
        <v>0.0403</v>
      </c>
      <c r="D32" s="398" t="n">
        <f aca="false">AVERAGE(Q32:W32)</f>
        <v>0.041825</v>
      </c>
      <c r="E32" s="397" t="n">
        <f aca="false">VALUE(D32)</f>
        <v>0.041825</v>
      </c>
      <c r="F32" s="398" t="n">
        <f aca="false">AVERAGE(L32:P32)</f>
        <v>0.05944</v>
      </c>
      <c r="G32" s="397" t="n">
        <f aca="false">VALUE(F32)</f>
        <v>0.05944</v>
      </c>
      <c r="H32" s="399" t="n">
        <v>0.0662</v>
      </c>
      <c r="I32" s="399" t="n">
        <v>0.0684</v>
      </c>
      <c r="J32" s="399" t="n">
        <v>0.0713</v>
      </c>
      <c r="K32" s="399" t="n">
        <v>0.0687</v>
      </c>
      <c r="L32" s="399" t="n">
        <v>0.0663</v>
      </c>
      <c r="M32" s="399" t="n">
        <v>0.057</v>
      </c>
      <c r="N32" s="400" t="n">
        <v>0.0529</v>
      </c>
      <c r="O32" s="401" t="n">
        <v>0.0593</v>
      </c>
      <c r="P32" s="401" t="n">
        <v>0.0617</v>
      </c>
      <c r="Q32" s="401" t="n">
        <v>0.0451</v>
      </c>
      <c r="R32" s="401" t="n">
        <v>0.0417</v>
      </c>
      <c r="S32" s="401" t="n">
        <v>0.0402</v>
      </c>
      <c r="T32" s="402" t="n">
        <v>0.0403</v>
      </c>
    </row>
    <row r="33" customFormat="false" ht="12.75" hidden="false" customHeight="false" outlineLevel="0" collapsed="false">
      <c r="A33" s="334" t="s">
        <v>360</v>
      </c>
      <c r="B33" s="396" t="n">
        <f aca="false">VALUE(INDEX(H33:AM33,1,$B$4))</f>
        <v>0.025007</v>
      </c>
      <c r="C33" s="397" t="n">
        <f aca="false">VALUE(B33)</f>
        <v>0.025007</v>
      </c>
      <c r="D33" s="398" t="n">
        <f aca="false">AVERAGE(Q33:W33)</f>
        <v>0.0268292</v>
      </c>
      <c r="E33" s="397" t="n">
        <f aca="false">VALUE(D33)</f>
        <v>0.0268292</v>
      </c>
      <c r="F33" s="398" t="n">
        <f aca="false">AVERAGE(L33:P33)</f>
        <v>0.032642</v>
      </c>
      <c r="G33" s="397" t="n">
        <f aca="false">VALUE(F33)</f>
        <v>0.032642</v>
      </c>
      <c r="H33" s="399"/>
      <c r="I33" s="399" t="n">
        <v>0.0379262</v>
      </c>
      <c r="J33" s="399" t="n">
        <v>0.0426</v>
      </c>
      <c r="K33" s="399" t="n">
        <v>0.0391384</v>
      </c>
      <c r="L33" s="399" t="n">
        <v>0.0346671</v>
      </c>
      <c r="M33" s="399" t="n">
        <v>0.0351008</v>
      </c>
      <c r="N33" s="400" t="n">
        <v>0.0303975</v>
      </c>
      <c r="O33" s="401" t="n">
        <v>0.0315223</v>
      </c>
      <c r="P33" s="401" t="n">
        <v>0.0315223</v>
      </c>
      <c r="Q33" s="401" t="n">
        <v>0.0363432</v>
      </c>
      <c r="R33" s="401" t="n">
        <v>0.0256782</v>
      </c>
      <c r="S33" s="401" t="n">
        <v>0.0202884</v>
      </c>
      <c r="T33" s="402" t="n">
        <v>0.025007</v>
      </c>
    </row>
    <row r="34" customFormat="false" ht="12.75" hidden="false" customHeight="false" outlineLevel="0" collapsed="false">
      <c r="A34" s="334" t="s">
        <v>361</v>
      </c>
      <c r="B34" s="396" t="n">
        <f aca="false">VALUE(INDEX(H34:AM34,1,$B$4))</f>
        <v>0.0126364</v>
      </c>
      <c r="C34" s="397" t="n">
        <f aca="false">VALUE(B34)</f>
        <v>0.0126364</v>
      </c>
      <c r="D34" s="398" t="n">
        <f aca="false">AVERAGE(Q34:W34)</f>
        <v>0.01344905</v>
      </c>
      <c r="E34" s="397" t="n">
        <f aca="false">VALUE(D34)</f>
        <v>0.01344905</v>
      </c>
      <c r="F34" s="398" t="n">
        <f aca="false">AVERAGE(L34:P34)</f>
        <v>0.01734616</v>
      </c>
      <c r="G34" s="397" t="n">
        <f aca="false">VALUE(F34)</f>
        <v>0.01734616</v>
      </c>
      <c r="H34" s="399"/>
      <c r="I34" s="399"/>
      <c r="J34" s="399"/>
      <c r="K34" s="399" t="n">
        <v>0.0201212</v>
      </c>
      <c r="L34" s="399" t="n">
        <v>0.0182732</v>
      </c>
      <c r="M34" s="399" t="n">
        <v>0.0180734</v>
      </c>
      <c r="N34" s="400" t="n">
        <v>0.0164326</v>
      </c>
      <c r="O34" s="401" t="n">
        <v>0.0169758</v>
      </c>
      <c r="P34" s="401" t="n">
        <v>0.0169758</v>
      </c>
      <c r="Q34" s="401" t="n">
        <v>0.0186185</v>
      </c>
      <c r="R34" s="401" t="n">
        <v>0.0126923</v>
      </c>
      <c r="S34" s="401" t="n">
        <v>0.009849</v>
      </c>
      <c r="T34" s="402" t="n">
        <v>0.0126364</v>
      </c>
    </row>
    <row r="35" customFormat="false" ht="12.75" hidden="false" customHeight="false" outlineLevel="0" collapsed="false">
      <c r="A35" s="334" t="s">
        <v>362</v>
      </c>
      <c r="B35" s="396" t="n">
        <f aca="false">VALUE(INDEX(H35:AM35,1,$B$4))</f>
        <v>0.0061404</v>
      </c>
      <c r="C35" s="397" t="n">
        <f aca="false">VALUE(B35)</f>
        <v>0.0061404</v>
      </c>
      <c r="D35" s="398" t="n">
        <f aca="false">AVERAGE(Q35:W35)</f>
        <v>0.006439575</v>
      </c>
      <c r="E35" s="397" t="n">
        <f aca="false">VALUE(D35)</f>
        <v>0.006439575</v>
      </c>
      <c r="F35" s="398" t="n">
        <f aca="false">AVERAGE(L35:P35)</f>
        <v>0.0084776</v>
      </c>
      <c r="G35" s="397" t="n">
        <f aca="false">VALUE(F35)</f>
        <v>0.0084776</v>
      </c>
      <c r="H35" s="399"/>
      <c r="I35" s="399"/>
      <c r="J35" s="399"/>
      <c r="K35" s="399" t="n">
        <v>0.0102378</v>
      </c>
      <c r="L35" s="399" t="n">
        <v>0.009235</v>
      </c>
      <c r="M35" s="399" t="n">
        <v>0.0087339</v>
      </c>
      <c r="N35" s="400" t="n">
        <v>0.0079075</v>
      </c>
      <c r="O35" s="401" t="n">
        <v>0.0082558</v>
      </c>
      <c r="P35" s="401" t="n">
        <v>0.0082558</v>
      </c>
      <c r="Q35" s="401" t="n">
        <v>0.0093933</v>
      </c>
      <c r="R35" s="401" t="n">
        <v>0.0058692</v>
      </c>
      <c r="S35" s="401" t="n">
        <v>0.0043554</v>
      </c>
      <c r="T35" s="402" t="n">
        <v>0.0061404</v>
      </c>
    </row>
    <row r="36" customFormat="false" ht="12.75" hidden="false" customHeight="false" outlineLevel="0" collapsed="false">
      <c r="A36" s="334" t="s">
        <v>363</v>
      </c>
      <c r="B36" s="396" t="n">
        <f aca="false">VALUE(INDEX(H36:AM36,1,$B$4))</f>
        <v>0.0334</v>
      </c>
      <c r="C36" s="397" t="n">
        <f aca="false">VALUE(B36)</f>
        <v>0.0334</v>
      </c>
      <c r="D36" s="398" t="n">
        <f aca="false">AVERAGE(Q36:W36)</f>
        <v>0.0482</v>
      </c>
      <c r="E36" s="397" t="n">
        <f aca="false">VALUE(D36)</f>
        <v>0.0482</v>
      </c>
      <c r="F36" s="398" t="n">
        <f aca="false">AVERAGE(O36:P36)</f>
        <v>0.05635</v>
      </c>
      <c r="G36" s="397" t="n">
        <f aca="false">VALUE(F36)</f>
        <v>0.05635</v>
      </c>
      <c r="H36" s="399"/>
      <c r="I36" s="399" t="n">
        <v>0.045</v>
      </c>
      <c r="J36" s="399"/>
      <c r="K36" s="399"/>
      <c r="L36" s="399" t="n">
        <v>0.044</v>
      </c>
      <c r="M36" s="399" t="n">
        <v>0.044</v>
      </c>
      <c r="N36" s="400" t="n">
        <v>0.044</v>
      </c>
      <c r="O36" s="401" t="n">
        <v>0.0529</v>
      </c>
      <c r="P36" s="401" t="n">
        <v>0.0598</v>
      </c>
      <c r="Q36" s="401" t="n">
        <v>0.0561</v>
      </c>
      <c r="R36" s="401" t="n">
        <v>0.0534</v>
      </c>
      <c r="S36" s="401" t="n">
        <f aca="false">0.0274+0.0225</f>
        <v>0.0499</v>
      </c>
      <c r="T36" s="402" t="n">
        <v>0.0334</v>
      </c>
    </row>
    <row r="37" customFormat="false" ht="12.75" hidden="false" customHeight="false" outlineLevel="0" collapsed="false">
      <c r="A37" s="334" t="s">
        <v>364</v>
      </c>
      <c r="B37" s="289" t="n">
        <f aca="false">VALUE(INDEX(H37:AM37,1,$B$4))</f>
        <v>37.9</v>
      </c>
      <c r="F37" s="406"/>
      <c r="H37" s="289" t="n">
        <v>37.8</v>
      </c>
      <c r="I37" s="289" t="n">
        <v>38</v>
      </c>
      <c r="J37" s="289" t="n">
        <v>38</v>
      </c>
      <c r="K37" s="289" t="n">
        <v>37.9</v>
      </c>
      <c r="L37" s="289" t="n">
        <v>37.9</v>
      </c>
      <c r="M37" s="289" t="n">
        <v>38</v>
      </c>
      <c r="N37" s="0" t="n">
        <v>38</v>
      </c>
      <c r="O37" s="372" t="n">
        <v>38.15</v>
      </c>
      <c r="P37" s="372" t="n">
        <v>38.15</v>
      </c>
      <c r="Q37" s="372" t="n">
        <v>38.2</v>
      </c>
      <c r="R37" s="289" t="n">
        <v>38.2</v>
      </c>
      <c r="S37" s="289" t="n">
        <v>38.2</v>
      </c>
      <c r="T37" s="363" t="n">
        <v>37.9</v>
      </c>
    </row>
    <row r="38" customFormat="false" ht="12.75" hidden="false" customHeight="false" outlineLevel="0" collapsed="false">
      <c r="A38" s="334" t="s">
        <v>365</v>
      </c>
      <c r="B38" s="289" t="n">
        <f aca="false">VALUE(INDEX(H38:AM38,1,$B$4))</f>
        <v>39.22</v>
      </c>
      <c r="F38" s="406"/>
      <c r="H38" s="289" t="n">
        <v>39.2</v>
      </c>
      <c r="I38" s="289" t="n">
        <v>39.2</v>
      </c>
      <c r="J38" s="289" t="n">
        <v>39.2</v>
      </c>
      <c r="K38" s="289" t="n">
        <v>39.2</v>
      </c>
      <c r="L38" s="289" t="n">
        <v>39.2</v>
      </c>
      <c r="M38" s="289" t="n">
        <v>39.2</v>
      </c>
      <c r="N38" s="289" t="n">
        <v>39.11</v>
      </c>
      <c r="O38" s="372" t="n">
        <v>39</v>
      </c>
      <c r="P38" s="407" t="n">
        <v>39.2</v>
      </c>
      <c r="Q38" s="407" t="n">
        <v>39</v>
      </c>
      <c r="R38" s="407" t="n">
        <v>39.22</v>
      </c>
      <c r="S38" s="407" t="n">
        <v>39.22</v>
      </c>
      <c r="T38" s="407" t="n">
        <v>39.22</v>
      </c>
    </row>
    <row r="39" customFormat="false" ht="12.75" hidden="false" customHeight="false" outlineLevel="0" collapsed="false">
      <c r="A39" s="334" t="s">
        <v>366</v>
      </c>
      <c r="B39" s="289" t="n">
        <f aca="false">VALUE(INDEX(H39:AM39,1,$B$4))</f>
        <v>38.42</v>
      </c>
      <c r="F39" s="406"/>
      <c r="H39" s="289" t="n">
        <v>39.72</v>
      </c>
      <c r="I39" s="289" t="n">
        <v>39.72</v>
      </c>
      <c r="J39" s="289" t="n">
        <v>39.72</v>
      </c>
      <c r="K39" s="289" t="n">
        <v>39.72</v>
      </c>
      <c r="L39" s="289" t="n">
        <v>39.72</v>
      </c>
      <c r="M39" s="289" t="n">
        <v>39.72</v>
      </c>
      <c r="N39" s="289" t="n">
        <v>38.9</v>
      </c>
      <c r="O39" s="372" t="n">
        <v>38.8</v>
      </c>
      <c r="P39" s="407" t="n">
        <v>39.72</v>
      </c>
      <c r="Q39" s="407" t="n">
        <v>38.73</v>
      </c>
      <c r="R39" s="407" t="n">
        <v>38.42</v>
      </c>
      <c r="S39" s="407" t="n">
        <v>38.42</v>
      </c>
      <c r="T39" s="407" t="n">
        <v>38.42</v>
      </c>
    </row>
    <row r="40" customFormat="false" ht="12.75" hidden="false" customHeight="false" outlineLevel="0" collapsed="false">
      <c r="A40" s="0" t="s">
        <v>367</v>
      </c>
      <c r="R40" s="289" t="n">
        <v>37.75</v>
      </c>
      <c r="S40" s="289" t="n">
        <v>37.68</v>
      </c>
      <c r="T40" s="363" t="n">
        <v>37.58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1:J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41"/>
    <col collapsed="false" customWidth="true" hidden="false" outlineLevel="0" max="2" min="2" style="0" width="15.56"/>
  </cols>
  <sheetData>
    <row r="1" customFormat="false" ht="12.75" hidden="false" customHeight="false" outlineLevel="0" collapsed="false">
      <c r="B1" s="370" t="n">
        <v>37012</v>
      </c>
      <c r="E1" s="370" t="n">
        <v>37043</v>
      </c>
      <c r="H1" s="0" t="s">
        <v>75</v>
      </c>
    </row>
    <row r="2" customFormat="false" ht="45" hidden="false" customHeight="false" outlineLevel="0" collapsed="false">
      <c r="A2" s="346" t="s">
        <v>105</v>
      </c>
      <c r="B2" s="316" t="s">
        <v>163</v>
      </c>
      <c r="C2" s="316" t="s">
        <v>164</v>
      </c>
      <c r="E2" s="316" t="s">
        <v>163</v>
      </c>
      <c r="F2" s="316" t="s">
        <v>164</v>
      </c>
      <c r="H2" s="316" t="s">
        <v>368</v>
      </c>
      <c r="I2" s="316" t="s">
        <v>280</v>
      </c>
    </row>
    <row r="3" customFormat="false" ht="12.75" hidden="false" customHeight="false" outlineLevel="0" collapsed="false">
      <c r="A3" s="334" t="s">
        <v>116</v>
      </c>
      <c r="B3" s="350" t="n">
        <v>0.0314248699912546</v>
      </c>
      <c r="C3" s="324" t="n">
        <v>0.130728413808688</v>
      </c>
      <c r="E3" s="350" t="n">
        <v>0.0269694050780972</v>
      </c>
      <c r="F3" s="324" t="n">
        <v>0.12627294889553</v>
      </c>
      <c r="H3" s="408" t="n">
        <f aca="false">E3-B3</f>
        <v>-0.00445546491315738</v>
      </c>
      <c r="I3" s="408" t="n">
        <f aca="false">F3-C3</f>
        <v>-0.00445546491315738</v>
      </c>
    </row>
    <row r="4" customFormat="false" ht="12.75" hidden="false" customHeight="false" outlineLevel="0" collapsed="false">
      <c r="A4" s="334" t="s">
        <v>117</v>
      </c>
      <c r="B4" s="350" t="n">
        <v>0.0715899032352218</v>
      </c>
      <c r="C4" s="324" t="n">
        <v>0.282443723321926</v>
      </c>
      <c r="E4" s="350" t="n">
        <v>0.0667631495793013</v>
      </c>
      <c r="F4" s="324" t="n">
        <v>0.277616969666005</v>
      </c>
      <c r="H4" s="408" t="n">
        <f aca="false">E4-B4</f>
        <v>-0.00482675365592049</v>
      </c>
      <c r="I4" s="408" t="n">
        <f aca="false">F4-C4</f>
        <v>-0.00482675365592045</v>
      </c>
    </row>
    <row r="5" customFormat="false" ht="12.75" hidden="false" customHeight="false" outlineLevel="0" collapsed="false">
      <c r="A5" s="334" t="s">
        <v>118</v>
      </c>
      <c r="B5" s="350" t="n">
        <v>0.189767882291521</v>
      </c>
      <c r="C5" s="409" t="n">
        <v>0.795053954974467</v>
      </c>
      <c r="E5" s="350" t="n">
        <v>0.184198551150074</v>
      </c>
      <c r="F5" s="409" t="n">
        <v>0.78948462383302</v>
      </c>
      <c r="H5" s="408" t="n">
        <f aca="false">E5-B5</f>
        <v>-0.00556933114144673</v>
      </c>
      <c r="I5" s="408" t="n">
        <f aca="false">F5-C5</f>
        <v>-0.00556933114144675</v>
      </c>
    </row>
    <row r="6" customFormat="false" ht="12.75" hidden="false" customHeight="false" outlineLevel="0" collapsed="false">
      <c r="A6" s="352" t="s">
        <v>119</v>
      </c>
      <c r="B6" s="355" t="n">
        <v>0.19588943637318</v>
      </c>
      <c r="C6" s="356" t="n">
        <v>0.785641884198639</v>
      </c>
      <c r="E6" s="355" t="n">
        <v>0.186607217804102</v>
      </c>
      <c r="F6" s="356" t="n">
        <v>0.776359665629561</v>
      </c>
      <c r="H6" s="408" t="n">
        <f aca="false">E6-B6</f>
        <v>-0.00928221856907782</v>
      </c>
      <c r="I6" s="408" t="n">
        <f aca="false">F6-C6</f>
        <v>-0.00928221856907774</v>
      </c>
    </row>
    <row r="7" customFormat="false" ht="12.75" hidden="false" customHeight="false" outlineLevel="0" collapsed="false">
      <c r="A7" s="334" t="s">
        <v>120</v>
      </c>
      <c r="B7" s="350" t="n">
        <v>0.226294157885397</v>
      </c>
      <c r="C7" s="324" t="n">
        <v>0.817328557660158</v>
      </c>
      <c r="E7" s="350" t="n">
        <v>0.220724826743951</v>
      </c>
      <c r="F7" s="324" t="n">
        <v>0.811759226518711</v>
      </c>
      <c r="H7" s="408" t="n">
        <f aca="false">E7-B7</f>
        <v>-0.00556933114144673</v>
      </c>
      <c r="I7" s="408" t="n">
        <f aca="false">F7-C7</f>
        <v>-0.00556933114144675</v>
      </c>
    </row>
    <row r="8" customFormat="false" ht="12.75" hidden="false" customHeight="false" outlineLevel="0" collapsed="false">
      <c r="A8" s="334" t="s">
        <v>121</v>
      </c>
      <c r="B8" s="350" t="n">
        <v>0.2264939281081</v>
      </c>
      <c r="C8" s="324" t="n">
        <v>0.816696422894484</v>
      </c>
      <c r="E8" s="350" t="n">
        <v>0.220924596966654</v>
      </c>
      <c r="F8" s="324" t="n">
        <v>0.811127091753037</v>
      </c>
      <c r="H8" s="408" t="n">
        <f aca="false">E8-B8</f>
        <v>-0.0055693311414467</v>
      </c>
      <c r="I8" s="408" t="n">
        <f aca="false">F8-C8</f>
        <v>-0.00556933114144675</v>
      </c>
    </row>
    <row r="9" customFormat="false" ht="12.75" hidden="false" customHeight="false" outlineLevel="0" collapsed="false">
      <c r="A9" s="334" t="s">
        <v>122</v>
      </c>
      <c r="B9" s="350" t="n">
        <v>0.206125258494985</v>
      </c>
      <c r="C9" s="324" t="n">
        <v>0.845082840714909</v>
      </c>
      <c r="E9" s="350" t="n">
        <v>0.200555927353538</v>
      </c>
      <c r="F9" s="324" t="n">
        <v>0.839513509573463</v>
      </c>
      <c r="H9" s="408" t="n">
        <f aca="false">E9-B9</f>
        <v>-0.00556933114144673</v>
      </c>
      <c r="I9" s="408" t="n">
        <f aca="false">F9-C9</f>
        <v>-0.00556933114144675</v>
      </c>
    </row>
    <row r="10" customFormat="false" ht="12.75" hidden="false" customHeight="false" outlineLevel="0" collapsed="false">
      <c r="A10" s="352" t="s">
        <v>123</v>
      </c>
      <c r="B10" s="355" t="n">
        <v>0.163035307654422</v>
      </c>
      <c r="C10" s="410" t="n">
        <v>0.672106609394056</v>
      </c>
      <c r="E10" s="355" t="n">
        <v>0.157837265255738</v>
      </c>
      <c r="F10" s="410" t="n">
        <v>0.666908566995372</v>
      </c>
      <c r="H10" s="408" t="n">
        <f aca="false">E10-B10</f>
        <v>-0.00519804239868357</v>
      </c>
      <c r="I10" s="408" t="n">
        <f aca="false">F10-C10</f>
        <v>-0.0051980423986836</v>
      </c>
    </row>
    <row r="11" customFormat="false" ht="12.75" hidden="false" customHeight="false" outlineLevel="0" collapsed="false">
      <c r="A11" s="334" t="s">
        <v>124</v>
      </c>
      <c r="B11" s="350" t="n">
        <v>0.123762914254372</v>
      </c>
      <c r="C11" s="324" t="n">
        <v>0.459243344194372</v>
      </c>
      <c r="E11" s="350" t="n">
        <v>0.0984047636273287</v>
      </c>
      <c r="F11" s="324" t="n">
        <v>0.433885193567329</v>
      </c>
      <c r="H11" s="408" t="n">
        <f aca="false">E11-B11</f>
        <v>-0.0253581506270432</v>
      </c>
      <c r="I11" s="408" t="n">
        <f aca="false">F11-C11</f>
        <v>-0.0253581506270432</v>
      </c>
    </row>
    <row r="12" customFormat="false" ht="12.75" hidden="false" customHeight="false" outlineLevel="0" collapsed="false">
      <c r="A12" s="334" t="s">
        <v>125</v>
      </c>
      <c r="B12" s="350" t="n">
        <v>0.17157164125606</v>
      </c>
      <c r="C12" s="324" t="n">
        <v>0.66756219142606</v>
      </c>
      <c r="E12" s="350" t="n">
        <v>0.133694506138981</v>
      </c>
      <c r="F12" s="324" t="n">
        <v>0.629685056308981</v>
      </c>
      <c r="H12" s="408" t="n">
        <f aca="false">E12-B12</f>
        <v>-0.0378771351170786</v>
      </c>
      <c r="I12" s="408" t="n">
        <f aca="false">F12-C12</f>
        <v>-0.0378771351170786</v>
      </c>
    </row>
    <row r="13" customFormat="false" ht="12.75" hidden="false" customHeight="false" outlineLevel="0" collapsed="false">
      <c r="A13" s="334" t="s">
        <v>126</v>
      </c>
      <c r="B13" s="350" t="n">
        <v>0.202397405732219</v>
      </c>
      <c r="C13" s="324" t="n">
        <v>0.798199072457727</v>
      </c>
      <c r="E13" s="350" t="n">
        <v>0.196828074590772</v>
      </c>
      <c r="F13" s="324" t="n">
        <v>0.79262974131628</v>
      </c>
      <c r="H13" s="408" t="n">
        <f aca="false">E13-B13</f>
        <v>-0.00556933114144673</v>
      </c>
      <c r="I13" s="408" t="n">
        <f aca="false">F13-C13</f>
        <v>-0.00556933114144675</v>
      </c>
    </row>
    <row r="14" customFormat="false" ht="12.75" hidden="false" customHeight="false" outlineLevel="0" collapsed="false">
      <c r="A14" s="352" t="s">
        <v>127</v>
      </c>
      <c r="B14" s="355"/>
      <c r="C14" s="410" t="n">
        <v>0.405036635682329</v>
      </c>
      <c r="E14" s="355"/>
      <c r="F14" s="410" t="n">
        <v>0.378577919080129</v>
      </c>
      <c r="H14" s="408"/>
      <c r="I14" s="408" t="n">
        <f aca="false">F14-C14</f>
        <v>-0.0264587166022001</v>
      </c>
    </row>
    <row r="15" customFormat="false" ht="12.75" hidden="false" customHeight="false" outlineLevel="0" collapsed="false">
      <c r="A15" s="334" t="s">
        <v>128</v>
      </c>
      <c r="B15" s="350"/>
      <c r="C15" s="324" t="n">
        <v>0.122592912360403</v>
      </c>
      <c r="E15" s="350"/>
      <c r="F15" s="324" t="n">
        <v>0.100960949414123</v>
      </c>
      <c r="H15" s="408"/>
      <c r="I15" s="408" t="n">
        <f aca="false">F15-C15</f>
        <v>-0.0216319629462796</v>
      </c>
    </row>
    <row r="16" customFormat="false" ht="12.75" hidden="false" customHeight="false" outlineLevel="0" collapsed="false">
      <c r="A16" s="334" t="s">
        <v>129</v>
      </c>
      <c r="B16" s="350"/>
      <c r="C16" s="324" t="n">
        <v>0.0707099415672416</v>
      </c>
      <c r="E16" s="350"/>
      <c r="F16" s="324" t="n">
        <v>0.0593024778089796</v>
      </c>
      <c r="H16" s="408"/>
      <c r="I16" s="408" t="n">
        <f aca="false">F16-C16</f>
        <v>-0.011407463758262</v>
      </c>
    </row>
    <row r="17" customFormat="false" ht="12.75" hidden="false" customHeight="false" outlineLevel="0" collapsed="false">
      <c r="A17" s="334" t="s">
        <v>130</v>
      </c>
      <c r="B17" s="350"/>
      <c r="C17" s="324" t="n">
        <v>0.0434493975911738</v>
      </c>
      <c r="E17" s="350"/>
      <c r="F17" s="324" t="n">
        <v>0.037380242851988</v>
      </c>
      <c r="H17" s="408"/>
      <c r="I17" s="408" t="n">
        <f aca="false">F17-C17</f>
        <v>-0.00606915473918575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:C3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9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16" topLeftCell="BM17" activePane="bottomLeft" state="frozen"/>
      <selection pane="topLeft" activeCell="A1" activeCellId="0" sqref="A1"/>
      <selection pane="bottom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56"/>
    <col collapsed="false" customWidth="true" hidden="false" outlineLevel="0" max="2" min="2" style="289" width="14.14"/>
    <col collapsed="false" customWidth="true" hidden="false" outlineLevel="0" max="3" min="3" style="289" width="11.85"/>
    <col collapsed="false" customWidth="true" hidden="false" outlineLevel="0" max="4" min="4" style="0" width="12.56"/>
    <col collapsed="false" customWidth="true" hidden="false" outlineLevel="0" max="6" min="5" style="0" width="10.99"/>
    <col collapsed="false" customWidth="true" hidden="false" outlineLevel="0" max="7" min="7" style="0" width="14.85"/>
    <col collapsed="false" customWidth="true" hidden="false" outlineLevel="0" max="8" min="8" style="0" width="4.14"/>
    <col collapsed="false" customWidth="true" hidden="false" outlineLevel="0" max="10" min="9" style="0" width="10.99"/>
    <col collapsed="false" customWidth="true" hidden="false" outlineLevel="0" max="11" min="11" style="0" width="14.85"/>
  </cols>
  <sheetData>
    <row r="1" customFormat="false" ht="20.25" hidden="false" customHeight="false" outlineLevel="0" collapsed="false">
      <c r="A1" s="290" t="s">
        <v>90</v>
      </c>
      <c r="B1" s="291" t="n">
        <v>37073</v>
      </c>
      <c r="C1" s="291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customFormat="false" ht="12.75" hidden="false" customHeight="true" outlineLevel="0" collapsed="false"/>
    <row r="3" customFormat="false" ht="17.25" hidden="false" customHeight="true" outlineLevel="0" collapsed="false">
      <c r="J3" s="293" t="s">
        <v>91</v>
      </c>
      <c r="K3" s="294" t="n">
        <f aca="false">Mids!A1</f>
        <v>37069</v>
      </c>
    </row>
    <row r="4" customFormat="false" ht="12.75" hidden="false" customHeight="false" outlineLevel="0" collapsed="false">
      <c r="A4" s="0" t="s">
        <v>59</v>
      </c>
      <c r="B4" s="295" t="n">
        <f aca="false">VLOOKUP(B1,Mids!A:AI,35)</f>
        <v>1.51707948985194</v>
      </c>
    </row>
    <row r="5" customFormat="false" ht="12.75" hidden="false" customHeight="false" outlineLevel="0" collapsed="false">
      <c r="A5" s="0" t="s">
        <v>92</v>
      </c>
      <c r="B5" s="296" t="n">
        <v>0</v>
      </c>
      <c r="C5" s="289" t="s">
        <v>93</v>
      </c>
    </row>
    <row r="6" customFormat="false" ht="12.75" hidden="false" customHeight="false" outlineLevel="0" collapsed="false">
      <c r="A6" s="0" t="s">
        <v>92</v>
      </c>
      <c r="B6" s="297" t="n">
        <f aca="false">B5/B4*1.055056</f>
        <v>0</v>
      </c>
      <c r="C6" s="289" t="s">
        <v>94</v>
      </c>
    </row>
    <row r="8" customFormat="false" ht="15" hidden="false" customHeight="false" outlineLevel="0" collapsed="false">
      <c r="A8" s="298" t="s">
        <v>95</v>
      </c>
      <c r="B8" s="289" t="s">
        <v>93</v>
      </c>
      <c r="C8" s="289" t="s">
        <v>94</v>
      </c>
    </row>
    <row r="9" customFormat="false" ht="15.75" hidden="false" customHeight="false" outlineLevel="0" collapsed="false">
      <c r="A9" s="0" t="s">
        <v>96</v>
      </c>
      <c r="B9" s="299" t="n">
        <f aca="false">VLOOKUP(B1,Mids!A:AB,28)+Mids!$T$3</f>
        <v>3.735</v>
      </c>
      <c r="C9" s="297" t="n">
        <f aca="false">B9*1.055056/$B$4</f>
        <v>2.5975133052419</v>
      </c>
    </row>
    <row r="10" customFormat="false" ht="12.75" hidden="false" customHeight="false" outlineLevel="0" collapsed="false">
      <c r="A10" s="0" t="s">
        <v>97</v>
      </c>
      <c r="B10" s="300" t="n">
        <f aca="false">B9+B6</f>
        <v>3.735</v>
      </c>
      <c r="C10" s="297" t="n">
        <f aca="false">B10*1.055056/$B$4</f>
        <v>2.5975133052419</v>
      </c>
    </row>
    <row r="11" customFormat="false" ht="12.75" hidden="false" customHeight="false" outlineLevel="0" collapsed="false">
      <c r="A11" s="0" t="s">
        <v>98</v>
      </c>
      <c r="B11" s="301" t="n">
        <f aca="false">VLOOKUP(B1,Mids!A:AD,30)</f>
        <v>4.2625</v>
      </c>
      <c r="C11" s="297" t="n">
        <f aca="false">B11*1.055056/$B$4</f>
        <v>2.96436424728074</v>
      </c>
    </row>
    <row r="12" customFormat="false" ht="12.75" hidden="false" customHeight="false" outlineLevel="0" collapsed="false">
      <c r="A12" s="0" t="s">
        <v>99</v>
      </c>
      <c r="B12" s="297"/>
      <c r="C12" s="301" t="n">
        <f aca="false">C13</f>
        <v>2.697</v>
      </c>
    </row>
    <row r="13" customFormat="false" ht="12.75" hidden="false" customHeight="false" outlineLevel="0" collapsed="false">
      <c r="A13" s="0" t="s">
        <v>100</v>
      </c>
      <c r="B13" s="297"/>
      <c r="C13" s="301" t="n">
        <f aca="false">VLOOKUP(B1,Mids!A:AE,31)</f>
        <v>2.697</v>
      </c>
    </row>
    <row r="14" customFormat="false" ht="16.5" hidden="false" customHeight="true" outlineLevel="0" collapsed="false">
      <c r="A14" s="0" t="s">
        <v>101</v>
      </c>
      <c r="B14" s="297"/>
      <c r="C14" s="301" t="n">
        <f aca="false">C10+I22</f>
        <v>2.66849437373505</v>
      </c>
    </row>
    <row r="15" customFormat="false" ht="19.5" hidden="false" customHeight="true" outlineLevel="0" collapsed="false">
      <c r="A15" s="302" t="s">
        <v>90</v>
      </c>
      <c r="B15" s="303" t="n">
        <v>37073</v>
      </c>
      <c r="C15" s="304"/>
      <c r="D15" s="305"/>
      <c r="E15" s="306" t="s">
        <v>102</v>
      </c>
      <c r="F15" s="306"/>
      <c r="G15" s="307"/>
      <c r="H15" s="308"/>
      <c r="I15" s="309" t="s">
        <v>103</v>
      </c>
      <c r="J15" s="310" t="s">
        <v>104</v>
      </c>
      <c r="K15" s="308"/>
      <c r="L15" s="308"/>
    </row>
    <row r="16" customFormat="false" ht="15.75" hidden="false" customHeight="true" outlineLevel="0" collapsed="false">
      <c r="A16" s="311" t="s">
        <v>105</v>
      </c>
      <c r="B16" s="312" t="s">
        <v>106</v>
      </c>
      <c r="C16" s="313" t="s">
        <v>107</v>
      </c>
      <c r="D16" s="313" t="s">
        <v>108</v>
      </c>
      <c r="E16" s="313" t="s">
        <v>109</v>
      </c>
      <c r="F16" s="313" t="s">
        <v>110</v>
      </c>
      <c r="G16" s="314" t="s">
        <v>111</v>
      </c>
      <c r="H16" s="315"/>
      <c r="I16" s="312" t="s">
        <v>110</v>
      </c>
      <c r="J16" s="314" t="s">
        <v>111</v>
      </c>
      <c r="K16" s="316"/>
    </row>
    <row r="17" customFormat="false" ht="12.75" hidden="false" customHeight="false" outlineLevel="0" collapsed="false">
      <c r="A17" s="317" t="s">
        <v>112</v>
      </c>
      <c r="B17" s="318" t="n">
        <f aca="false">'Fuel Ratio'!$C$15</f>
        <v>0.013</v>
      </c>
      <c r="C17" s="319" t="n">
        <f aca="false">$C$10*B17</f>
        <v>0.0337676729681446</v>
      </c>
      <c r="D17" s="320" t="n">
        <f aca="false">'Nova&amp;ANG&amp;GLGT$'!$C$16+'Nova&amp;ANG&amp;GLGT$'!$C$18</f>
        <v>0.00602833412541072</v>
      </c>
      <c r="E17" s="320" t="n">
        <f aca="false">(1+'Fuel Ratio'!$C$15)*Summary!$B$6+'Nova&amp;ANG&amp;GLGT$'!$C$17+'Nova&amp;ANG&amp;GLGT$'!$C$18</f>
        <v>0.0614434774293882</v>
      </c>
      <c r="F17" s="321" t="n">
        <f aca="false">C17+D17</f>
        <v>0.0397960070935554</v>
      </c>
      <c r="G17" s="322" t="n">
        <f aca="false">C17+E17</f>
        <v>0.0952111503975328</v>
      </c>
      <c r="H17" s="321"/>
      <c r="I17" s="323" t="n">
        <f aca="false">$F17*$B$4/1.055056</f>
        <v>0.05722322430244</v>
      </c>
      <c r="J17" s="322" t="n">
        <f aca="false">$G17*$B$4/1.055056</f>
        <v>0.1369054187392</v>
      </c>
      <c r="K17" s="324"/>
      <c r="L17" s="324"/>
    </row>
    <row r="18" customFormat="false" ht="12.75" hidden="false" customHeight="false" outlineLevel="0" collapsed="false">
      <c r="A18" s="317" t="s">
        <v>113</v>
      </c>
      <c r="B18" s="318" t="n">
        <f aca="false">(1+'Fuel Ratio'!$C$16)*'Fuel Ratio'!$C$15+'Fuel Ratio'!$C$16</f>
        <v>0.0235042238493662</v>
      </c>
      <c r="C18" s="319" t="n">
        <f aca="false">$C$10*B18</f>
        <v>0.0610525341781125</v>
      </c>
      <c r="D18" s="320" t="n">
        <f aca="false">(1+'Fuel Ratio'!$C$16)*('Nova&amp;ANG&amp;GLGT$'!$C$16+'Nova&amp;ANG&amp;GLGT$'!$C$18)+'PGT$'!$B$7+'PGT$'!$B$9+'PGT$'!$B$10</f>
        <v>0.0188966544621255</v>
      </c>
      <c r="E18" s="320" t="n">
        <f aca="false">(1+'Fuel Ratio'!$C$16+'Fuel Ratio'!$C$15)*Summary!$B$6+(1+'Fuel Ratio'!$C$16)*('Nova&amp;ANG&amp;GLGT$'!$C$17+'Nova&amp;ANG&amp;GLGT$'!$C$18)+'PGT$'!$B$8+'PGT$'!$B$9+'PGT$'!$B$10</f>
        <v>0.206299950737386</v>
      </c>
      <c r="F18" s="321" t="n">
        <f aca="false">C18+D18</f>
        <v>0.079949188640238</v>
      </c>
      <c r="G18" s="322" t="n">
        <f aca="false">C18+E18</f>
        <v>0.267352484915498</v>
      </c>
      <c r="H18" s="321"/>
      <c r="I18" s="323" t="n">
        <f aca="false">$F18*$B$4/1.055056</f>
        <v>0.114960034648785</v>
      </c>
      <c r="J18" s="322" t="n">
        <f aca="false">$G18*$B$4/1.055056</f>
        <v>0.384429804130068</v>
      </c>
      <c r="K18" s="324"/>
      <c r="L18" s="324"/>
    </row>
    <row r="19" customFormat="false" ht="12.75" hidden="false" customHeight="false" outlineLevel="0" collapsed="false">
      <c r="A19" s="317" t="s">
        <v>114</v>
      </c>
      <c r="B19" s="318" t="n">
        <f aca="false">(((1+'Fuel Ratio'!$C$13)*'Fuel Ratio'!$C$16+'Fuel Ratio'!$C$13)+1)*'Fuel Ratio'!$C$15+(1+'Fuel Ratio'!$C$13)*'Fuel Ratio'!$C$16+'Fuel Ratio'!$C$13</f>
        <v>0.0389851018671873</v>
      </c>
      <c r="C19" s="319" t="n">
        <f aca="false">$C$10*B19</f>
        <v>0.10126432080623</v>
      </c>
      <c r="D19" s="320" t="n">
        <f aca="false">(1+'Fuel Ratio'!$C$13)*('PGT$'!$B$7+'PGT$'!$B$9)+(1+'Fuel Ratio'!$C$13)*(1+'Fuel Ratio'!$C$16)*('Nova&amp;ANG&amp;GLGT$'!$C$16+'Nova&amp;ANG&amp;GLGT$'!$C$18)+'NWP$'!$B$6+'NWP$'!$B$8+'NWP$'!$B$9</f>
        <v>0.0512765957386311</v>
      </c>
      <c r="E19" s="320" t="n">
        <f aca="false">(1+'Fuel Ratio'!$C$13)*('PGT$'!$B$8+'PGT$'!$B$9)+(1+'Fuel Ratio'!$C$13)*(1+'Fuel Ratio'!$C$16)*('Nova&amp;ANG&amp;GLGT$'!$C$17+'Nova&amp;ANG&amp;GLGT$'!$C$18)+'NWP$'!$B$7+'NWP$'!$B$8+'NWP$'!$B$9+((1+'Fuel Ratio'!$C$13)*(1+'Fuel Ratio'!$C$16)+'Fuel Ratio'!$C$15)*Summary!$B$6</f>
        <v>0.519114435831272</v>
      </c>
      <c r="F19" s="321" t="n">
        <f aca="false">C19+D19</f>
        <v>0.152540916544861</v>
      </c>
      <c r="G19" s="322" t="n">
        <f aca="false">C19+E19</f>
        <v>0.620378756637502</v>
      </c>
      <c r="H19" s="321"/>
      <c r="I19" s="323" t="n">
        <f aca="false">$F19*$B$4/1.055056</f>
        <v>0.219340675616673</v>
      </c>
      <c r="J19" s="322" t="n">
        <f aca="false">$G19*$B$4/1.055056</f>
        <v>0.892051121110729</v>
      </c>
      <c r="K19" s="324"/>
      <c r="L19" s="324"/>
    </row>
    <row r="20" customFormat="false" ht="12.75" hidden="false" customHeight="false" outlineLevel="0" collapsed="false">
      <c r="A20" s="317" t="s">
        <v>115</v>
      </c>
      <c r="B20" s="318" t="n">
        <f aca="false">(1+'Fuel Ratio'!$C$17)*'Fuel Ratio'!$C$15+'Fuel Ratio'!$C$17</f>
        <v>0.0364878511959514</v>
      </c>
      <c r="C20" s="319" t="n">
        <f aca="false">$C$10*B20</f>
        <v>0.0947776789611702</v>
      </c>
      <c r="D20" s="320" t="n">
        <f aca="false">(1+'Fuel Ratio'!$C$17)*('Nova&amp;ANG&amp;GLGT$'!$C$16+'Nova&amp;ANG&amp;GLGT$'!$C$18)+'PGT$'!$B$17+'PGT$'!$B$19+'PGT$'!$B$20</f>
        <v>0.0233300896583793</v>
      </c>
      <c r="E20" s="320" t="n">
        <f aca="false">(1+'Fuel Ratio'!$C$17+'Fuel Ratio'!$C$15)*Summary!$B$6+(1+'Fuel Ratio'!$C$17)*('Nova&amp;ANG&amp;GLGT$'!$C$17+'Nova&amp;ANG&amp;GLGT$'!$C$18)+'PGT$'!$B$18+'PGT$'!$B$19+'PGT$'!$B$20</f>
        <v>0.33509185217255</v>
      </c>
      <c r="F20" s="321" t="n">
        <f aca="false">C20+D20</f>
        <v>0.11810776861955</v>
      </c>
      <c r="G20" s="322" t="n">
        <f aca="false">C20+E20</f>
        <v>0.429869531133721</v>
      </c>
      <c r="H20" s="321"/>
      <c r="I20" s="323" t="n">
        <f aca="false">$F20*$B$4/1.055056</f>
        <v>0.16982878005044</v>
      </c>
      <c r="J20" s="322" t="n">
        <f aca="false">$G20*$B$4/1.055056</f>
        <v>0.618115293401713</v>
      </c>
      <c r="K20" s="324"/>
      <c r="L20" s="324"/>
    </row>
    <row r="21" customFormat="false" ht="21.75" hidden="false" customHeight="true" outlineLevel="0" collapsed="false">
      <c r="A21" s="317" t="s">
        <v>116</v>
      </c>
      <c r="B21" s="318" t="n">
        <f aca="false">'Fuel Ratio'!$C$20</f>
        <v>0.0047</v>
      </c>
      <c r="C21" s="319" t="n">
        <f aca="false">$C$10*B21</f>
        <v>0.0122083125346369</v>
      </c>
      <c r="D21" s="320" t="n">
        <f aca="false">'TCPL$'!$C$10</f>
        <v>0.00554275262189502</v>
      </c>
      <c r="E21" s="320" t="n">
        <f aca="false">('Fuel Ratio'!$C$20+1)*Summary!$B$6+'TCPL$'!$C$11</f>
        <v>0.10682143070553</v>
      </c>
      <c r="F21" s="321" t="n">
        <f aca="false">C21+D21</f>
        <v>0.0177510651565319</v>
      </c>
      <c r="G21" s="322" t="n">
        <f aca="false">C21+E21</f>
        <v>0.119029743240167</v>
      </c>
      <c r="H21" s="321"/>
      <c r="I21" s="323" t="n">
        <f aca="false">$F21*$B$4/1.055056</f>
        <v>0.0255245</v>
      </c>
      <c r="J21" s="322" t="n">
        <f aca="false">$G21*$B$4/1.055056</f>
        <v>0.1711545</v>
      </c>
      <c r="K21" s="324"/>
      <c r="L21" s="324"/>
    </row>
    <row r="22" customFormat="false" ht="12.75" hidden="false" customHeight="false" outlineLevel="0" collapsed="false">
      <c r="A22" s="317" t="s">
        <v>117</v>
      </c>
      <c r="B22" s="318" t="n">
        <f aca="false">'Fuel Ratio'!$C$22</f>
        <v>0.0132</v>
      </c>
      <c r="C22" s="319" t="n">
        <f aca="false">$C$10*B22</f>
        <v>0.034287175629193</v>
      </c>
      <c r="D22" s="320" t="n">
        <f aca="false">('TCPL$'!$C$16+'TCPL$'!$C$18)</f>
        <v>0.0150767520364683</v>
      </c>
      <c r="E22" s="320" t="n">
        <f aca="false">('Fuel Ratio'!$C$22+1)*Summary!$B$6+('TCPL$'!$C$19+'TCPL$'!$C$21)</f>
        <v>0.23012442653363</v>
      </c>
      <c r="F22" s="321" t="n">
        <f aca="false">C22+D22</f>
        <v>0.0493639276656614</v>
      </c>
      <c r="G22" s="322" t="n">
        <f aca="false">C22+E22</f>
        <v>0.264411602162823</v>
      </c>
      <c r="H22" s="321"/>
      <c r="I22" s="323" t="n">
        <f aca="false">$F22*$B$4/1.055056</f>
        <v>0.0709810684931507</v>
      </c>
      <c r="J22" s="322" t="n">
        <f aca="false">$G22*$B$4/1.055056</f>
        <v>0.380201068493151</v>
      </c>
      <c r="K22" s="324"/>
      <c r="L22" s="324"/>
    </row>
    <row r="23" customFormat="false" ht="12.75" hidden="false" customHeight="false" outlineLevel="0" collapsed="false">
      <c r="A23" s="317" t="s">
        <v>118</v>
      </c>
      <c r="B23" s="318" t="n">
        <f aca="false">'Fuel Ratio'!$C$23</f>
        <v>0.0403</v>
      </c>
      <c r="C23" s="319" t="n">
        <f aca="false">$C$10*B23</f>
        <v>0.104679786201248</v>
      </c>
      <c r="D23" s="320" t="n">
        <f aca="false">'TCPL$'!$C$26+'TCPL$'!$C$27</f>
        <v>0.0356354379864249</v>
      </c>
      <c r="E23" s="320" t="n">
        <f aca="false">('Fuel Ratio'!$C$23+1)*Summary!$B$6+'TCPL$'!$C$28+'TCPL$'!$C$30+'TCPL$'!$C$29</f>
        <v>0.652562772735629</v>
      </c>
      <c r="F23" s="321" t="n">
        <f aca="false">C23+D23</f>
        <v>0.140315224187673</v>
      </c>
      <c r="G23" s="322" t="n">
        <f aca="false">C23+E23</f>
        <v>0.757242558936877</v>
      </c>
      <c r="H23" s="321"/>
      <c r="I23" s="323" t="n">
        <f aca="false">$F23*$B$4/1.055056</f>
        <v>0.201761184931507</v>
      </c>
      <c r="J23" s="322" t="n">
        <f aca="false">$G23*$B$4/1.055056</f>
        <v>1.08884945918144</v>
      </c>
      <c r="K23" s="324"/>
      <c r="L23" s="324"/>
    </row>
    <row r="24" customFormat="false" ht="12.75" hidden="false" customHeight="false" outlineLevel="0" collapsed="false">
      <c r="A24" s="317" t="s">
        <v>119</v>
      </c>
      <c r="B24" s="318" t="n">
        <f aca="false">'Fuel Ratio'!$C$24</f>
        <v>0.0418</v>
      </c>
      <c r="C24" s="319" t="n">
        <f aca="false">$C$10*B24</f>
        <v>0.108576056159111</v>
      </c>
      <c r="D24" s="320" t="n">
        <f aca="false">'TCPL$'!$C$35+'TCPL$'!$C$36</f>
        <v>0.0358199709409738</v>
      </c>
      <c r="E24" s="320" t="n">
        <f aca="false">('Fuel Ratio'!$C$24+1)*Summary!$B$6+'TCPL$'!$C$37+'TCPL$'!$C$38</f>
        <v>0.637302516439665</v>
      </c>
      <c r="F24" s="321" t="n">
        <f aca="false">C24+D24</f>
        <v>0.144396027100085</v>
      </c>
      <c r="G24" s="322" t="n">
        <f aca="false">C24+E24</f>
        <v>0.745878572598776</v>
      </c>
      <c r="H24" s="321"/>
      <c r="I24" s="323" t="n">
        <f aca="false">$F24*$B$4/1.055056</f>
        <v>0.20762902739726</v>
      </c>
      <c r="J24" s="322" t="n">
        <f aca="false">$G24*$B$4/1.055056</f>
        <v>1.07250902739726</v>
      </c>
      <c r="K24" s="321"/>
      <c r="L24" s="321"/>
    </row>
    <row r="25" customFormat="false" ht="12.75" hidden="false" customHeight="false" outlineLevel="0" collapsed="false">
      <c r="A25" s="317" t="s">
        <v>120</v>
      </c>
      <c r="B25" s="318" t="n">
        <f aca="false">'Fuel Ratio'!$C$25</f>
        <v>0.0459</v>
      </c>
      <c r="C25" s="319" t="n">
        <f aca="false">$C$10*B25</f>
        <v>0.119225860710603</v>
      </c>
      <c r="D25" s="320" t="n">
        <f aca="false">'TCPL$'!$C$43+'TCPL$'!$C$44</f>
        <v>0.0513038196327743</v>
      </c>
      <c r="E25" s="320" t="n">
        <f aca="false">('Fuel Ratio'!$C$25+1)*Summary!$B$6+'TCPL$'!$C$45+'TCPL$'!$C$46</f>
        <v>0.654093814934371</v>
      </c>
      <c r="F25" s="321" t="n">
        <f aca="false">C25+D25</f>
        <v>0.170529680343377</v>
      </c>
      <c r="G25" s="322" t="n">
        <f aca="false">C25+E25</f>
        <v>0.773319675644974</v>
      </c>
      <c r="H25" s="321"/>
      <c r="I25" s="323" t="n">
        <f aca="false">$F25*$B$4/1.055056</f>
        <v>0.245206965753425</v>
      </c>
      <c r="J25" s="322" t="n">
        <f aca="false">$G25*$B$4/1.055056</f>
        <v>1.11196696575342</v>
      </c>
      <c r="K25" s="321"/>
      <c r="L25" s="321"/>
    </row>
    <row r="26" customFormat="false" ht="12.75" hidden="false" customHeight="false" outlineLevel="0" collapsed="false">
      <c r="A26" s="317" t="s">
        <v>121</v>
      </c>
      <c r="B26" s="318" t="n">
        <f aca="false">'Fuel Ratio'!$C$26</f>
        <v>0.0457</v>
      </c>
      <c r="C26" s="319" t="n">
        <f aca="false">$C$10*B26</f>
        <v>0.118706358049555</v>
      </c>
      <c r="D26" s="320" t="n">
        <f aca="false">'TCPL$'!$C$51+'TCPL$'!$C$52</f>
        <v>0.0526435841378917</v>
      </c>
      <c r="E26" s="320" t="n">
        <f aca="false">('Fuel Ratio'!$C$26+1)*Summary!$B$6+'TCPL$'!$C$53+'TCPL$'!$C$54</f>
        <v>0.654585127971645</v>
      </c>
      <c r="F26" s="321" t="n">
        <f aca="false">C26+D26</f>
        <v>0.171349942187446</v>
      </c>
      <c r="G26" s="322" t="n">
        <f aca="false">C26+E26</f>
        <v>0.7732914860212</v>
      </c>
      <c r="H26" s="321"/>
      <c r="I26" s="323" t="n">
        <f aca="false">$F26*$B$4/1.055056</f>
        <v>0.246386431506849</v>
      </c>
      <c r="J26" s="322" t="n">
        <f aca="false">$G26*$B$4/1.055056</f>
        <v>1.11192643150685</v>
      </c>
      <c r="K26" s="321"/>
      <c r="L26" s="321"/>
    </row>
    <row r="27" customFormat="false" ht="12.75" hidden="false" customHeight="false" outlineLevel="0" collapsed="false">
      <c r="A27" s="317" t="s">
        <v>122</v>
      </c>
      <c r="B27" s="318" t="n">
        <f aca="false">'Fuel Ratio'!$C$27</f>
        <v>0.0446</v>
      </c>
      <c r="C27" s="319" t="n">
        <f aca="false">$C$10*B27</f>
        <v>0.115849093413789</v>
      </c>
      <c r="D27" s="320" t="n">
        <f aca="false">'TCPL$'!$C$59+'TCPL$'!$C$60</f>
        <v>0.0364138679149841</v>
      </c>
      <c r="E27" s="320" t="n">
        <f aca="false">('Fuel Ratio'!$C$27+1)*Summary!$B$6+'TCPL$'!$C$61+'TCPL$'!$C$62</f>
        <v>0.688080231380544</v>
      </c>
      <c r="F27" s="321" t="n">
        <f aca="false">C27+D27</f>
        <v>0.152262961328773</v>
      </c>
      <c r="G27" s="322" t="n">
        <f aca="false">C27+E27</f>
        <v>0.803929324794332</v>
      </c>
      <c r="H27" s="321"/>
      <c r="I27" s="323" t="n">
        <f aca="false">$F27*$B$4/1.055056</f>
        <v>0.218941</v>
      </c>
      <c r="J27" s="322" t="n">
        <f aca="false">$G27*$B$4/1.055056</f>
        <v>1.155981</v>
      </c>
      <c r="K27" s="321"/>
      <c r="L27" s="321"/>
    </row>
    <row r="28" customFormat="false" ht="12.75" hidden="false" customHeight="false" outlineLevel="0" collapsed="false">
      <c r="A28" s="317" t="s">
        <v>123</v>
      </c>
      <c r="B28" s="318" t="n">
        <f aca="false">'Fuel Ratio'!$C$28</f>
        <v>0.0348</v>
      </c>
      <c r="C28" s="319" t="n">
        <f aca="false">$C$10*B28</f>
        <v>0.0903934630224179</v>
      </c>
      <c r="D28" s="320" t="n">
        <f aca="false">'TCPL$'!$C$67+'TCPL$'!$C$68</f>
        <v>0.0288195318257628</v>
      </c>
      <c r="E28" s="320" t="n">
        <f aca="false">('Fuel Ratio'!$C$28+1)*Summary!$B$6+'TCPL$'!$C$69+'TCPL$'!$C$70</f>
        <v>0.5480161939841</v>
      </c>
      <c r="F28" s="321" t="n">
        <f aca="false">C28+D28</f>
        <v>0.119212994848181</v>
      </c>
      <c r="G28" s="322" t="n">
        <f aca="false">C28+E28</f>
        <v>0.638409657006518</v>
      </c>
      <c r="H28" s="321"/>
      <c r="I28" s="323" t="n">
        <f aca="false">$F28*$B$4/1.055056</f>
        <v>0.171418</v>
      </c>
      <c r="J28" s="322" t="n">
        <f aca="false">$G28*$B$4/1.055056</f>
        <v>0.917978</v>
      </c>
      <c r="K28" s="321"/>
      <c r="L28" s="321"/>
    </row>
    <row r="29" customFormat="false" ht="12.75" hidden="false" customHeight="false" outlineLevel="0" collapsed="false">
      <c r="A29" s="317" t="s">
        <v>124</v>
      </c>
      <c r="B29" s="318" t="n">
        <f aca="false">(1+'Fuel Ratio'!$C$29)*'Fuel Ratio'!$C$19+'Fuel Ratio'!$C$29</f>
        <v>0.0333675564681726</v>
      </c>
      <c r="C29" s="319" t="n">
        <f aca="false">$C$10*B29</f>
        <v>0.0866726718894886</v>
      </c>
      <c r="D29" s="320"/>
      <c r="E29" s="320" t="n">
        <f aca="false">'Nova&amp;ANG&amp;GLGT$'!$C$34</f>
        <v>0.295794648</v>
      </c>
      <c r="F29" s="321" t="n">
        <f aca="false">C29+D29</f>
        <v>0.0866726718894886</v>
      </c>
      <c r="G29" s="322" t="n">
        <f aca="false">C29+E29</f>
        <v>0.382467319889489</v>
      </c>
      <c r="H29" s="321"/>
      <c r="I29" s="323" t="n">
        <f aca="false">$F29*$B$4/1.055056</f>
        <v>0.124627823408625</v>
      </c>
      <c r="J29" s="322" t="n">
        <f aca="false">$G29*$B$4/1.055056</f>
        <v>0.549955003850965</v>
      </c>
      <c r="K29" s="321"/>
      <c r="L29" s="321"/>
    </row>
    <row r="30" customFormat="false" ht="12.75" hidden="false" customHeight="false" outlineLevel="0" collapsed="false">
      <c r="A30" s="317" t="s">
        <v>125</v>
      </c>
      <c r="B30" s="318" t="n">
        <f aca="false">(1+'Fuel Ratio'!$C$31)*'Fuel Ratio'!$C$19+'Fuel Ratio'!$C$31</f>
        <v>0.0473465140478669</v>
      </c>
      <c r="C30" s="319" t="n">
        <f aca="false">$C$10*B30</f>
        <v>0.122983200196157</v>
      </c>
      <c r="D30" s="320"/>
      <c r="E30" s="320" t="n">
        <f aca="false">'Nova&amp;ANG&amp;GLGT$'!$C$40</f>
        <v>0.437317164</v>
      </c>
      <c r="F30" s="321" t="n">
        <f aca="false">C30+D30</f>
        <v>0.122983200196157</v>
      </c>
      <c r="G30" s="322" t="n">
        <f aca="false">C30+E30</f>
        <v>0.560300364196157</v>
      </c>
      <c r="H30" s="321"/>
      <c r="I30" s="323" t="n">
        <f aca="false">$F30*$B$4/1.055056</f>
        <v>0.176839229968783</v>
      </c>
      <c r="J30" s="322" t="n">
        <f aca="false">$G30*$B$4/1.055056</f>
        <v>0.80566357679456</v>
      </c>
      <c r="K30" s="321"/>
      <c r="L30" s="321"/>
    </row>
    <row r="31" customFormat="false" ht="12.75" hidden="false" customHeight="false" outlineLevel="0" collapsed="false">
      <c r="A31" s="317" t="s">
        <v>126</v>
      </c>
      <c r="B31" s="318" t="n">
        <f aca="false">'Fuel Ratio'!$C$32</f>
        <v>0.0403</v>
      </c>
      <c r="C31" s="319" t="n">
        <f aca="false">$C$10*B31</f>
        <v>0.104679786201248</v>
      </c>
      <c r="D31" s="320" t="n">
        <f aca="false">'TCPL$'!$B$75+'TCPL$'!$B$76</f>
        <v>0.04757</v>
      </c>
      <c r="E31" s="320" t="n">
        <f aca="false">('Fuel Ratio'!$C$32+1)*Summary!$B$6+'TCPL$'!$C$75+'TCPL$'!$C$76</f>
        <v>0.0330826527256645</v>
      </c>
      <c r="F31" s="321" t="n">
        <f aca="false">C31+D31</f>
        <v>0.152249786201248</v>
      </c>
      <c r="G31" s="322" t="n">
        <f aca="false">C31+E31</f>
        <v>0.137762438926913</v>
      </c>
      <c r="H31" s="321"/>
      <c r="I31" s="323" t="n">
        <f aca="false">$F31*$B$4/1.055056</f>
        <v>0.218922055303469</v>
      </c>
      <c r="J31" s="322" t="n">
        <f aca="false">$G31*$B$4/1.055056</f>
        <v>0.1980905</v>
      </c>
      <c r="K31" s="321"/>
      <c r="L31" s="321"/>
    </row>
    <row r="32" customFormat="false" ht="12.75" hidden="false" customHeight="false" outlineLevel="0" collapsed="false">
      <c r="A32" s="317" t="s">
        <v>127</v>
      </c>
      <c r="B32" s="318" t="n">
        <f aca="false">'Fuel Ratio'!$C$22*(1+'Fuel Ratio'!$C$33)+'Fuel Ratio'!$C$33</f>
        <v>0.0385370924</v>
      </c>
      <c r="C32" s="319" t="n">
        <f aca="false">$C$10*B32</f>
        <v>0.100100610254336</v>
      </c>
      <c r="D32" s="320"/>
      <c r="E32" s="320" t="n">
        <f aca="false">('Fuel Ratio'!$C$33+'Fuel Ratio'!$C$22+1)*Summary!$B$6+('TCPL$'!$C$19+'TCPL$'!$C$21)*(1+'Fuel Ratio'!$C$33)+'Nova&amp;ANG&amp;GLGT$'!$C$25+'Nova&amp;ANG&amp;GLGT$'!$C$26+'Nova&amp;ANG&amp;GLGT$'!$C$27+'Nova&amp;ANG&amp;GLGT$'!$C$23</f>
        <v>0.255879148067957</v>
      </c>
      <c r="F32" s="321" t="n">
        <f aca="false">C32+D32</f>
        <v>0.100100610254336</v>
      </c>
      <c r="G32" s="322" t="n">
        <f aca="false">C32+E32</f>
        <v>0.355979758322293</v>
      </c>
      <c r="H32" s="321"/>
      <c r="I32" s="323" t="n">
        <f aca="false">$F32*$B$4/1.055056</f>
        <v>0.143936040114</v>
      </c>
      <c r="J32" s="322" t="n">
        <f aca="false">$G32*$B$4/1.055056</f>
        <v>0.511868175862893</v>
      </c>
      <c r="K32" s="321"/>
      <c r="L32" s="321"/>
    </row>
    <row r="33" customFormat="false" ht="12.75" hidden="false" customHeight="false" outlineLevel="0" collapsed="false">
      <c r="A33" s="317" t="s">
        <v>128</v>
      </c>
      <c r="B33" s="318" t="n">
        <f aca="false">'Fuel Ratio'!$C$33</f>
        <v>0.025007</v>
      </c>
      <c r="C33" s="319" t="n">
        <f aca="false">$C$14*B33</f>
        <v>0.0667310388039923</v>
      </c>
      <c r="D33" s="320"/>
      <c r="E33" s="320" t="n">
        <f aca="false">'Nova&amp;ANG&amp;GLGT$'!$C$25+'Nova&amp;ANG&amp;GLGT$'!$C$26+'Nova&amp;ANG&amp;GLGT$'!$C$27+'Nova&amp;ANG&amp;GLGT$'!$C$23</f>
        <v>0.02</v>
      </c>
      <c r="F33" s="321" t="n">
        <f aca="false">C33+D33</f>
        <v>0.0667310388039923</v>
      </c>
      <c r="G33" s="322" t="n">
        <f aca="false">C33+E33</f>
        <v>0.0867310388039923</v>
      </c>
      <c r="H33" s="321"/>
      <c r="I33" s="323" t="n">
        <f aca="false">$F33*$B$4/1.055056</f>
        <v>0.0959534757454113</v>
      </c>
      <c r="J33" s="322" t="n">
        <f aca="false">$G33*$B$4/1.055056</f>
        <v>0.124711749995346</v>
      </c>
      <c r="K33" s="321"/>
      <c r="L33" s="321"/>
    </row>
    <row r="34" customFormat="false" ht="12.75" hidden="false" customHeight="false" outlineLevel="0" collapsed="false">
      <c r="A34" s="317" t="s">
        <v>129</v>
      </c>
      <c r="B34" s="318" t="n">
        <f aca="false">'Fuel Ratio'!$C$34</f>
        <v>0.0126364</v>
      </c>
      <c r="C34" s="319" t="n">
        <f aca="false">$C$14*B34</f>
        <v>0.0337201623042655</v>
      </c>
      <c r="D34" s="320"/>
      <c r="E34" s="320" t="n">
        <f aca="false">'Nova&amp;ANG&amp;GLGT$'!$C$25+'Nova&amp;ANG&amp;GLGT$'!$C$26+'Nova&amp;ANG&amp;GLGT$'!$C$27+'Nova&amp;ANG&amp;GLGT$'!$C$23</f>
        <v>0.02</v>
      </c>
      <c r="F34" s="321" t="n">
        <f aca="false">C34+D34</f>
        <v>0.0337201623042655</v>
      </c>
      <c r="G34" s="322" t="n">
        <f aca="false">C34+E34</f>
        <v>0.0537201623042655</v>
      </c>
      <c r="H34" s="321"/>
      <c r="I34" s="323" t="n">
        <f aca="false">$F34*$B$4/1.055056</f>
        <v>0.0484866837649184</v>
      </c>
      <c r="J34" s="322" t="n">
        <f aca="false">$G34*$B$4/1.055056</f>
        <v>0.0772449580148528</v>
      </c>
      <c r="K34" s="321"/>
      <c r="L34" s="321"/>
    </row>
    <row r="35" customFormat="false" ht="12.75" hidden="false" customHeight="false" outlineLevel="0" collapsed="false">
      <c r="A35" s="317" t="s">
        <v>130</v>
      </c>
      <c r="B35" s="318" t="n">
        <f aca="false">'Fuel Ratio'!$C$35</f>
        <v>0.0061404</v>
      </c>
      <c r="C35" s="319" t="n">
        <f aca="false">$C$14*B35</f>
        <v>0.0163856228524827</v>
      </c>
      <c r="D35" s="320"/>
      <c r="E35" s="320" t="n">
        <f aca="false">'Nova&amp;ANG&amp;GLGT$'!$C$25+'Nova&amp;ANG&amp;GLGT$'!$C$26+'Nova&amp;ANG&amp;GLGT$'!$C$27+'Nova&amp;ANG&amp;GLGT$'!$C$23</f>
        <v>0.02</v>
      </c>
      <c r="F35" s="321" t="n">
        <f aca="false">C35+D35</f>
        <v>0.0163856228524827</v>
      </c>
      <c r="G35" s="322" t="n">
        <f aca="false">C35+E35</f>
        <v>0.0363856228524827</v>
      </c>
      <c r="H35" s="321"/>
      <c r="I35" s="323" t="n">
        <f aca="false">$F35*$B$4/1.055056</f>
        <v>0.0235611117873845</v>
      </c>
      <c r="J35" s="322" t="n">
        <f aca="false">$G35*$B$4/1.055056</f>
        <v>0.0523193860373189</v>
      </c>
      <c r="K35" s="321"/>
      <c r="L35" s="321"/>
    </row>
    <row r="36" customFormat="false" ht="12.75" hidden="false" customHeight="false" outlineLevel="0" collapsed="false">
      <c r="A36" s="317"/>
      <c r="B36" s="318"/>
      <c r="C36" s="319"/>
      <c r="D36" s="320"/>
      <c r="E36" s="320"/>
      <c r="F36" s="321" t="n">
        <f aca="false">C36+D36</f>
        <v>0</v>
      </c>
      <c r="G36" s="322" t="n">
        <f aca="false">C36+E36</f>
        <v>0</v>
      </c>
      <c r="H36" s="321"/>
      <c r="I36" s="323" t="n">
        <f aca="false">$F36*$B$4/1.055056</f>
        <v>0</v>
      </c>
      <c r="J36" s="322" t="n">
        <f aca="false">$G36*$B$4/1.055056</f>
        <v>0</v>
      </c>
      <c r="K36" s="321"/>
      <c r="L36" s="321"/>
    </row>
    <row r="37" customFormat="false" ht="13.5" hidden="false" customHeight="true" outlineLevel="0" collapsed="false">
      <c r="A37" s="317" t="s">
        <v>131</v>
      </c>
      <c r="B37" s="318" t="n">
        <f aca="false">'Fuel Ratio'!$C$36-'Fuel Ratio'!$B$14</f>
        <v>0.0224</v>
      </c>
      <c r="C37" s="319" t="n">
        <f aca="false">$C$9*B37</f>
        <v>0.0581842980374184</v>
      </c>
      <c r="D37" s="320"/>
      <c r="E37" s="320"/>
      <c r="F37" s="321" t="n">
        <f aca="false">C37+D37</f>
        <v>0.0581842980374184</v>
      </c>
      <c r="G37" s="322" t="n">
        <f aca="false">C37+E37</f>
        <v>0.0581842980374184</v>
      </c>
      <c r="H37" s="321"/>
      <c r="I37" s="323" t="n">
        <f aca="false">$F37*$B$4/1.055056</f>
        <v>0.083664</v>
      </c>
      <c r="J37" s="322" t="n">
        <f aca="false">$G37*$B$4/1.055056</f>
        <v>0.083664</v>
      </c>
      <c r="K37" s="321"/>
      <c r="L37" s="321"/>
    </row>
    <row r="38" customFormat="false" ht="13.5" hidden="false" customHeight="true" outlineLevel="0" collapsed="false">
      <c r="A38" s="317" t="s">
        <v>132</v>
      </c>
      <c r="B38" s="318" t="n">
        <f aca="false">'Fuel Ratio'!$C$36</f>
        <v>0.0334</v>
      </c>
      <c r="C38" s="319" t="n">
        <f aca="false">$C$11*B38</f>
        <v>0.0990097658591768</v>
      </c>
      <c r="D38" s="325" t="n">
        <f aca="false">0.04/$B$4*1.055056</f>
        <v>0.0278180809128985</v>
      </c>
      <c r="E38" s="326"/>
      <c r="F38" s="321" t="n">
        <f aca="false">C38+D38</f>
        <v>0.126827846772075</v>
      </c>
      <c r="G38" s="322" t="n">
        <f aca="false">C38+E38</f>
        <v>0.0990097658591768</v>
      </c>
      <c r="H38" s="321"/>
      <c r="I38" s="323" t="n">
        <f aca="false">$F38*$B$4/1.055056</f>
        <v>0.1823675</v>
      </c>
      <c r="J38" s="322" t="n">
        <f aca="false">$G38*$B$4/1.055056</f>
        <v>0.1423675</v>
      </c>
      <c r="K38" s="321"/>
      <c r="L38" s="321"/>
    </row>
    <row r="39" customFormat="false" ht="22.5" hidden="false" customHeight="true" outlineLevel="0" collapsed="false">
      <c r="A39" s="317" t="s">
        <v>133</v>
      </c>
      <c r="B39" s="318" t="n">
        <f aca="false">'Fuel Ratio'!$C$18</f>
        <v>0.0125536400290807</v>
      </c>
      <c r="C39" s="319" t="n">
        <f aca="false">$C$12*B39</f>
        <v>0.0338571671584305</v>
      </c>
      <c r="D39" s="320" t="n">
        <f aca="false">'PGT$'!$B$25+'PGT$'!$B$27+'PGT$'!$B$28</f>
        <v>0.01355617</v>
      </c>
      <c r="E39" s="320" t="n">
        <f aca="false">'PGT$'!$B$26+'PGT$'!$B$27+'PGT$'!$B$28</f>
        <v>0.16626838</v>
      </c>
      <c r="F39" s="321" t="n">
        <f aca="false">C39+D39</f>
        <v>0.0474133371584305</v>
      </c>
      <c r="G39" s="322" t="n">
        <f aca="false">C39+E39</f>
        <v>0.200125547158431</v>
      </c>
      <c r="H39" s="321"/>
      <c r="I39" s="323" t="n">
        <f aca="false">$F39*$B$4/1.055056</f>
        <v>0.0681762876553376</v>
      </c>
      <c r="J39" s="322" t="n">
        <f aca="false">$G39*$B$4/1.055056</f>
        <v>0.287763268480016</v>
      </c>
      <c r="K39" s="321"/>
      <c r="L39" s="321"/>
    </row>
    <row r="40" customFormat="false" ht="13.5" hidden="false" customHeight="true" outlineLevel="0" collapsed="false">
      <c r="A40" s="317" t="s">
        <v>134</v>
      </c>
      <c r="B40" s="318" t="n">
        <f aca="false">(1+'Fuel Ratio'!$C$14)*('Fuel Ratio'!$C$8+'Fuel Ratio'!$C$12)+'Fuel Ratio'!$C$14</f>
        <v>0.0242295039116876</v>
      </c>
      <c r="C40" s="319" t="n">
        <f aca="false">$C$11*B40</f>
        <v>0.0718250751251555</v>
      </c>
      <c r="D40" s="320" t="n">
        <f aca="false">(1+'Fuel Ratio'!$C$14)*Westcoast!$C$11</f>
        <v>0.00221858976293516</v>
      </c>
      <c r="E40" s="320" t="n">
        <f aca="false">(1+'Fuel Ratio'!$C$14)*(Westcoast!$C$9+Westcoast!$C$11+Westcoast!$C$38+Westcoast!$C$44)+'Nova&amp;ANG&amp;GLGT$'!$C$8</f>
        <v>0.221545290832219</v>
      </c>
      <c r="F40" s="321" t="n">
        <f aca="false">C40+D40</f>
        <v>0.0740436648880907</v>
      </c>
      <c r="G40" s="322" t="n">
        <f aca="false">C40+E40</f>
        <v>0.293370365957374</v>
      </c>
      <c r="H40" s="321"/>
      <c r="I40" s="323" t="n">
        <f aca="false">$F40*$B$4/1.055056</f>
        <v>0.106468401066098</v>
      </c>
      <c r="J40" s="322" t="n">
        <f aca="false">$G40*$B$4/1.055056</f>
        <v>0.421841272050289</v>
      </c>
      <c r="K40" s="321"/>
      <c r="L40" s="321"/>
    </row>
    <row r="41" customFormat="false" ht="13.5" hidden="false" customHeight="true" outlineLevel="0" collapsed="false">
      <c r="A41" s="317" t="s">
        <v>135</v>
      </c>
      <c r="B41" s="318" t="n">
        <f aca="false">'Fuel Ratio'!$C$11</f>
        <v>0.0162601626016261</v>
      </c>
      <c r="C41" s="319" t="n">
        <f aca="false">$C$11*B41</f>
        <v>0.0482010446712319</v>
      </c>
      <c r="D41" s="320" t="n">
        <f aca="false">Westcoast!$C$32</f>
        <v>0.0086405026484151</v>
      </c>
      <c r="E41" s="320" t="n">
        <f aca="false">Westcoast!$C$30+Westcoast!$C$32</f>
        <v>0.159695867834606</v>
      </c>
      <c r="F41" s="321" t="n">
        <f aca="false">C41+D41</f>
        <v>0.056841547319647</v>
      </c>
      <c r="G41" s="322" t="n">
        <f aca="false">C41+E41</f>
        <v>0.207896912505838</v>
      </c>
      <c r="H41" s="321"/>
      <c r="I41" s="323" t="n">
        <f aca="false">$F41*$B$4/1.055056</f>
        <v>0.0817332403304516</v>
      </c>
      <c r="J41" s="322" t="n">
        <f aca="false">$G41*$B$4/1.055056</f>
        <v>0.298937821277875</v>
      </c>
      <c r="K41" s="321"/>
      <c r="L41" s="321"/>
    </row>
    <row r="42" customFormat="false" ht="13.5" hidden="false" customHeight="true" outlineLevel="0" collapsed="false">
      <c r="A42" s="317" t="s">
        <v>136</v>
      </c>
      <c r="B42" s="318" t="n">
        <f aca="false">(1+'Fuel Ratio'!$C$13)*'Fuel Ratio'!$C$11+'Fuel Ratio'!$C$13</f>
        <v>0.0316314715273842</v>
      </c>
      <c r="C42" s="319" t="n">
        <f aca="false">$C$11*B42</f>
        <v>0.0937672032846565</v>
      </c>
      <c r="D42" s="320" t="n">
        <f aca="false">(1+'Fuel Ratio'!$C$13)*(Westcoast!$C$32)+'NWP$'!$B$6+'NWP$'!$B$8+'NWP$'!$B$9</f>
        <v>0.04797119343053</v>
      </c>
      <c r="E42" s="327" t="n">
        <f aca="false">(1+'Fuel Ratio'!$C$13)*(Westcoast!$C$32)+'NWP$'!$B$7+'NWP$'!$B$8+'NWP$'!$B$9</f>
        <v>0.32557119343053</v>
      </c>
      <c r="F42" s="321" t="n">
        <f aca="false">C42+D42</f>
        <v>0.141738396715187</v>
      </c>
      <c r="G42" s="322" t="n">
        <f aca="false">C42+E42</f>
        <v>0.419338396715186</v>
      </c>
      <c r="H42" s="321"/>
      <c r="I42" s="323" t="n">
        <f aca="false">$F42*$B$4/1.055056</f>
        <v>0.203807584224067</v>
      </c>
      <c r="J42" s="322" t="n">
        <f aca="false">$G42*$B$4/1.055056</f>
        <v>0.602972430813156</v>
      </c>
      <c r="K42" s="321"/>
      <c r="L42" s="321"/>
    </row>
    <row r="43" customFormat="false" ht="13.5" hidden="false" customHeight="true" outlineLevel="0" collapsed="false">
      <c r="A43" s="317" t="s">
        <v>137</v>
      </c>
      <c r="B43" s="318" t="n">
        <f aca="false">+'Fuel Ratio'!$C$13</f>
        <v>0.0151253679829459</v>
      </c>
      <c r="C43" s="319" t="n">
        <f aca="false">$C$13*B43</f>
        <v>0.0407931174500052</v>
      </c>
      <c r="D43" s="320" t="n">
        <f aca="false">'NWP$'!$B$6+'NWP$'!$B$8+'NWP$'!$B$9</f>
        <v>0.0392</v>
      </c>
      <c r="E43" s="327" t="n">
        <f aca="false">+'NWP$'!$B$7+'NWP$'!$B$8+'NWP$'!$B$9</f>
        <v>0.3168</v>
      </c>
      <c r="F43" s="321" t="n">
        <f aca="false">C43+D43</f>
        <v>0.0799931174500052</v>
      </c>
      <c r="G43" s="322" t="n">
        <f aca="false">C43+E43</f>
        <v>0.357593117450005</v>
      </c>
      <c r="H43" s="321"/>
      <c r="I43" s="323" t="n">
        <f aca="false">$F43*$B$4/1.055056</f>
        <v>0.115023200486723</v>
      </c>
      <c r="J43" s="322" t="n">
        <f aca="false">$G43*$B$4/1.055056</f>
        <v>0.514188047075813</v>
      </c>
      <c r="K43" s="321"/>
      <c r="L43" s="321"/>
    </row>
    <row r="44" customFormat="false" ht="13.5" hidden="false" customHeight="true" outlineLevel="0" collapsed="false">
      <c r="A44" s="317" t="s">
        <v>138</v>
      </c>
      <c r="B44" s="328" t="n">
        <f aca="false">'Fuel Ratio'!$C$8</f>
        <v>0.00603621730382287</v>
      </c>
      <c r="C44" s="329" t="n">
        <f aca="false">$C$10*B44</f>
        <v>0.0156791547600113</v>
      </c>
      <c r="D44" s="330" t="n">
        <f aca="false">Westcoast!$C$11</f>
        <v>0.00219445080409017</v>
      </c>
      <c r="E44" s="330" t="n">
        <f aca="false">('Fuel Ratio'!$C$8+1)*Summary!$B$6+Westcoast!$C$9+Westcoast!$C$11+Westcoast!$C$38</f>
        <v>0.0591498790882755</v>
      </c>
      <c r="F44" s="331" t="n">
        <f aca="false">C44+D44</f>
        <v>0.0178736055641014</v>
      </c>
      <c r="G44" s="332" t="n">
        <f aca="false">C44+E44</f>
        <v>0.0748290338482867</v>
      </c>
      <c r="H44" s="321"/>
      <c r="I44" s="333" t="n">
        <f aca="false">$F44*$B$4/1.055056</f>
        <v>0.0257007025323791</v>
      </c>
      <c r="J44" s="332" t="n">
        <f aca="false">$G44*$B$4/1.055056</f>
        <v>0.107597693863333</v>
      </c>
      <c r="K44" s="321"/>
      <c r="L44" s="321"/>
    </row>
    <row r="45" customFormat="false" ht="15" hidden="false" customHeight="false" outlineLevel="0" collapsed="false">
      <c r="A45" s="334"/>
      <c r="B45" s="335"/>
      <c r="C45" s="335"/>
      <c r="D45" s="315"/>
      <c r="E45" s="315"/>
      <c r="F45" s="315"/>
      <c r="G45" s="315"/>
      <c r="H45" s="315"/>
      <c r="I45" s="315"/>
      <c r="J45" s="324"/>
      <c r="K45" s="324"/>
      <c r="L45" s="324"/>
    </row>
    <row r="46" customFormat="false" ht="12.75" hidden="false" customHeight="false" outlineLevel="0" collapsed="false">
      <c r="A46" s="0" t="s">
        <v>139</v>
      </c>
      <c r="D46" s="320"/>
      <c r="E46" s="321"/>
      <c r="F46" s="321"/>
      <c r="G46" s="320"/>
      <c r="H46" s="320"/>
      <c r="I46" s="321"/>
    </row>
    <row r="47" customFormat="false" ht="12.75" hidden="false" customHeight="false" outlineLevel="0" collapsed="false">
      <c r="A47" s="0" t="s">
        <v>140</v>
      </c>
      <c r="D47" s="320"/>
      <c r="E47" s="321"/>
      <c r="F47" s="321"/>
      <c r="G47" s="320"/>
      <c r="H47" s="320"/>
      <c r="I47" s="321"/>
    </row>
    <row r="48" customFormat="false" ht="12.75" hidden="false" customHeight="false" outlineLevel="0" collapsed="false">
      <c r="A48" s="0" t="s">
        <v>141</v>
      </c>
      <c r="D48" s="320"/>
      <c r="E48" s="321"/>
      <c r="F48" s="321"/>
      <c r="G48" s="320"/>
      <c r="H48" s="320"/>
      <c r="I48" s="321"/>
    </row>
    <row r="49" customFormat="false" ht="12.75" hidden="false" customHeight="false" outlineLevel="0" collapsed="false">
      <c r="A49" s="0" t="s">
        <v>142</v>
      </c>
      <c r="D49" s="320"/>
      <c r="E49" s="321"/>
      <c r="F49" s="321"/>
      <c r="G49" s="320"/>
      <c r="H49" s="320"/>
      <c r="I49" s="321"/>
    </row>
    <row r="50" customFormat="false" ht="12.75" hidden="false" customHeight="false" outlineLevel="0" collapsed="false">
      <c r="A50" s="0" t="s">
        <v>143</v>
      </c>
      <c r="D50" s="320"/>
      <c r="E50" s="321"/>
      <c r="F50" s="321"/>
      <c r="G50" s="320"/>
      <c r="H50" s="320"/>
      <c r="I50" s="321"/>
    </row>
    <row r="51" customFormat="false" ht="15" hidden="false" customHeight="false" outlineLevel="0" collapsed="false">
      <c r="C51" s="336"/>
      <c r="D51" s="320"/>
      <c r="E51" s="321"/>
      <c r="F51" s="321"/>
      <c r="G51" s="320"/>
      <c r="H51" s="320"/>
      <c r="I51" s="321"/>
    </row>
    <row r="52" customFormat="false" ht="12.75" hidden="false" customHeight="false" outlineLevel="0" collapsed="false">
      <c r="C52" s="320"/>
      <c r="D52" s="320"/>
      <c r="E52" s="321"/>
      <c r="F52" s="321"/>
      <c r="G52" s="320"/>
      <c r="H52" s="320"/>
      <c r="I52" s="321"/>
    </row>
    <row r="53" customFormat="false" ht="12.75" hidden="false" customHeight="false" outlineLevel="0" collapsed="false">
      <c r="C53" s="320"/>
      <c r="D53" s="320"/>
      <c r="E53" s="321"/>
      <c r="F53" s="321"/>
      <c r="G53" s="320"/>
      <c r="H53" s="320"/>
      <c r="I53" s="321"/>
    </row>
    <row r="54" customFormat="false" ht="12.75" hidden="false" customHeight="false" outlineLevel="0" collapsed="false">
      <c r="C54" s="320"/>
      <c r="D54" s="320"/>
      <c r="E54" s="321"/>
      <c r="F54" s="321"/>
      <c r="G54" s="320"/>
      <c r="H54" s="320"/>
      <c r="I54" s="321"/>
    </row>
    <row r="55" customFormat="false" ht="12.75" hidden="false" customHeight="false" outlineLevel="0" collapsed="false">
      <c r="C55" s="320"/>
      <c r="D55" s="320"/>
      <c r="E55" s="321"/>
      <c r="F55" s="321"/>
      <c r="G55" s="320"/>
      <c r="H55" s="320"/>
      <c r="I55" s="321"/>
    </row>
    <row r="56" customFormat="false" ht="12.75" hidden="false" customHeight="false" outlineLevel="0" collapsed="false">
      <c r="C56" s="320"/>
      <c r="D56" s="320"/>
      <c r="E56" s="321"/>
      <c r="F56" s="321"/>
      <c r="G56" s="320"/>
      <c r="H56" s="320"/>
      <c r="I56" s="321"/>
    </row>
    <row r="57" customFormat="false" ht="12.75" hidden="false" customHeight="false" outlineLevel="0" collapsed="false">
      <c r="C57" s="320"/>
      <c r="D57" s="320"/>
      <c r="E57" s="321"/>
      <c r="F57" s="321"/>
      <c r="G57" s="320"/>
      <c r="H57" s="320"/>
      <c r="I57" s="321"/>
    </row>
    <row r="58" customFormat="false" ht="12.75" hidden="false" customHeight="false" outlineLevel="0" collapsed="false">
      <c r="C58" s="320"/>
      <c r="D58" s="320"/>
      <c r="E58" s="321"/>
      <c r="F58" s="321"/>
      <c r="G58" s="320"/>
      <c r="H58" s="320"/>
      <c r="I58" s="321"/>
    </row>
    <row r="59" customFormat="false" ht="12.75" hidden="false" customHeight="false" outlineLevel="0" collapsed="false">
      <c r="C59" s="320"/>
      <c r="D59" s="320"/>
      <c r="E59" s="321"/>
      <c r="F59" s="321"/>
      <c r="G59" s="320"/>
      <c r="H59" s="320"/>
      <c r="I59" s="321"/>
    </row>
    <row r="60" customFormat="false" ht="12.75" hidden="false" customHeight="false" outlineLevel="0" collapsed="false">
      <c r="C60" s="320"/>
      <c r="D60" s="320"/>
      <c r="E60" s="321"/>
      <c r="F60" s="321"/>
      <c r="G60" s="320"/>
      <c r="H60" s="320"/>
      <c r="I60" s="321"/>
    </row>
    <row r="61" customFormat="false" ht="12.75" hidden="false" customHeight="false" outlineLevel="0" collapsed="false">
      <c r="C61" s="320"/>
      <c r="D61" s="320"/>
      <c r="E61" s="321"/>
      <c r="F61" s="321"/>
      <c r="G61" s="320"/>
      <c r="H61" s="320"/>
      <c r="I61" s="321"/>
    </row>
    <row r="62" customFormat="false" ht="12.75" hidden="false" customHeight="false" outlineLevel="0" collapsed="false">
      <c r="C62" s="320"/>
      <c r="D62" s="320"/>
      <c r="E62" s="321"/>
      <c r="F62" s="321"/>
      <c r="G62" s="320"/>
      <c r="H62" s="320"/>
      <c r="I62" s="321"/>
    </row>
    <row r="63" customFormat="false" ht="12.75" hidden="false" customHeight="false" outlineLevel="0" collapsed="false">
      <c r="C63" s="320"/>
      <c r="D63" s="320"/>
      <c r="E63" s="321"/>
      <c r="F63" s="321"/>
      <c r="G63" s="320"/>
      <c r="H63" s="320"/>
      <c r="I63" s="321"/>
    </row>
    <row r="64" customFormat="false" ht="12.75" hidden="false" customHeight="false" outlineLevel="0" collapsed="false">
      <c r="C64" s="320"/>
      <c r="D64" s="320"/>
      <c r="E64" s="321"/>
      <c r="F64" s="321"/>
      <c r="G64" s="320"/>
      <c r="H64" s="320"/>
      <c r="I64" s="321"/>
    </row>
    <row r="65" customFormat="false" ht="12.75" hidden="false" customHeight="false" outlineLevel="0" collapsed="false">
      <c r="C65" s="320"/>
      <c r="D65" s="320"/>
      <c r="E65" s="321"/>
      <c r="F65" s="321"/>
      <c r="G65" s="320"/>
      <c r="H65" s="320"/>
      <c r="I65" s="321"/>
    </row>
    <row r="66" customFormat="false" ht="12.75" hidden="false" customHeight="false" outlineLevel="0" collapsed="false">
      <c r="C66" s="320"/>
      <c r="D66" s="320"/>
      <c r="E66" s="321"/>
      <c r="F66" s="321"/>
      <c r="G66" s="320"/>
      <c r="H66" s="320"/>
      <c r="I66" s="321"/>
    </row>
    <row r="67" customFormat="false" ht="12.75" hidden="false" customHeight="false" outlineLevel="0" collapsed="false">
      <c r="C67" s="320"/>
      <c r="D67" s="325"/>
      <c r="E67" s="321"/>
      <c r="F67" s="321"/>
      <c r="G67" s="326"/>
      <c r="H67" s="326"/>
      <c r="I67" s="321"/>
    </row>
    <row r="68" customFormat="false" ht="12.75" hidden="false" customHeight="false" outlineLevel="0" collapsed="false">
      <c r="C68" s="320"/>
      <c r="D68" s="320"/>
      <c r="E68" s="321"/>
      <c r="F68" s="321"/>
      <c r="G68" s="320"/>
      <c r="H68" s="320"/>
      <c r="I68" s="321"/>
    </row>
    <row r="69" customFormat="false" ht="12.75" hidden="false" customHeight="false" outlineLevel="0" collapsed="false">
      <c r="C69" s="320"/>
      <c r="D69" s="320"/>
      <c r="E69" s="321"/>
      <c r="F69" s="321"/>
      <c r="G69" s="320"/>
      <c r="H69" s="320"/>
      <c r="I69" s="321"/>
    </row>
    <row r="70" customFormat="false" ht="12.75" hidden="false" customHeight="false" outlineLevel="0" collapsed="false">
      <c r="C70" s="320"/>
      <c r="D70" s="320"/>
      <c r="E70" s="321"/>
      <c r="F70" s="321"/>
      <c r="G70" s="320"/>
      <c r="H70" s="320"/>
      <c r="I70" s="321"/>
    </row>
    <row r="71" customFormat="false" ht="12.75" hidden="false" customHeight="false" outlineLevel="0" collapsed="false">
      <c r="C71" s="320"/>
      <c r="D71" s="320"/>
      <c r="E71" s="321"/>
      <c r="F71" s="321"/>
      <c r="G71" s="327"/>
      <c r="H71" s="327"/>
      <c r="I71" s="321"/>
    </row>
    <row r="72" customFormat="false" ht="12.75" hidden="false" customHeight="false" outlineLevel="0" collapsed="false">
      <c r="C72" s="320"/>
      <c r="D72" s="320"/>
      <c r="E72" s="321"/>
      <c r="F72" s="321"/>
      <c r="G72" s="327"/>
      <c r="H72" s="327"/>
      <c r="I72" s="321"/>
    </row>
    <row r="73" customFormat="false" ht="12.75" hidden="false" customHeight="false" outlineLevel="0" collapsed="false">
      <c r="C73" s="325"/>
      <c r="D73" s="320"/>
      <c r="E73" s="321"/>
      <c r="F73" s="321"/>
      <c r="G73" s="320"/>
      <c r="H73" s="320"/>
      <c r="I73" s="321"/>
    </row>
    <row r="74" customFormat="false" ht="12.75" hidden="false" customHeight="false" outlineLevel="0" collapsed="false">
      <c r="C74" s="320"/>
      <c r="D74" s="320"/>
      <c r="E74" s="335"/>
    </row>
    <row r="75" customFormat="false" ht="12.75" hidden="false" customHeight="false" outlineLevel="0" collapsed="false">
      <c r="C75" s="320"/>
      <c r="D75" s="320"/>
      <c r="E75" s="335"/>
    </row>
    <row r="76" customFormat="false" ht="12.75" hidden="false" customHeight="false" outlineLevel="0" collapsed="false">
      <c r="C76" s="335"/>
      <c r="D76" s="301"/>
      <c r="E76" s="335"/>
    </row>
    <row r="77" customFormat="false" ht="12.75" hidden="false" customHeight="false" outlineLevel="0" collapsed="false">
      <c r="C77" s="335"/>
      <c r="D77" s="301"/>
      <c r="E77" s="335"/>
    </row>
    <row r="78" customFormat="false" ht="12.75" hidden="false" customHeight="false" outlineLevel="0" collapsed="false">
      <c r="C78" s="335"/>
      <c r="D78" s="335"/>
      <c r="E78" s="335"/>
    </row>
    <row r="79" customFormat="false" ht="12.75" hidden="false" customHeight="false" outlineLevel="0" collapsed="false">
      <c r="C79" s="335"/>
      <c r="E79" s="335"/>
    </row>
  </sheetData>
  <mergeCells count="1">
    <mergeCell ref="B1:C1"/>
  </mergeCells>
  <printOptions headings="false" gridLines="false" gridLinesSet="true" horizontalCentered="false" verticalCentered="false"/>
  <pageMargins left="0.747916666666667" right="0.490277777777778" top="0.75" bottom="0.7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94">
              <controlPr defaultSize="0" print="false" autoFill="0" autoPict="0" macro="Module1.GetMids">
                <anchor moveWithCells="true" sizeWithCells="false">
                  <from>
                    <xdr:col>5</xdr:col>
                    <xdr:colOff>0</xdr:colOff>
                    <xdr:row>2</xdr:row>
                    <xdr:rowOff>9360</xdr:rowOff>
                  </from>
                  <to>
                    <xdr:col>6</xdr:col>
                    <xdr:colOff>61560</xdr:colOff>
                    <xdr:row>3</xdr:row>
                    <xdr:rowOff>133200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0"/>
  <sheetViews>
    <sheetView showFormulas="false" showGridLines="false" showRowColHeaders="true" showZeros="true" rightToLeft="false" tabSelected="false" showOutlineSymbols="true" defaultGridColor="true" view="normal" topLeftCell="A15" colorId="64" zoomScale="90" zoomScaleNormal="90" zoomScalePageLayoutView="100" workbookViewId="0">
      <pane xSplit="1" ySplit="0" topLeftCell="B1" activePane="topRight" state="frozen"/>
      <selection pane="topLeft" activeCell="A15" activeCellId="0" sqref="A15"/>
      <selection pane="topRigh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56"/>
    <col collapsed="false" customWidth="true" hidden="false" outlineLevel="0" max="2" min="2" style="289" width="14.14"/>
    <col collapsed="false" customWidth="true" hidden="false" outlineLevel="0" max="3" min="3" style="289" width="11.85"/>
    <col collapsed="false" customWidth="true" hidden="false" outlineLevel="0" max="4" min="4" style="0" width="9.85"/>
    <col collapsed="false" customWidth="true" hidden="false" outlineLevel="0" max="5" min="5" style="0" width="4.7"/>
    <col collapsed="false" customWidth="true" hidden="false" outlineLevel="0" max="6" min="6" style="0" width="9.85"/>
    <col collapsed="false" customWidth="true" hidden="false" outlineLevel="0" max="7" min="7" style="0" width="14.85"/>
    <col collapsed="false" customWidth="true" hidden="false" outlineLevel="0" max="9" min="9" style="0" width="4.28"/>
    <col collapsed="false" customWidth="true" hidden="false" outlineLevel="0" max="10" min="10" style="0" width="14.85"/>
    <col collapsed="false" customWidth="true" hidden="false" outlineLevel="0" max="18" min="18" style="0" width="27.7"/>
  </cols>
  <sheetData>
    <row r="1" customFormat="false" ht="18" hidden="false" customHeight="false" outlineLevel="0" collapsed="false">
      <c r="A1" s="290" t="s">
        <v>144</v>
      </c>
      <c r="B1" s="337"/>
      <c r="C1" s="337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74"/>
      <c r="S1" s="338" t="s">
        <v>145</v>
      </c>
    </row>
    <row r="2" customFormat="false" ht="21" hidden="false" customHeight="true" outlineLevel="0" collapsed="false">
      <c r="A2" s="0" t="s">
        <v>146</v>
      </c>
    </row>
    <row r="3" customFormat="false" ht="26.25" hidden="false" customHeight="true" outlineLevel="0" collapsed="false">
      <c r="T3" s="339" t="s">
        <v>147</v>
      </c>
      <c r="U3" s="339" t="s">
        <v>148</v>
      </c>
    </row>
    <row r="4" customFormat="false" ht="12.75" hidden="false" customHeight="false" outlineLevel="0" collapsed="false">
      <c r="A4" s="0" t="s">
        <v>59</v>
      </c>
      <c r="B4" s="295" t="n">
        <f aca="false">AVERAGE(Mids!AI35:AI41)</f>
        <v>1.5234581053151</v>
      </c>
      <c r="S4" s="293" t="s">
        <v>149</v>
      </c>
      <c r="T4" s="340" t="n">
        <f aca="false">AVERAGE(Mids!AB38:AB41)</f>
        <v>4.04065670264844</v>
      </c>
    </row>
    <row r="5" customFormat="false" ht="12.75" hidden="false" customHeight="false" outlineLevel="0" collapsed="false">
      <c r="A5" s="0" t="s">
        <v>92</v>
      </c>
      <c r="B5" s="296" t="n">
        <v>0</v>
      </c>
      <c r="C5" s="289" t="s">
        <v>93</v>
      </c>
      <c r="I5" s="293" t="s">
        <v>91</v>
      </c>
      <c r="J5" s="294" t="n">
        <f aca="false">Mids!A1</f>
        <v>37069</v>
      </c>
      <c r="S5" s="293" t="s">
        <v>150</v>
      </c>
      <c r="T5" s="340" t="n">
        <f aca="false">AVERAGE(Mids!W38:W41)</f>
        <v>2.80784106182019</v>
      </c>
    </row>
    <row r="6" customFormat="false" ht="12.75" hidden="false" customHeight="false" outlineLevel="0" collapsed="false">
      <c r="A6" s="0" t="s">
        <v>92</v>
      </c>
      <c r="B6" s="297" t="n">
        <f aca="false">B5/B4*1.055056</f>
        <v>0</v>
      </c>
      <c r="C6" s="289" t="s">
        <v>94</v>
      </c>
      <c r="S6" s="293" t="s">
        <v>151</v>
      </c>
      <c r="T6" s="340" t="n">
        <f aca="false">AVERAGE(Mids!B38:B41)</f>
        <v>3.31225</v>
      </c>
    </row>
    <row r="7" customFormat="false" ht="12.75" hidden="false" customHeight="false" outlineLevel="0" collapsed="false">
      <c r="G7" s="293" t="s">
        <v>152</v>
      </c>
      <c r="H7" s="341" t="n">
        <v>37043</v>
      </c>
      <c r="I7" s="289" t="s">
        <v>153</v>
      </c>
      <c r="J7" s="342" t="n">
        <v>37165</v>
      </c>
      <c r="S7" s="293" t="s">
        <v>154</v>
      </c>
      <c r="T7" s="340" t="n">
        <f aca="false">AVERAGE(Mids!W38:W41)</f>
        <v>2.80784106182019</v>
      </c>
    </row>
    <row r="8" customFormat="false" ht="15" hidden="false" customHeight="false" outlineLevel="0" collapsed="false">
      <c r="A8" s="298" t="s">
        <v>95</v>
      </c>
      <c r="B8" s="289" t="s">
        <v>93</v>
      </c>
      <c r="C8" s="289" t="s">
        <v>94</v>
      </c>
      <c r="S8" s="293" t="s">
        <v>155</v>
      </c>
      <c r="T8" s="0" t="n">
        <f aca="false">U8+T6</f>
        <v>3.32725</v>
      </c>
      <c r="U8" s="340" t="n">
        <f aca="false">AVERAGE(Mids!J38:J41)</f>
        <v>0.015</v>
      </c>
    </row>
    <row r="9" customFormat="false" ht="12.75" hidden="false" customHeight="false" outlineLevel="0" collapsed="false">
      <c r="A9" s="0" t="s">
        <v>96</v>
      </c>
      <c r="B9" s="301" t="n">
        <f aca="false">T4</f>
        <v>4.04065670264844</v>
      </c>
      <c r="C9" s="297" t="n">
        <f aca="false">B9*1.055056/$B$4</f>
        <v>2.79831725151883</v>
      </c>
      <c r="S9" s="293" t="s">
        <v>156</v>
      </c>
      <c r="T9" s="0" t="n">
        <f aca="false">U9+T6</f>
        <v>3.356625</v>
      </c>
      <c r="U9" s="340" t="n">
        <f aca="false">AVERAGE(Mids!F38:F41)</f>
        <v>0.044375</v>
      </c>
    </row>
    <row r="10" customFormat="false" ht="12.75" hidden="false" customHeight="false" outlineLevel="0" collapsed="false">
      <c r="A10" s="0" t="s">
        <v>97</v>
      </c>
      <c r="B10" s="300" t="n">
        <f aca="false">B9+B5</f>
        <v>4.04065670264844</v>
      </c>
      <c r="C10" s="297" t="n">
        <f aca="false">B10*1.055056/$B$4</f>
        <v>2.79831725151883</v>
      </c>
      <c r="S10" s="293" t="s">
        <v>157</v>
      </c>
      <c r="T10" s="340" t="n">
        <f aca="false">AVERAGE(Mids!AG38:AG41)</f>
        <v>3.52725</v>
      </c>
    </row>
    <row r="11" customFormat="false" ht="12.75" hidden="false" customHeight="false" outlineLevel="0" collapsed="false">
      <c r="A11" s="0" t="s">
        <v>98</v>
      </c>
      <c r="B11" s="301" t="n">
        <f aca="false">AVERAGE(Mids!AD35:AD41)</f>
        <v>5.30343240151339</v>
      </c>
      <c r="C11" s="297" t="n">
        <f aca="false">B11*1.055056/$B$4</f>
        <v>3.67284020235909</v>
      </c>
      <c r="S11" s="293" t="s">
        <v>158</v>
      </c>
      <c r="T11" s="343" t="n">
        <f aca="false">AVERAGE(Mids!X38:X41)</f>
        <v>2.85818215595651</v>
      </c>
    </row>
    <row r="12" customFormat="false" ht="12.75" hidden="false" customHeight="false" outlineLevel="0" collapsed="false">
      <c r="A12" s="0" t="s">
        <v>99</v>
      </c>
      <c r="B12" s="297"/>
      <c r="C12" s="301" t="n">
        <f aca="false">C13</f>
        <v>3.67342857142857</v>
      </c>
    </row>
    <row r="13" customFormat="false" ht="12.75" hidden="false" customHeight="false" outlineLevel="0" collapsed="false">
      <c r="A13" s="0" t="s">
        <v>100</v>
      </c>
      <c r="B13" s="297"/>
      <c r="C13" s="301" t="n">
        <f aca="false">AVERAGE(Mids!AE35:AE41)</f>
        <v>3.67342857142857</v>
      </c>
    </row>
    <row r="14" customFormat="false" ht="12.75" hidden="false" customHeight="false" outlineLevel="0" collapsed="false">
      <c r="A14" s="0" t="s">
        <v>101</v>
      </c>
      <c r="B14" s="297"/>
      <c r="C14" s="301" t="n">
        <f aca="false">C10+H24</f>
        <v>3.06943702578722</v>
      </c>
    </row>
    <row r="15" customFormat="false" ht="12.75" hidden="false" customHeight="false" outlineLevel="0" collapsed="false">
      <c r="F15" s="344" t="s">
        <v>159</v>
      </c>
      <c r="G15" s="345" t="s">
        <v>94</v>
      </c>
      <c r="H15" s="345"/>
      <c r="I15" s="289"/>
      <c r="J15" s="345" t="s">
        <v>93</v>
      </c>
      <c r="K15" s="345"/>
      <c r="M15" s="345" t="s">
        <v>160</v>
      </c>
      <c r="N15" s="345"/>
      <c r="O15" s="345"/>
      <c r="P15" s="345"/>
    </row>
    <row r="16" customFormat="false" ht="30" hidden="false" customHeight="false" outlineLevel="0" collapsed="false">
      <c r="A16" s="346" t="s">
        <v>105</v>
      </c>
      <c r="B16" s="316" t="s">
        <v>161</v>
      </c>
      <c r="C16" s="316" t="s">
        <v>162</v>
      </c>
      <c r="D16" s="316" t="s">
        <v>106</v>
      </c>
      <c r="E16" s="316"/>
      <c r="F16" s="316" t="s">
        <v>107</v>
      </c>
      <c r="G16" s="316" t="s">
        <v>163</v>
      </c>
      <c r="H16" s="316" t="s">
        <v>164</v>
      </c>
      <c r="I16" s="316"/>
      <c r="J16" s="316" t="s">
        <v>163</v>
      </c>
      <c r="K16" s="316" t="s">
        <v>164</v>
      </c>
      <c r="L16" s="347"/>
      <c r="M16" s="348" t="s">
        <v>165</v>
      </c>
      <c r="N16" s="348" t="s">
        <v>166</v>
      </c>
      <c r="O16" s="348" t="s">
        <v>167</v>
      </c>
      <c r="P16" s="348" t="s">
        <v>168</v>
      </c>
      <c r="Q16" s="347"/>
      <c r="R16" s="347"/>
    </row>
    <row r="17" customFormat="false" ht="12.75" hidden="false" customHeight="false" outlineLevel="0" collapsed="false">
      <c r="A17" s="334" t="s">
        <v>112</v>
      </c>
      <c r="B17" s="335" t="n">
        <f aca="false">'Nova&amp;ANG&amp;GLGT$'!C16+'Nova&amp;ANG&amp;GLGT$'!C18</f>
        <v>0.00602833412541072</v>
      </c>
      <c r="C17" s="335" t="n">
        <f aca="false">(1+'Fuel Ratio'!C15)*SummerSum!B6+'Nova&amp;ANG&amp;GLGT$'!C17+'Nova&amp;ANG&amp;GLGT$'!C18</f>
        <v>0.0614434774293882</v>
      </c>
      <c r="D17" s="349" t="n">
        <f aca="false">'Fuel Ratio'!E15</f>
        <v>0.01075</v>
      </c>
      <c r="E17" s="349"/>
      <c r="F17" s="335" t="n">
        <f aca="false">D17*$C$10</f>
        <v>0.0300819104538275</v>
      </c>
      <c r="G17" s="350" t="n">
        <f aca="false">$F17+B17</f>
        <v>0.0361102445792382</v>
      </c>
      <c r="H17" s="324" t="n">
        <f aca="false">$F17+C17</f>
        <v>0.0915253878832157</v>
      </c>
      <c r="I17" s="324"/>
      <c r="J17" s="324" t="n">
        <f aca="false">G17*$B$4/1.055056</f>
        <v>0.0521417297178076</v>
      </c>
      <c r="K17" s="324" t="n">
        <f aca="false">H17*$B$4/1.055056</f>
        <v>0.132158950816633</v>
      </c>
      <c r="M17" s="351"/>
      <c r="N17" s="351"/>
      <c r="O17" s="351"/>
      <c r="P17" s="351"/>
    </row>
    <row r="18" customFormat="false" ht="12.75" hidden="false" customHeight="false" outlineLevel="0" collapsed="false">
      <c r="A18" s="334" t="s">
        <v>113</v>
      </c>
      <c r="B18" s="335" t="n">
        <f aca="false">(1+'Fuel Ratio'!C16)*('Nova&amp;ANG&amp;GLGT$'!C16+'Nova&amp;ANG&amp;GLGT$'!C18)+'PGT$'!B7+'PGT$'!B9+'PGT$'!B10</f>
        <v>0.0188966544621255</v>
      </c>
      <c r="C18" s="335" t="n">
        <f aca="false">(1+'Fuel Ratio'!C16+'Fuel Ratio'!C15)*SummerSum!B6+(1+'Fuel Ratio'!C16)*('Nova&amp;ANG&amp;GLGT$'!C17+'Nova&amp;ANG&amp;GLGT$'!C18)+'PGT$'!B8+'PGT$'!B9+'PGT$'!B10</f>
        <v>0.206299950737386</v>
      </c>
      <c r="D18" s="349" t="n">
        <f aca="false">(1+'Fuel Ratio'!E16)*'Fuel Ratio'!E15+'Fuel Ratio'!E16</f>
        <v>0.0228071058657216</v>
      </c>
      <c r="E18" s="349"/>
      <c r="F18" s="335" t="n">
        <f aca="false">D18*$C$10</f>
        <v>0.0638215178012652</v>
      </c>
      <c r="G18" s="350" t="n">
        <f aca="false">$F18+B18</f>
        <v>0.0827181722633907</v>
      </c>
      <c r="H18" s="324" t="n">
        <f aca="false">$F18+C18</f>
        <v>0.270121468538651</v>
      </c>
      <c r="I18" s="324"/>
      <c r="J18" s="324" t="n">
        <f aca="false">G18*$B$4/1.055056</f>
        <v>0.119441688395226</v>
      </c>
      <c r="K18" s="324" t="n">
        <f aca="false">H18*$B$4/1.055056</f>
        <v>0.390044453246867</v>
      </c>
      <c r="M18" s="351"/>
      <c r="N18" s="351"/>
      <c r="O18" s="351"/>
      <c r="P18" s="351"/>
    </row>
    <row r="19" customFormat="false" ht="12.75" hidden="false" customHeight="false" outlineLevel="0" collapsed="false">
      <c r="A19" s="334" t="s">
        <v>114</v>
      </c>
      <c r="B19" s="335" t="n">
        <f aca="false">(1+'Fuel Ratio'!C13)*('PGT$'!B7+'PGT$'!B9)+(1+'Fuel Ratio'!C13)*(1+'Fuel Ratio'!C16)*('Nova&amp;ANG&amp;GLGT$'!C16+'Nova&amp;ANG&amp;GLGT$'!C18)+'NWP$'!B6+'NWP$'!B8+'NWP$'!B9</f>
        <v>0.0512765957386311</v>
      </c>
      <c r="C19" s="335" t="n">
        <f aca="false">(1+'Fuel Ratio'!C13)*('PGT$'!B8+'PGT$'!B9)+(1+'Fuel Ratio'!C13)*(1+'Fuel Ratio'!C16)*('Nova&amp;ANG&amp;GLGT$'!C17+'Nova&amp;ANG&amp;GLGT$'!C18)+'NWP$'!B7+'NWP$'!B8+'NWP$'!B9+((1+'Fuel Ratio'!C13)*(1+'Fuel Ratio'!C16)+'Fuel Ratio'!C15)*SummerSum!B6</f>
        <v>0.519114435831272</v>
      </c>
      <c r="D19" s="349" t="n">
        <f aca="false">(((1+'Fuel Ratio'!E13)*'Fuel Ratio'!E16+'Fuel Ratio'!E13)+1)*'Fuel Ratio'!E15+(1+'Fuel Ratio'!E13)*'Fuel Ratio'!E16+'Fuel Ratio'!E13</f>
        <v>0.0382774397175126</v>
      </c>
      <c r="E19" s="349"/>
      <c r="F19" s="335" t="n">
        <f aca="false">D19*$C$10</f>
        <v>0.107112419905488</v>
      </c>
      <c r="G19" s="350" t="n">
        <f aca="false">$F19+B19</f>
        <v>0.158389015644119</v>
      </c>
      <c r="H19" s="324" t="n">
        <f aca="false">$F19+C19</f>
        <v>0.62622685573676</v>
      </c>
      <c r="I19" s="324"/>
      <c r="J19" s="324" t="n">
        <f aca="false">G19*$B$4/1.055056</f>
        <v>0.22870731949386</v>
      </c>
      <c r="K19" s="324" t="n">
        <f aca="false">H19*$B$4/1.055056</f>
        <v>0.904246200332644</v>
      </c>
      <c r="M19" s="351"/>
      <c r="N19" s="351"/>
      <c r="O19" s="351"/>
      <c r="P19" s="351"/>
    </row>
    <row r="20" customFormat="false" ht="12.75" hidden="false" customHeight="false" outlineLevel="0" collapsed="false">
      <c r="A20" s="334" t="s">
        <v>115</v>
      </c>
      <c r="B20" s="335" t="n">
        <f aca="false">(1+'Fuel Ratio'!C17)*('Nova&amp;ANG&amp;GLGT$'!C16+'Nova&amp;ANG&amp;GLGT$'!C18)+'PGT$'!B17+'PGT$'!B19+'PGT$'!B20</f>
        <v>0.0233300896583793</v>
      </c>
      <c r="C20" s="335" t="n">
        <f aca="false">(1+'Fuel Ratio'!C17+'Fuel Ratio'!C15)*SummerSum!B6+(1+'Fuel Ratio'!C17)*('Nova&amp;ANG&amp;GLGT$'!C17+'Nova&amp;ANG&amp;GLGT$'!C18)+'PGT$'!B18+'PGT$'!B19+'PGT$'!B20</f>
        <v>0.33509185217255</v>
      </c>
      <c r="D20" s="349" t="n">
        <f aca="false">(1+'Fuel Ratio'!E17)*'Fuel Ratio'!E15+'Fuel Ratio'!E17</f>
        <v>0.0377624373633493</v>
      </c>
      <c r="E20" s="349"/>
      <c r="F20" s="335" t="n">
        <f aca="false">D20*$C$10</f>
        <v>0.10567127993326</v>
      </c>
      <c r="G20" s="350" t="n">
        <f aca="false">$F20+B20</f>
        <v>0.129001369591639</v>
      </c>
      <c r="H20" s="324" t="n">
        <f aca="false">$F20+C20</f>
        <v>0.44076313210581</v>
      </c>
      <c r="I20" s="324"/>
      <c r="J20" s="324" t="n">
        <f aca="false">G20*$B$4/1.055056</f>
        <v>0.186272749599198</v>
      </c>
      <c r="K20" s="324" t="n">
        <f aca="false">H20*$B$4/1.055056</f>
        <v>0.636444099773536</v>
      </c>
      <c r="M20" s="351"/>
      <c r="N20" s="351"/>
      <c r="O20" s="351"/>
      <c r="P20" s="351"/>
    </row>
    <row r="21" customFormat="false" ht="19.5" hidden="false" customHeight="true" outlineLevel="0" collapsed="false">
      <c r="A21" s="334" t="s">
        <v>124</v>
      </c>
      <c r="B21" s="335"/>
      <c r="C21" s="335" t="n">
        <f aca="false">'Nova&amp;ANG&amp;GLGT$'!C34</f>
        <v>0.295794648</v>
      </c>
      <c r="D21" s="349" t="n">
        <f aca="false">(1+'Fuel Ratio'!E29)*'Fuel Ratio'!E9+'Fuel Ratio'!E29</f>
        <v>0.0281375611300875</v>
      </c>
      <c r="E21" s="349"/>
      <c r="F21" s="335" t="n">
        <f aca="false">D21*$C$10</f>
        <v>0.0787378227259895</v>
      </c>
      <c r="G21" s="350" t="n">
        <f aca="false">$F21+B21</f>
        <v>0.0787378227259895</v>
      </c>
      <c r="H21" s="324" t="n">
        <f aca="false">$F21+C21</f>
        <v>0.37453247072599</v>
      </c>
      <c r="I21" s="324"/>
      <c r="J21" s="324" t="n">
        <f aca="false">G21*$B$4/1.055056</f>
        <v>0.113694224976468</v>
      </c>
      <c r="K21" s="324" t="n">
        <f aca="false">H21*$B$4/1.055056</f>
        <v>0.540809708898106</v>
      </c>
      <c r="M21" s="351"/>
      <c r="N21" s="351"/>
      <c r="O21" s="351"/>
      <c r="P21" s="351"/>
    </row>
    <row r="22" customFormat="false" ht="12.75" hidden="false" customHeight="false" outlineLevel="0" collapsed="false">
      <c r="A22" s="352" t="s">
        <v>125</v>
      </c>
      <c r="B22" s="353"/>
      <c r="C22" s="353" t="n">
        <f aca="false">'Nova&amp;ANG&amp;GLGT$'!C40</f>
        <v>0.437317164</v>
      </c>
      <c r="D22" s="354" t="n">
        <f aca="false">(1+'Fuel Ratio'!E31)*'Fuel Ratio'!E19+'Fuel Ratio'!E31</f>
        <v>0.0426908150064683</v>
      </c>
      <c r="E22" s="354"/>
      <c r="F22" s="353" t="n">
        <f aca="false">D22*$C$10</f>
        <v>0.119462444113999</v>
      </c>
      <c r="G22" s="355" t="n">
        <f aca="false">$F22+B22</f>
        <v>0.119462444113999</v>
      </c>
      <c r="H22" s="356" t="n">
        <f aca="false">$F22+C22</f>
        <v>0.556779608113999</v>
      </c>
      <c r="I22" s="356"/>
      <c r="J22" s="356" t="n">
        <f aca="false">G22*$B$4/1.055056</f>
        <v>0.172498927797411</v>
      </c>
      <c r="K22" s="356" t="n">
        <f aca="false">H22*$B$4/1.055056</f>
        <v>0.803967189282312</v>
      </c>
      <c r="L22" s="357"/>
      <c r="M22" s="358" t="n">
        <f aca="false">T7</f>
        <v>2.80784106182019</v>
      </c>
      <c r="N22" s="358" t="n">
        <f aca="false">T8</f>
        <v>3.32725</v>
      </c>
      <c r="O22" s="358" t="n">
        <f aca="false">N22-M22</f>
        <v>0.519408938179814</v>
      </c>
      <c r="P22" s="358" t="n">
        <f aca="false">O22-G22</f>
        <v>0.399946494065815</v>
      </c>
      <c r="Q22" s="338" t="str">
        <f aca="false">IF(P22&lt;0,"ATTN!","")</f>
        <v/>
      </c>
      <c r="R22" s="338"/>
    </row>
    <row r="23" customFormat="false" ht="21.75" hidden="false" customHeight="true" outlineLevel="0" collapsed="false">
      <c r="A23" s="334" t="s">
        <v>116</v>
      </c>
      <c r="B23" s="335" t="n">
        <f aca="false">'TCPL$'!C10</f>
        <v>0.00554275262189502</v>
      </c>
      <c r="C23" s="335" t="n">
        <f aca="false">('Fuel Ratio'!C20+1)*SummerSum!B6+'TCPL$'!C11</f>
        <v>0.10682143070553</v>
      </c>
      <c r="D23" s="349" t="n">
        <f aca="false">'Fuel Ratio'!E20</f>
        <v>0.0064</v>
      </c>
      <c r="E23" s="349"/>
      <c r="F23" s="335" t="n">
        <f aca="false">D23*$C$10</f>
        <v>0.0179092304097205</v>
      </c>
      <c r="G23" s="350" t="n">
        <f aca="false">$F23+B23</f>
        <v>0.0234519830316156</v>
      </c>
      <c r="H23" s="324" t="n">
        <f aca="false">$F23+C23</f>
        <v>0.124730661115251</v>
      </c>
      <c r="I23" s="324"/>
      <c r="J23" s="324" t="n">
        <f aca="false">G23*$B$4/1.055056</f>
        <v>0.0338637130495699</v>
      </c>
      <c r="K23" s="324" t="n">
        <f aca="false">H23*$B$4/1.055056</f>
        <v>0.180106019640038</v>
      </c>
      <c r="M23" s="351"/>
      <c r="N23" s="351"/>
      <c r="O23" s="351"/>
      <c r="P23" s="351"/>
    </row>
    <row r="24" customFormat="false" ht="12.75" hidden="false" customHeight="false" outlineLevel="0" collapsed="false">
      <c r="A24" s="334" t="s">
        <v>117</v>
      </c>
      <c r="B24" s="335" t="n">
        <f aca="false">('TCPL$'!C16+'TCPL$'!C18)</f>
        <v>0.0150767520364683</v>
      </c>
      <c r="C24" s="335" t="n">
        <f aca="false">('Fuel Ratio'!C22+1)*SummerSum!B6+('TCPL$'!C19+'TCPL$'!C21)</f>
        <v>0.23012442653363</v>
      </c>
      <c r="D24" s="349" t="n">
        <f aca="false">'Fuel Ratio'!E22</f>
        <v>0.01465</v>
      </c>
      <c r="E24" s="349"/>
      <c r="F24" s="335" t="n">
        <f aca="false">D24*$C$10</f>
        <v>0.0409953477347509</v>
      </c>
      <c r="G24" s="350" t="n">
        <f aca="false">$F24+B24</f>
        <v>0.0560720997712193</v>
      </c>
      <c r="H24" s="324" t="n">
        <f aca="false">$F24+C24</f>
        <v>0.271119774268381</v>
      </c>
      <c r="I24" s="324"/>
      <c r="J24" s="324" t="n">
        <f aca="false">G24*$B$4/1.055056</f>
        <v>0.0809658396127799</v>
      </c>
      <c r="K24" s="324" t="n">
        <f aca="false">H24*$B$4/1.055056</f>
        <v>0.391485966261853</v>
      </c>
      <c r="M24" s="351"/>
      <c r="N24" s="351"/>
      <c r="O24" s="351"/>
      <c r="P24" s="351"/>
    </row>
    <row r="25" customFormat="false" ht="12.75" hidden="false" customHeight="false" outlineLevel="0" collapsed="false">
      <c r="A25" s="334" t="s">
        <v>118</v>
      </c>
      <c r="B25" s="335" t="n">
        <f aca="false">'TCPL$'!C26+'TCPL$'!C27</f>
        <v>0.0356354379864249</v>
      </c>
      <c r="C25" s="335" t="n">
        <f aca="false">('Fuel Ratio'!C23+1)*SummerSum!B6+'TCPL$'!C28+'TCPL$'!C30+'TCPL$'!C29</f>
        <v>0.652562772735629</v>
      </c>
      <c r="D25" s="349" t="n">
        <f aca="false">'Fuel Ratio'!E23</f>
        <v>0.041825</v>
      </c>
      <c r="E25" s="349"/>
      <c r="F25" s="335" t="n">
        <f aca="false">D25*$C$10</f>
        <v>0.117039619044775</v>
      </c>
      <c r="G25" s="350" t="n">
        <f aca="false">$F25+B25</f>
        <v>0.1526750570312</v>
      </c>
      <c r="H25" s="324" t="n">
        <f aca="false">$F25+C25</f>
        <v>0.769602391780404</v>
      </c>
      <c r="I25" s="324"/>
      <c r="J25" s="324" t="n">
        <f aca="false">G25*$B$4/1.055056</f>
        <v>0.220456594828737</v>
      </c>
      <c r="K25" s="324" t="n">
        <f aca="false">H25*$B$4/1.055056</f>
        <v>1.11127466374083</v>
      </c>
      <c r="M25" s="351" t="n">
        <f aca="false">T7</f>
        <v>2.80784106182019</v>
      </c>
      <c r="N25" s="351" t="n">
        <f aca="false">T9</f>
        <v>3.356625</v>
      </c>
      <c r="O25" s="351" t="n">
        <f aca="false">N25-M25</f>
        <v>0.548783938179814</v>
      </c>
      <c r="P25" s="351" t="n">
        <f aca="false">O25-G25</f>
        <v>0.396108881148614</v>
      </c>
      <c r="Q25" s="338" t="str">
        <f aca="false">IF(P25&lt;0,"ATTN!","")</f>
        <v/>
      </c>
      <c r="R25" s="338"/>
    </row>
    <row r="26" customFormat="false" ht="12.75" hidden="false" customHeight="false" outlineLevel="0" collapsed="false">
      <c r="A26" s="352" t="s">
        <v>119</v>
      </c>
      <c r="B26" s="353" t="n">
        <f aca="false">'TCPL$'!C35+'TCPL$'!C36</f>
        <v>0.0358199709409738</v>
      </c>
      <c r="C26" s="353" t="n">
        <f aca="false">('Fuel Ratio'!C24+1)*SummerSum!B6+'TCPL$'!C37+'TCPL$'!C38</f>
        <v>0.637302516439665</v>
      </c>
      <c r="D26" s="354" t="n">
        <f aca="false">'Fuel Ratio'!E24</f>
        <v>0.04315</v>
      </c>
      <c r="E26" s="354"/>
      <c r="F26" s="353" t="n">
        <f aca="false">D26*$C$10</f>
        <v>0.120747389403038</v>
      </c>
      <c r="G26" s="355" t="n">
        <f aca="false">$F26+B26</f>
        <v>0.156567360344012</v>
      </c>
      <c r="H26" s="356" t="n">
        <f aca="false">$F26+C26</f>
        <v>0.758049905842702</v>
      </c>
      <c r="I26" s="356"/>
      <c r="J26" s="356" t="n">
        <f aca="false">G26*$B$4/1.055056</f>
        <v>0.226076923067472</v>
      </c>
      <c r="K26" s="356" t="n">
        <f aca="false">H26*$B$4/1.055056</f>
        <v>1.0945933422391</v>
      </c>
      <c r="L26" s="357"/>
      <c r="M26" s="358"/>
      <c r="N26" s="358"/>
      <c r="O26" s="358"/>
      <c r="P26" s="358"/>
    </row>
    <row r="27" customFormat="false" ht="12.75" hidden="false" customHeight="false" outlineLevel="0" collapsed="false">
      <c r="A27" s="334" t="s">
        <v>120</v>
      </c>
      <c r="B27" s="335" t="n">
        <f aca="false">'TCPL$'!C43+'TCPL$'!C44</f>
        <v>0.0513038196327743</v>
      </c>
      <c r="C27" s="335" t="n">
        <f aca="false">('Fuel Ratio'!C25+1)*SummerSum!B6+'TCPL$'!C45+'TCPL$'!C46</f>
        <v>0.654093814934371</v>
      </c>
      <c r="D27" s="349" t="n">
        <f aca="false">'Fuel Ratio'!E25</f>
        <v>0.0475</v>
      </c>
      <c r="E27" s="349"/>
      <c r="F27" s="335" t="n">
        <f aca="false">D27*$C$10</f>
        <v>0.132920069447145</v>
      </c>
      <c r="G27" s="350" t="n">
        <f aca="false">$F27+B27</f>
        <v>0.184223889079919</v>
      </c>
      <c r="H27" s="324" t="n">
        <f aca="false">$F27+C27</f>
        <v>0.787013884381516</v>
      </c>
      <c r="I27" s="324"/>
      <c r="J27" s="324" t="n">
        <f aca="false">G27*$B$4/1.055056</f>
        <v>0.266011829714701</v>
      </c>
      <c r="K27" s="324" t="n">
        <f aca="false">H27*$B$4/1.055056</f>
        <v>1.13641615341417</v>
      </c>
      <c r="M27" s="351"/>
      <c r="N27" s="351"/>
      <c r="O27" s="351"/>
      <c r="P27" s="351"/>
    </row>
    <row r="28" customFormat="false" ht="12.75" hidden="false" customHeight="false" outlineLevel="0" collapsed="false">
      <c r="A28" s="334" t="s">
        <v>121</v>
      </c>
      <c r="B28" s="335" t="n">
        <f aca="false">'TCPL$'!C51+'TCPL$'!C52</f>
        <v>0.0526435841378917</v>
      </c>
      <c r="C28" s="335" t="n">
        <f aca="false">('Fuel Ratio'!C26+1)*SummerSum!B6+'TCPL$'!C53+'TCPL$'!C54</f>
        <v>0.654585127971645</v>
      </c>
      <c r="D28" s="349" t="n">
        <f aca="false">'Fuel Ratio'!E26</f>
        <v>0.0472</v>
      </c>
      <c r="E28" s="349"/>
      <c r="F28" s="335" t="n">
        <f aca="false">D28*$C$10</f>
        <v>0.132080574271689</v>
      </c>
      <c r="G28" s="350" t="n">
        <f aca="false">$F28+B28</f>
        <v>0.184724158409581</v>
      </c>
      <c r="H28" s="324" t="n">
        <f aca="false">$F28+C28</f>
        <v>0.786665702243334</v>
      </c>
      <c r="I28" s="324"/>
      <c r="J28" s="324" t="n">
        <f aca="false">G28*$B$4/1.055056</f>
        <v>0.266734198352113</v>
      </c>
      <c r="K28" s="324" t="n">
        <f aca="false">H28*$B$4/1.055056</f>
        <v>1.13591339251756</v>
      </c>
      <c r="M28" s="351"/>
      <c r="N28" s="351"/>
      <c r="O28" s="351"/>
      <c r="P28" s="351"/>
    </row>
    <row r="29" customFormat="false" ht="12.75" hidden="false" customHeight="false" outlineLevel="0" collapsed="false">
      <c r="A29" s="334" t="s">
        <v>122</v>
      </c>
      <c r="B29" s="335" t="n">
        <f aca="false">'TCPL$'!C59+'TCPL$'!C60</f>
        <v>0.0364138679149841</v>
      </c>
      <c r="C29" s="335" t="n">
        <f aca="false">('Fuel Ratio'!C27+1)*SummerSum!B6+'TCPL$'!C61+'TCPL$'!C62</f>
        <v>0.688080231380544</v>
      </c>
      <c r="D29" s="349" t="n">
        <f aca="false">'Fuel Ratio'!E27</f>
        <v>0.046125</v>
      </c>
      <c r="E29" s="349"/>
      <c r="F29" s="335" t="n">
        <f aca="false">D29*$C$10</f>
        <v>0.129072383226306</v>
      </c>
      <c r="G29" s="350" t="n">
        <f aca="false">$F29+B29</f>
        <v>0.16548625114129</v>
      </c>
      <c r="H29" s="324" t="n">
        <f aca="false">$F29+C29</f>
        <v>0.81715261460685</v>
      </c>
      <c r="I29" s="324"/>
      <c r="J29" s="324" t="n">
        <f aca="false">G29*$B$4/1.055056</f>
        <v>0.238955439919217</v>
      </c>
      <c r="K29" s="324" t="n">
        <f aca="false">H29*$B$4/1.055056</f>
        <v>1.17993525841494</v>
      </c>
      <c r="M29" s="351"/>
      <c r="N29" s="351"/>
      <c r="O29" s="351"/>
      <c r="P29" s="351"/>
    </row>
    <row r="30" customFormat="false" ht="12.75" hidden="false" customHeight="false" outlineLevel="0" collapsed="false">
      <c r="A30" s="352" t="s">
        <v>123</v>
      </c>
      <c r="B30" s="353" t="n">
        <f aca="false">'TCPL$'!C67+'TCPL$'!C68</f>
        <v>0.0288195318257628</v>
      </c>
      <c r="C30" s="353" t="n">
        <f aca="false">('Fuel Ratio'!C28+1)*SummerSum!B6+'TCPL$'!C69+'TCPL$'!C70</f>
        <v>0.5480161939841</v>
      </c>
      <c r="D30" s="354" t="n">
        <f aca="false">'Fuel Ratio'!E28</f>
        <v>0.03635</v>
      </c>
      <c r="E30" s="354"/>
      <c r="F30" s="353" t="n">
        <f aca="false">D30*$C$10</f>
        <v>0.10171883209271</v>
      </c>
      <c r="G30" s="355" t="n">
        <f aca="false">$F30+B30</f>
        <v>0.130538363918472</v>
      </c>
      <c r="H30" s="356" t="n">
        <f aca="false">$F30+C30</f>
        <v>0.64973502607681</v>
      </c>
      <c r="I30" s="356"/>
      <c r="J30" s="356" t="n">
        <f aca="false">G30*$B$4/1.055056</f>
        <v>0.18849210711675</v>
      </c>
      <c r="K30" s="356" t="n">
        <f aca="false">H30*$B$4/1.055056</f>
        <v>0.938191045578467</v>
      </c>
      <c r="L30" s="357"/>
      <c r="M30" s="358"/>
      <c r="N30" s="358"/>
      <c r="O30" s="358"/>
      <c r="P30" s="358"/>
    </row>
    <row r="31" customFormat="false" ht="12.75" hidden="false" customHeight="false" outlineLevel="0" collapsed="false">
      <c r="A31" s="334" t="s">
        <v>126</v>
      </c>
      <c r="B31" s="335" t="n">
        <f aca="false">'TCPL$'!B75+'TCPL$'!B76</f>
        <v>0.04757</v>
      </c>
      <c r="C31" s="335" t="n">
        <f aca="false">('Fuel Ratio'!C32+1)*SummerSum!B6+'TCPL$'!C65+'TCPL$'!C66</f>
        <v>0.65616824352431</v>
      </c>
      <c r="D31" s="349" t="n">
        <f aca="false">'Fuel Ratio'!E32</f>
        <v>0.041825</v>
      </c>
      <c r="E31" s="349"/>
      <c r="F31" s="335" t="n">
        <f aca="false">D31*$C$10</f>
        <v>0.117039619044775</v>
      </c>
      <c r="G31" s="350" t="n">
        <f aca="false">$F31+B31</f>
        <v>0.164609619044775</v>
      </c>
      <c r="H31" s="324" t="n">
        <f aca="false">$F31+C31</f>
        <v>0.773207862569086</v>
      </c>
      <c r="I31" s="324"/>
      <c r="J31" s="324" t="n">
        <f aca="false">G31*$B$4/1.055056</f>
        <v>0.237689618699476</v>
      </c>
      <c r="K31" s="324" t="n">
        <f aca="false">H31*$B$4/1.055056</f>
        <v>1.1164808174393</v>
      </c>
      <c r="M31" s="351"/>
      <c r="N31" s="351"/>
      <c r="O31" s="351"/>
      <c r="P31" s="351"/>
    </row>
    <row r="32" customFormat="false" ht="12.75" hidden="false" customHeight="false" outlineLevel="0" collapsed="false">
      <c r="A32" s="334" t="s">
        <v>127</v>
      </c>
      <c r="B32" s="335"/>
      <c r="C32" s="335" t="n">
        <f aca="false">('Fuel Ratio'!C33+'Fuel Ratio'!C22+1)*SummerSum!B6+('TCPL$'!C19+'TCPL$'!C21)*(1+'Fuel Ratio'!C33)+'Nova&amp;ANG&amp;GLGT$'!C25+'Nova&amp;ANG&amp;GLGT$'!C26+'Nova&amp;ANG&amp;GLGT$'!C27+'Nova&amp;ANG&amp;GLGT$'!C23</f>
        <v>0.255879148067957</v>
      </c>
      <c r="D32" s="349" t="n">
        <f aca="false">'Fuel Ratio'!E22*(1+'Fuel Ratio'!E33)+'Fuel Ratio'!E33</f>
        <v>0.04187224778</v>
      </c>
      <c r="E32" s="349"/>
      <c r="F32" s="335" t="n">
        <f aca="false">D32*$C$10</f>
        <v>0.117171833322645</v>
      </c>
      <c r="G32" s="350"/>
      <c r="H32" s="324" t="n">
        <f aca="false">$F32+C32</f>
        <v>0.373050981390602</v>
      </c>
      <c r="I32" s="324"/>
      <c r="J32" s="324"/>
      <c r="K32" s="324" t="n">
        <f aca="false">H32*$B$4/1.055056</f>
        <v>0.538670498338729</v>
      </c>
      <c r="M32" s="351"/>
      <c r="N32" s="351"/>
      <c r="O32" s="351"/>
      <c r="P32" s="351"/>
    </row>
    <row r="33" customFormat="false" ht="12.75" hidden="false" customHeight="false" outlineLevel="0" collapsed="false">
      <c r="A33" s="334" t="s">
        <v>128</v>
      </c>
      <c r="B33" s="335"/>
      <c r="C33" s="335" t="n">
        <f aca="false">'Nova&amp;ANG&amp;GLGT$'!C25+'Nova&amp;ANG&amp;GLGT$'!C26+'Nova&amp;ANG&amp;GLGT$'!C27+'Nova&amp;ANG&amp;GLGT$'!C23</f>
        <v>0.02</v>
      </c>
      <c r="D33" s="349" t="n">
        <f aca="false">'Fuel Ratio'!E33</f>
        <v>0.0268292</v>
      </c>
      <c r="E33" s="349"/>
      <c r="F33" s="335" t="n">
        <f aca="false">D33*$C$14</f>
        <v>0.0823505398522504</v>
      </c>
      <c r="G33" s="350"/>
      <c r="H33" s="324" t="n">
        <f aca="false">$F33+C33</f>
        <v>0.10235053985225</v>
      </c>
      <c r="I33" s="324"/>
      <c r="J33" s="324"/>
      <c r="K33" s="324" t="n">
        <f aca="false">H33*$B$4/1.055056</f>
        <v>0.147790031544569</v>
      </c>
      <c r="M33" s="351"/>
      <c r="N33" s="351"/>
      <c r="O33" s="351"/>
      <c r="P33" s="351"/>
    </row>
    <row r="34" customFormat="false" ht="12.75" hidden="false" customHeight="false" outlineLevel="0" collapsed="false">
      <c r="A34" s="334" t="s">
        <v>129</v>
      </c>
      <c r="B34" s="335"/>
      <c r="C34" s="335" t="n">
        <f aca="false">'Nova&amp;ANG&amp;GLGT$'!C25+'Nova&amp;ANG&amp;GLGT$'!C26+'Nova&amp;ANG&amp;GLGT$'!C27+'Nova&amp;ANG&amp;GLGT$'!C23</f>
        <v>0.02</v>
      </c>
      <c r="D34" s="349" t="n">
        <f aca="false">'Fuel Ratio'!E34</f>
        <v>0.01344905</v>
      </c>
      <c r="E34" s="349"/>
      <c r="F34" s="335" t="n">
        <f aca="false">D34*$C$14</f>
        <v>0.0412810120316636</v>
      </c>
      <c r="G34" s="350"/>
      <c r="H34" s="324" t="n">
        <f aca="false">$F34+C34</f>
        <v>0.0612810120316636</v>
      </c>
      <c r="I34" s="324"/>
      <c r="J34" s="324"/>
      <c r="K34" s="324" t="n">
        <f aca="false">H34*$B$4/1.055056</f>
        <v>0.0884872978131494</v>
      </c>
      <c r="M34" s="351"/>
      <c r="N34" s="351"/>
      <c r="O34" s="351"/>
      <c r="P34" s="351"/>
    </row>
    <row r="35" customFormat="false" ht="12.75" hidden="false" customHeight="false" outlineLevel="0" collapsed="false">
      <c r="A35" s="334" t="s">
        <v>130</v>
      </c>
      <c r="B35" s="335"/>
      <c r="C35" s="335" t="n">
        <f aca="false">'Nova&amp;ANG&amp;GLGT$'!C25+'Nova&amp;ANG&amp;GLGT$'!C26+'Nova&amp;ANG&amp;GLGT$'!C27+'Nova&amp;ANG&amp;GLGT$'!C23</f>
        <v>0.02</v>
      </c>
      <c r="D35" s="349" t="n">
        <f aca="false">'Fuel Ratio'!E35</f>
        <v>0.006439575</v>
      </c>
      <c r="E35" s="349"/>
      <c r="F35" s="335" t="n">
        <f aca="false">D35*$C$14</f>
        <v>0.0197658699353337</v>
      </c>
      <c r="G35" s="350"/>
      <c r="H35" s="324" t="n">
        <f aca="false">$F35+C35</f>
        <v>0.0397658699353337</v>
      </c>
      <c r="I35" s="324"/>
      <c r="J35" s="324"/>
      <c r="K35" s="324" t="n">
        <f aca="false">H35*$B$4/1.055056</f>
        <v>0.0574203045789895</v>
      </c>
      <c r="M35" s="351"/>
      <c r="N35" s="351"/>
      <c r="O35" s="351"/>
      <c r="P35" s="351"/>
    </row>
    <row r="36" customFormat="false" ht="12.75" hidden="false" customHeight="false" outlineLevel="0" collapsed="false">
      <c r="A36" s="334"/>
      <c r="B36" s="335"/>
      <c r="C36" s="335"/>
      <c r="D36" s="349"/>
      <c r="E36" s="349"/>
      <c r="F36" s="335"/>
      <c r="G36" s="350"/>
      <c r="H36" s="324"/>
      <c r="I36" s="324"/>
      <c r="J36" s="324"/>
      <c r="K36" s="324"/>
      <c r="M36" s="351"/>
      <c r="N36" s="351"/>
      <c r="O36" s="351"/>
      <c r="P36" s="351"/>
    </row>
    <row r="37" customFormat="false" ht="12.75" hidden="false" customHeight="false" outlineLevel="0" collapsed="false">
      <c r="A37" s="334" t="s">
        <v>131</v>
      </c>
      <c r="B37" s="335"/>
      <c r="C37" s="335"/>
      <c r="D37" s="349" t="n">
        <f aca="false">'Fuel Ratio'!E36-'Fuel Ratio'!E14</f>
        <v>0.0373</v>
      </c>
      <c r="E37" s="349"/>
      <c r="F37" s="335" t="n">
        <f aca="false">D37*$C$9</f>
        <v>0.104377233481653</v>
      </c>
      <c r="G37" s="350" t="n">
        <f aca="false">$F37+B37</f>
        <v>0.104377233481653</v>
      </c>
      <c r="H37" s="324"/>
      <c r="I37" s="324"/>
      <c r="J37" s="324" t="n">
        <f aca="false">G37*$B$4/1.055056</f>
        <v>0.150716495008787</v>
      </c>
      <c r="K37" s="324"/>
      <c r="M37" s="351" t="n">
        <f aca="false">T5</f>
        <v>2.80784106182019</v>
      </c>
      <c r="N37" s="351" t="n">
        <f aca="false">T8</f>
        <v>3.32725</v>
      </c>
      <c r="O37" s="351" t="n">
        <f aca="false">N37-M37</f>
        <v>0.519408938179814</v>
      </c>
      <c r="P37" s="351" t="n">
        <f aca="false">O37-G37</f>
        <v>0.415031704698162</v>
      </c>
      <c r="Q37" s="338" t="str">
        <f aca="false">IF(P37&lt;0,"ATTN!","")</f>
        <v/>
      </c>
      <c r="R37" s="338"/>
    </row>
    <row r="38" customFormat="false" ht="12.75" hidden="false" customHeight="false" outlineLevel="0" collapsed="false">
      <c r="A38" s="352" t="s">
        <v>132</v>
      </c>
      <c r="B38" s="359" t="n">
        <f aca="false">0.04/B4*1.055056</f>
        <v>0.0277016085002686</v>
      </c>
      <c r="C38" s="359" t="n">
        <f aca="false">0.04/B4*1.055056</f>
        <v>0.0277016085002686</v>
      </c>
      <c r="D38" s="354" t="n">
        <f aca="false">'Fuel Ratio'!E36-'Fuel Ratio'!E8</f>
        <v>0.0416574735782586</v>
      </c>
      <c r="E38" s="354"/>
      <c r="F38" s="353" t="n">
        <f aca="false">D38*$C$11</f>
        <v>0.15300124368694</v>
      </c>
      <c r="G38" s="355" t="n">
        <f aca="false">$F38+B38</f>
        <v>0.180702852187208</v>
      </c>
      <c r="H38" s="356"/>
      <c r="I38" s="356"/>
      <c r="J38" s="356" t="n">
        <f aca="false">G38*$B$4/1.055056</f>
        <v>0.260927595140125</v>
      </c>
      <c r="K38" s="356"/>
      <c r="L38" s="357"/>
      <c r="M38" s="358" t="n">
        <f aca="false">T11</f>
        <v>2.85818215595651</v>
      </c>
      <c r="N38" s="358" t="n">
        <f aca="false">T8</f>
        <v>3.32725</v>
      </c>
      <c r="O38" s="358" t="n">
        <f aca="false">N38-M38</f>
        <v>0.46906784404349</v>
      </c>
      <c r="P38" s="358" t="n">
        <f aca="false">O38-G38</f>
        <v>0.288364991856282</v>
      </c>
      <c r="Q38" s="338" t="str">
        <f aca="false">IF(P38&lt;0,"ATTN!","")</f>
        <v/>
      </c>
      <c r="R38" s="338"/>
    </row>
    <row r="39" customFormat="false" ht="20.25" hidden="false" customHeight="true" outlineLevel="0" collapsed="false">
      <c r="A39" s="334" t="s">
        <v>133</v>
      </c>
      <c r="B39" s="335" t="n">
        <f aca="false">'PGT$'!B25+'PGT$'!B27+'PGT$'!B28</f>
        <v>0.01355617</v>
      </c>
      <c r="C39" s="335" t="n">
        <f aca="false">'PGT$'!B26+'PGT$'!B27+'PGT$'!B28</f>
        <v>0.16626838</v>
      </c>
      <c r="D39" s="349" t="n">
        <f aca="false">'Fuel Ratio'!E18</f>
        <v>0.0144472505182558</v>
      </c>
      <c r="E39" s="349"/>
      <c r="F39" s="335" t="n">
        <f aca="false">D39*$C$12</f>
        <v>0.0530709428323471</v>
      </c>
      <c r="G39" s="350" t="n">
        <f aca="false">$F39+B39</f>
        <v>0.0666271128323471</v>
      </c>
      <c r="H39" s="324" t="n">
        <f aca="false">$F39+C39</f>
        <v>0.219339322832347</v>
      </c>
      <c r="I39" s="324"/>
      <c r="J39" s="324" t="n">
        <f aca="false">G39*$B$4/1.055056</f>
        <v>0.0962068507057284</v>
      </c>
      <c r="K39" s="324" t="n">
        <f aca="false">H39*$B$4/1.055056</f>
        <v>0.316717092915698</v>
      </c>
      <c r="M39" s="351"/>
      <c r="N39" s="351"/>
      <c r="O39" s="351"/>
      <c r="P39" s="351"/>
    </row>
    <row r="40" customFormat="false" ht="12.75" hidden="false" customHeight="false" outlineLevel="0" collapsed="false">
      <c r="A40" s="334" t="s">
        <v>134</v>
      </c>
      <c r="B40" s="335" t="n">
        <f aca="false">(1+'Fuel Ratio'!C14)*Westcoast!C11</f>
        <v>0.00221858976293516</v>
      </c>
      <c r="C40" s="335" t="n">
        <f aca="false">(1+'Fuel Ratio'!C14)*(Westcoast!C9+Westcoast!C11+Westcoast!C38+Westcoast!C44)+'Nova&amp;ANG&amp;GLGT$'!$C$8</f>
        <v>0.221545290832219</v>
      </c>
      <c r="D40" s="349" t="n">
        <f aca="false">(1+'Fuel Ratio'!E14)*('Fuel Ratio'!E8+'Fuel Ratio'!E12)+'Fuel Ratio'!E14</f>
        <v>0.0246400232427192</v>
      </c>
      <c r="E40" s="349"/>
      <c r="F40" s="335" t="n">
        <f aca="false">D40*$C$11</f>
        <v>0.0904988679529213</v>
      </c>
      <c r="G40" s="350" t="n">
        <f aca="false">$F40+B40</f>
        <v>0.0927174577158565</v>
      </c>
      <c r="H40" s="324" t="n">
        <f aca="false">$F40+C40</f>
        <v>0.31204415878514</v>
      </c>
      <c r="I40" s="324"/>
      <c r="J40" s="324" t="n">
        <f aca="false">G40*$B$4/1.055056</f>
        <v>0.133880251343466</v>
      </c>
      <c r="K40" s="324" t="n">
        <f aca="false">H40*$B$4/1.055056</f>
        <v>0.450579118944828</v>
      </c>
      <c r="M40" s="351"/>
      <c r="N40" s="351"/>
      <c r="O40" s="351"/>
      <c r="P40" s="351"/>
    </row>
    <row r="41" customFormat="false" ht="12.75" hidden="false" customHeight="false" outlineLevel="0" collapsed="false">
      <c r="A41" s="334" t="s">
        <v>135</v>
      </c>
      <c r="B41" s="335" t="n">
        <f aca="false">Westcoast!C32</f>
        <v>0.0086405026484151</v>
      </c>
      <c r="C41" s="335" t="n">
        <f aca="false">Westcoast!C30+Westcoast!C32</f>
        <v>0.159695867834606</v>
      </c>
      <c r="D41" s="349" t="n">
        <f aca="false">'Fuel Ratio'!E11</f>
        <v>0.0214504596527068</v>
      </c>
      <c r="E41" s="349"/>
      <c r="F41" s="335" t="n">
        <f aca="false">D41*$C$11</f>
        <v>0.0787841105715429</v>
      </c>
      <c r="G41" s="350" t="n">
        <f aca="false">$F41+B41</f>
        <v>0.087424613219958</v>
      </c>
      <c r="H41" s="324" t="n">
        <f aca="false">$F41+C41</f>
        <v>0.238479978406149</v>
      </c>
      <c r="I41" s="324"/>
      <c r="J41" s="324" t="n">
        <f aca="false">G41*$B$4/1.055056</f>
        <v>0.126237598396657</v>
      </c>
      <c r="K41" s="324" t="n">
        <f aca="false">H41*$B$4/1.055056</f>
        <v>0.344355423843111</v>
      </c>
      <c r="M41" s="351"/>
      <c r="N41" s="351"/>
      <c r="O41" s="351"/>
      <c r="P41" s="351"/>
    </row>
    <row r="42" customFormat="false" ht="12.75" hidden="false" customHeight="false" outlineLevel="0" collapsed="false">
      <c r="A42" s="352" t="s">
        <v>136</v>
      </c>
      <c r="B42" s="353" t="n">
        <f aca="false">(1+'Fuel Ratio'!C13)*(Westcoast!C32)+'NWP$'!B6+'NWP$'!B8+'NWP$'!B9</f>
        <v>0.04797119343053</v>
      </c>
      <c r="C42" s="360" t="n">
        <f aca="false">(1+'Fuel Ratio'!C13)*(Westcoast!C32)+'NWP$'!B7+'NWP$'!B8+'NWP$'!B9</f>
        <v>0.32557119343053</v>
      </c>
      <c r="D42" s="354" t="n">
        <f aca="false">(1+'Fuel Ratio'!E13)*'Fuel Ratio'!E11+'Fuel Ratio'!E13</f>
        <v>0.0369002737313032</v>
      </c>
      <c r="E42" s="354"/>
      <c r="F42" s="353" t="n">
        <f aca="false">D42*$C$11</f>
        <v>0.135528808838385</v>
      </c>
      <c r="G42" s="355" t="n">
        <f aca="false">$F42+B42</f>
        <v>0.183500002268915</v>
      </c>
      <c r="H42" s="356" t="n">
        <f aca="false">$F42+C42</f>
        <v>0.461100002268915</v>
      </c>
      <c r="I42" s="356"/>
      <c r="J42" s="356" t="n">
        <f aca="false">G42*$B$4/1.055056</f>
        <v>0.264966566496867</v>
      </c>
      <c r="K42" s="356" t="n">
        <f aca="false">H42*$B$4/1.055056</f>
        <v>0.665809716088427</v>
      </c>
      <c r="L42" s="357"/>
      <c r="M42" s="358"/>
      <c r="N42" s="358"/>
      <c r="O42" s="358"/>
      <c r="P42" s="358"/>
    </row>
    <row r="43" customFormat="false" ht="12.75" hidden="false" customHeight="false" outlineLevel="0" collapsed="false">
      <c r="A43" s="334" t="s">
        <v>137</v>
      </c>
      <c r="B43" s="335" t="n">
        <f aca="false">+'NWP$'!B6+'NWP$'!B8+'NWP$'!B9</f>
        <v>0.0392</v>
      </c>
      <c r="C43" s="301" t="n">
        <f aca="false">+'NWP$'!B7+'NWP$'!B8+'NWP$'!B9</f>
        <v>0.3168</v>
      </c>
      <c r="D43" s="349" t="n">
        <f aca="false">+'Fuel Ratio'!E13</f>
        <v>0.0151253679829459</v>
      </c>
      <c r="E43" s="349"/>
      <c r="F43" s="335" t="n">
        <f aca="false">D43*$C$13</f>
        <v>0.0555619589019246</v>
      </c>
      <c r="G43" s="350" t="n">
        <f aca="false">$F43+B43</f>
        <v>0.0947619589019246</v>
      </c>
      <c r="H43" s="324" t="n">
        <f aca="false">$F43+C43</f>
        <v>0.372361958901925</v>
      </c>
      <c r="I43" s="324"/>
      <c r="J43" s="324" t="n">
        <f aca="false">G43*$B$4/1.055056</f>
        <v>0.136832428197815</v>
      </c>
      <c r="K43" s="324" t="n">
        <f aca="false">H43*$B$4/1.055056</f>
        <v>0.537675577789374</v>
      </c>
      <c r="M43" s="351"/>
      <c r="N43" s="351"/>
      <c r="O43" s="351"/>
      <c r="P43" s="351"/>
    </row>
    <row r="44" customFormat="false" ht="12.75" hidden="false" customHeight="false" outlineLevel="0" collapsed="false">
      <c r="A44" s="334" t="s">
        <v>138</v>
      </c>
      <c r="B44" s="335" t="n">
        <f aca="false">Westcoast!C11</f>
        <v>0.00219445080409017</v>
      </c>
      <c r="C44" s="335" t="n">
        <f aca="false">('Fuel Ratio'!C8+1)*SummerSum!B6+Westcoast!C9+Westcoast!C11+Westcoast!C38</f>
        <v>0.0591498790882755</v>
      </c>
      <c r="D44" s="349" t="n">
        <f aca="false">'Fuel Ratio'!E8</f>
        <v>0.00654252642174136</v>
      </c>
      <c r="E44" s="349"/>
      <c r="F44" s="335" t="n">
        <f aca="false">D44*$C$10</f>
        <v>0.0183080645544766</v>
      </c>
      <c r="G44" s="350" t="n">
        <f aca="false">$F44+B44</f>
        <v>0.0205025153585668</v>
      </c>
      <c r="H44" s="324" t="n">
        <f aca="false">$F44+C44</f>
        <v>0.0774579436427521</v>
      </c>
      <c r="I44" s="324"/>
      <c r="J44" s="324" t="n">
        <f aca="false">G44*$B$4/1.055056</f>
        <v>0.029604801263967</v>
      </c>
      <c r="K44" s="324" t="n">
        <f aca="false">H44*$B$4/1.055056</f>
        <v>0.111846131450455</v>
      </c>
    </row>
    <row r="45" customFormat="false" ht="12.75" hidden="false" customHeight="false" outlineLevel="0" collapsed="false">
      <c r="A45" s="334"/>
      <c r="B45" s="335"/>
      <c r="C45" s="335"/>
      <c r="D45" s="349"/>
      <c r="E45" s="349"/>
      <c r="F45" s="335"/>
      <c r="G45" s="324"/>
      <c r="H45" s="324"/>
      <c r="I45" s="324"/>
      <c r="J45" s="324"/>
      <c r="K45" s="324"/>
    </row>
    <row r="46" customFormat="false" ht="12.75" hidden="false" customHeight="false" outlineLevel="0" collapsed="false">
      <c r="A46" s="0" t="s">
        <v>139</v>
      </c>
    </row>
    <row r="47" customFormat="false" ht="12.75" hidden="false" customHeight="false" outlineLevel="0" collapsed="false">
      <c r="A47" s="0" t="s">
        <v>140</v>
      </c>
    </row>
    <row r="48" customFormat="false" ht="12.75" hidden="false" customHeight="false" outlineLevel="0" collapsed="false">
      <c r="A48" s="0" t="s">
        <v>141</v>
      </c>
    </row>
    <row r="49" customFormat="false" ht="12.75" hidden="false" customHeight="false" outlineLevel="0" collapsed="false">
      <c r="A49" s="0" t="s">
        <v>142</v>
      </c>
    </row>
    <row r="50" customFormat="false" ht="12.75" hidden="false" customHeight="false" outlineLevel="0" collapsed="false">
      <c r="A50" s="0" t="s">
        <v>143</v>
      </c>
    </row>
  </sheetData>
  <mergeCells count="3">
    <mergeCell ref="G15:H15"/>
    <mergeCell ref="J15:K15"/>
    <mergeCell ref="M15:P15"/>
  </mergeCells>
  <printOptions headings="false" gridLines="false" gridLinesSet="true" horizontalCentered="false" verticalCentered="false"/>
  <pageMargins left="0.420138888888889" right="0.329861111111111" top="0.629861111111111" bottom="0.5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0" topLeftCell="B1" activePane="topRight" state="frozen"/>
      <selection pane="topLeft" activeCell="A1" activeCellId="0" sqref="A1"/>
      <selection pane="topRigh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56"/>
    <col collapsed="false" customWidth="true" hidden="false" outlineLevel="0" max="2" min="2" style="289" width="14.14"/>
    <col collapsed="false" customWidth="true" hidden="false" outlineLevel="0" max="3" min="3" style="289" width="11.85"/>
    <col collapsed="false" customWidth="true" hidden="false" outlineLevel="0" max="4" min="4" style="0" width="9.85"/>
    <col collapsed="false" customWidth="true" hidden="false" outlineLevel="0" max="5" min="5" style="0" width="4.7"/>
    <col collapsed="false" customWidth="true" hidden="false" outlineLevel="0" max="6" min="6" style="0" width="9.85"/>
    <col collapsed="false" customWidth="true" hidden="false" outlineLevel="0" max="7" min="7" style="0" width="14.85"/>
    <col collapsed="false" customWidth="true" hidden="false" outlineLevel="0" max="9" min="9" style="0" width="4.28"/>
    <col collapsed="false" customWidth="true" hidden="false" outlineLevel="0" max="10" min="10" style="0" width="14.85"/>
    <col collapsed="false" customWidth="true" hidden="false" outlineLevel="0" max="18" min="18" style="0" width="27.7"/>
  </cols>
  <sheetData>
    <row r="1" customFormat="false" ht="18" hidden="false" customHeight="false" outlineLevel="0" collapsed="false">
      <c r="A1" s="290" t="s">
        <v>169</v>
      </c>
      <c r="B1" s="337"/>
      <c r="C1" s="337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74"/>
      <c r="S1" s="338" t="s">
        <v>145</v>
      </c>
    </row>
    <row r="2" customFormat="false" ht="21" hidden="false" customHeight="true" outlineLevel="0" collapsed="false">
      <c r="A2" s="0" t="s">
        <v>170</v>
      </c>
    </row>
    <row r="3" customFormat="false" ht="26.25" hidden="false" customHeight="true" outlineLevel="0" collapsed="false">
      <c r="T3" s="339" t="s">
        <v>147</v>
      </c>
      <c r="U3" s="339" t="s">
        <v>148</v>
      </c>
    </row>
    <row r="4" customFormat="false" ht="12.75" hidden="false" customHeight="false" outlineLevel="0" collapsed="false">
      <c r="A4" s="0" t="s">
        <v>59</v>
      </c>
      <c r="B4" s="295" t="n">
        <f aca="false">AVERAGE(Mids!AI42:AI46)</f>
        <v>1.52139871837034</v>
      </c>
      <c r="S4" s="293" t="s">
        <v>149</v>
      </c>
      <c r="T4" s="340" t="n">
        <f aca="false">AVERAGE(Mids!AB42:AB46)</f>
        <v>4.89678870611291</v>
      </c>
    </row>
    <row r="5" customFormat="false" ht="12.75" hidden="false" customHeight="false" outlineLevel="0" collapsed="false">
      <c r="A5" s="0" t="s">
        <v>171</v>
      </c>
      <c r="B5" s="361" t="n">
        <f aca="false">(T7-T4)/B4*1.055056</f>
        <v>0.102287952606333</v>
      </c>
      <c r="C5" s="289" t="s">
        <v>172</v>
      </c>
      <c r="I5" s="293" t="s">
        <v>91</v>
      </c>
      <c r="J5" s="294" t="n">
        <f aca="false">Mids!A1</f>
        <v>37069</v>
      </c>
      <c r="S5" s="293" t="s">
        <v>150</v>
      </c>
      <c r="T5" s="340" t="n">
        <f aca="false">AVERAGE(Mids!V42:V46)</f>
        <v>3.3958</v>
      </c>
    </row>
    <row r="6" customFormat="false" ht="12.75" hidden="false" customHeight="false" outlineLevel="0" collapsed="false">
      <c r="B6" s="297"/>
      <c r="S6" s="293" t="s">
        <v>151</v>
      </c>
      <c r="T6" s="340" t="n">
        <f aca="false">AVERAGE(Mids!B42:B46)</f>
        <v>3.8808</v>
      </c>
    </row>
    <row r="7" customFormat="false" ht="12.75" hidden="false" customHeight="false" outlineLevel="0" collapsed="false">
      <c r="G7" s="293" t="s">
        <v>152</v>
      </c>
      <c r="H7" s="362" t="n">
        <v>37196</v>
      </c>
      <c r="I7" s="289" t="s">
        <v>153</v>
      </c>
      <c r="J7" s="362" t="n">
        <v>37346</v>
      </c>
      <c r="S7" s="293" t="s">
        <v>173</v>
      </c>
      <c r="T7" s="340" t="n">
        <f aca="false">AVERAGE(Mids!AC42:AC46)</f>
        <v>5.04428870611291</v>
      </c>
    </row>
    <row r="8" customFormat="false" ht="15" hidden="false" customHeight="false" outlineLevel="0" collapsed="false">
      <c r="A8" s="298" t="s">
        <v>95</v>
      </c>
      <c r="B8" s="289" t="s">
        <v>93</v>
      </c>
      <c r="C8" s="289" t="s">
        <v>94</v>
      </c>
      <c r="S8" s="293" t="s">
        <v>155</v>
      </c>
      <c r="T8" s="0" t="n">
        <f aca="false">U8+T6</f>
        <v>4.0008</v>
      </c>
      <c r="U8" s="340" t="n">
        <f aca="false">AVERAGE(Mids!J42:J46)</f>
        <v>0.12</v>
      </c>
    </row>
    <row r="9" customFormat="false" ht="12.75" hidden="false" customHeight="false" outlineLevel="0" collapsed="false">
      <c r="A9" s="0" t="s">
        <v>96</v>
      </c>
      <c r="B9" s="301" t="n">
        <f aca="false">T4</f>
        <v>4.89678870611291</v>
      </c>
      <c r="C9" s="297" t="n">
        <f aca="false">B9*1.055056/$B$4</f>
        <v>3.39581349894306</v>
      </c>
      <c r="S9" s="293" t="s">
        <v>156</v>
      </c>
      <c r="T9" s="0" t="n">
        <f aca="false">U9+T6</f>
        <v>4.0808</v>
      </c>
      <c r="U9" s="340" t="n">
        <f aca="false">AVERAGE(Mids!F42:F46)</f>
        <v>0.2</v>
      </c>
    </row>
    <row r="10" customFormat="false" ht="12.75" hidden="false" customHeight="false" outlineLevel="0" collapsed="false">
      <c r="A10" s="0" t="s">
        <v>97</v>
      </c>
      <c r="B10" s="300" t="n">
        <f aca="false">T7</f>
        <v>5.04428870611291</v>
      </c>
      <c r="C10" s="297" t="n">
        <f aca="false">B10*1.055056/$B$4</f>
        <v>3.49810145154939</v>
      </c>
      <c r="S10" s="293" t="s">
        <v>157</v>
      </c>
      <c r="T10" s="340" t="n">
        <f aca="false">AVERAGE(Mids!AG42:AG46)</f>
        <v>4.6168</v>
      </c>
    </row>
    <row r="11" customFormat="false" ht="12.75" hidden="false" customHeight="false" outlineLevel="0" collapsed="false">
      <c r="A11" s="0" t="s">
        <v>98</v>
      </c>
      <c r="B11" s="301" t="n">
        <f aca="false">AVERAGE(Mids!AD35:AD41)</f>
        <v>5.30343240151339</v>
      </c>
      <c r="C11" s="297" t="n">
        <f aca="false">B11*1.055056/$B$4</f>
        <v>3.67781181109756</v>
      </c>
      <c r="S11" s="293" t="s">
        <v>158</v>
      </c>
      <c r="T11" s="343" t="n">
        <f aca="false">AVERAGE(Mids!X42:X46)</f>
        <v>3.60384334910828</v>
      </c>
    </row>
    <row r="12" customFormat="false" ht="12.75" hidden="false" customHeight="false" outlineLevel="0" collapsed="false">
      <c r="A12" s="0" t="s">
        <v>99</v>
      </c>
      <c r="B12" s="297"/>
      <c r="C12" s="301" t="n">
        <f aca="false">C13</f>
        <v>3.67342857142857</v>
      </c>
    </row>
    <row r="13" customFormat="false" ht="12.75" hidden="false" customHeight="false" outlineLevel="0" collapsed="false">
      <c r="A13" s="0" t="s">
        <v>100</v>
      </c>
      <c r="B13" s="297"/>
      <c r="C13" s="301" t="n">
        <f aca="false">AVERAGE(Mids!AE35:AE41)</f>
        <v>3.67342857142857</v>
      </c>
    </row>
    <row r="14" customFormat="false" ht="12.75" hidden="false" customHeight="false" outlineLevel="0" collapsed="false">
      <c r="A14" s="0" t="s">
        <v>101</v>
      </c>
      <c r="B14" s="297"/>
      <c r="C14" s="301" t="n">
        <f aca="false">C10+H24</f>
        <v>3.90385575218608</v>
      </c>
    </row>
    <row r="15" customFormat="false" ht="12.75" hidden="false" customHeight="false" outlineLevel="0" collapsed="false">
      <c r="F15" s="344" t="s">
        <v>159</v>
      </c>
      <c r="G15" s="345" t="s">
        <v>94</v>
      </c>
      <c r="H15" s="345"/>
      <c r="I15" s="289"/>
      <c r="J15" s="345" t="s">
        <v>93</v>
      </c>
      <c r="K15" s="345"/>
      <c r="M15" s="345" t="s">
        <v>160</v>
      </c>
      <c r="N15" s="345"/>
      <c r="O15" s="345"/>
      <c r="P15" s="345"/>
    </row>
    <row r="16" customFormat="false" ht="30" hidden="false" customHeight="false" outlineLevel="0" collapsed="false">
      <c r="A16" s="346" t="s">
        <v>105</v>
      </c>
      <c r="B16" s="316" t="s">
        <v>161</v>
      </c>
      <c r="C16" s="316" t="s">
        <v>162</v>
      </c>
      <c r="D16" s="316" t="s">
        <v>106</v>
      </c>
      <c r="E16" s="316"/>
      <c r="F16" s="316" t="s">
        <v>107</v>
      </c>
      <c r="G16" s="316" t="s">
        <v>163</v>
      </c>
      <c r="H16" s="316" t="s">
        <v>164</v>
      </c>
      <c r="I16" s="316"/>
      <c r="J16" s="316" t="s">
        <v>163</v>
      </c>
      <c r="K16" s="316" t="s">
        <v>164</v>
      </c>
      <c r="L16" s="347"/>
      <c r="M16" s="348" t="s">
        <v>165</v>
      </c>
      <c r="N16" s="348" t="s">
        <v>166</v>
      </c>
      <c r="O16" s="348" t="s">
        <v>167</v>
      </c>
      <c r="P16" s="348" t="s">
        <v>168</v>
      </c>
      <c r="Q16" s="347"/>
      <c r="R16" s="347"/>
    </row>
    <row r="17" customFormat="false" ht="12.75" hidden="false" customHeight="false" outlineLevel="0" collapsed="false">
      <c r="A17" s="334" t="s">
        <v>174</v>
      </c>
      <c r="B17" s="335" t="n">
        <f aca="false">'Nova&amp;ANG&amp;GLGT$'!C16+'Nova&amp;ANG&amp;GLGT$'!C18</f>
        <v>0.00602833412541072</v>
      </c>
      <c r="C17" s="335" t="n">
        <f aca="false">(1+'Fuel Ratio'!G15)*WinterSum!B5+'Nova&amp;ANG&amp;GLGT$'!C17+'Nova&amp;ANG&amp;GLGT$'!C18</f>
        <v>0.165143208357593</v>
      </c>
      <c r="D17" s="349" t="n">
        <f aca="false">'Fuel Ratio'!G15</f>
        <v>0.013802</v>
      </c>
      <c r="E17" s="349"/>
      <c r="F17" s="335" t="n">
        <f aca="false">D17*$C$10</f>
        <v>0.0482807962342847</v>
      </c>
      <c r="G17" s="350" t="n">
        <f aca="false">$F17+B17</f>
        <v>0.0543091303596955</v>
      </c>
      <c r="H17" s="324" t="n">
        <f aca="false">$F17+C17</f>
        <v>0.213424004591878</v>
      </c>
      <c r="I17" s="324"/>
      <c r="J17" s="324" t="n">
        <f aca="false">G17*$B$4/1.055056</f>
        <v>0.0783141760485208</v>
      </c>
      <c r="K17" s="324" t="n">
        <f aca="false">H17*$B$4/1.055056</f>
        <v>0.307759026113825</v>
      </c>
      <c r="M17" s="351"/>
      <c r="N17" s="351"/>
      <c r="O17" s="351"/>
      <c r="P17" s="351"/>
    </row>
    <row r="18" customFormat="false" ht="12.75" hidden="false" customHeight="false" outlineLevel="0" collapsed="false">
      <c r="A18" s="334" t="s">
        <v>175</v>
      </c>
      <c r="B18" s="335" t="n">
        <f aca="false">(1+'Fuel Ratio'!G16)*('Nova&amp;ANG&amp;GLGT$'!C16+'Nova&amp;ANG&amp;GLGT$'!C18)+'PGT$'!B7+'PGT$'!B9+'PGT$'!B10</f>
        <v>0.0189220190277298</v>
      </c>
      <c r="C18" s="335" t="n">
        <f aca="false">(1+'Fuel Ratio'!G16+'Fuel Ratio'!G15)*WinterSum!B5+(1+'Fuel Ratio'!G16)*('Nova&amp;ANG&amp;GLGT$'!C17+'Nova&amp;ANG&amp;GLGT$'!C18)+'PGT$'!B8+'PGT$'!B9+'PGT$'!B10</f>
        <v>0.31174925803918</v>
      </c>
      <c r="D18" s="349" t="n">
        <f aca="false">(1+'Fuel Ratio'!G16)*'Fuel Ratio'!G15+'Fuel Ratio'!G16</f>
        <v>0.0285801708623928</v>
      </c>
      <c r="E18" s="349"/>
      <c r="F18" s="335" t="n">
        <f aca="false">D18*$C$10</f>
        <v>0.0999763371792661</v>
      </c>
      <c r="G18" s="350" t="n">
        <f aca="false">$F18+B18</f>
        <v>0.118898356206996</v>
      </c>
      <c r="H18" s="324" t="n">
        <f aca="false">$F18+C18</f>
        <v>0.411725595218446</v>
      </c>
      <c r="I18" s="324"/>
      <c r="J18" s="324" t="n">
        <f aca="false">G18*$B$4/1.055056</f>
        <v>0.171452327411685</v>
      </c>
      <c r="K18" s="324" t="n">
        <f aca="false">H18*$B$4/1.055056</f>
        <v>0.59371141710545</v>
      </c>
      <c r="M18" s="351"/>
      <c r="N18" s="351"/>
      <c r="O18" s="351"/>
      <c r="P18" s="351"/>
    </row>
    <row r="19" customFormat="false" ht="12.75" hidden="false" customHeight="false" outlineLevel="0" collapsed="false">
      <c r="A19" s="334" t="s">
        <v>176</v>
      </c>
      <c r="B19" s="335" t="n">
        <f aca="false">(1+'Fuel Ratio'!G13)*('PGT$'!B7+'PGT$'!B9)+(1+'Fuel Ratio'!G13)*(1+'Fuel Ratio'!G16)*('Nova&amp;ANG&amp;GLGT$'!C16+'Nova&amp;ANG&amp;GLGT$'!C18)+'NWP$'!B6+'NWP$'!B8+'NWP$'!B9</f>
        <v>0.0512680423400444</v>
      </c>
      <c r="C19" s="335" t="n">
        <f aca="false">(1+'Fuel Ratio'!G13)*('PGT$'!B8+'PGT$'!B9)+(1+'Fuel Ratio'!G13)*(1+'Fuel Ratio'!G16)*('Nova&amp;ANG&amp;GLGT$'!C17+'Nova&amp;ANG&amp;GLGT$'!C18)+'NWP$'!B7+'NWP$'!B8+'NWP$'!B9+((1+'Fuel Ratio'!G13)*(1+'Fuel Ratio'!G16)+'Fuel Ratio'!G15)*WinterSum!B5</f>
        <v>0.625264597146964</v>
      </c>
      <c r="D19" s="349" t="n">
        <f aca="false">(((1+'Fuel Ratio'!G13)*'Fuel Ratio'!G16+'Fuel Ratio'!G13)+1)*'Fuel Ratio'!G15+(1+'Fuel Ratio'!G13)*'Fuel Ratio'!G16+'Fuel Ratio'!G13</f>
        <v>0.0411784298637442</v>
      </c>
      <c r="E19" s="349"/>
      <c r="F19" s="335" t="n">
        <f aca="false">D19*$C$10</f>
        <v>0.144046325278889</v>
      </c>
      <c r="G19" s="350" t="n">
        <f aca="false">$F19+B19</f>
        <v>0.195314367618933</v>
      </c>
      <c r="H19" s="324" t="n">
        <f aca="false">$F19+C19</f>
        <v>0.769310922425852</v>
      </c>
      <c r="I19" s="324"/>
      <c r="J19" s="324" t="n">
        <f aca="false">G19*$B$4/1.055056</f>
        <v>0.281644792859106</v>
      </c>
      <c r="K19" s="324" t="n">
        <f aca="false">H19*$B$4/1.055056</f>
        <v>1.10935215894416</v>
      </c>
      <c r="M19" s="351"/>
      <c r="N19" s="351"/>
      <c r="O19" s="351"/>
      <c r="P19" s="351"/>
    </row>
    <row r="20" customFormat="false" ht="12.75" hidden="false" customHeight="false" outlineLevel="0" collapsed="false">
      <c r="A20" s="334" t="s">
        <v>177</v>
      </c>
      <c r="B20" s="335" t="n">
        <f aca="false">(1+'Fuel Ratio'!G17)*('Nova&amp;ANG&amp;GLGT$'!C16+'Nova&amp;ANG&amp;GLGT$'!C18)+'PGT$'!B17+'PGT$'!B19+'PGT$'!B20</f>
        <v>0.0233878327402664</v>
      </c>
      <c r="C20" s="335" t="n">
        <f aca="false">(1+'Fuel Ratio'!G17+'Fuel Ratio'!G15)*WinterSum!B5+(1+'Fuel Ratio'!G17)*('Nova&amp;ANG&amp;GLGT$'!C17+'Nova&amp;ANG&amp;GLGT$'!C18)+'PGT$'!B18+'PGT$'!B19+'PGT$'!B20</f>
        <v>0.442731595377736</v>
      </c>
      <c r="D20" s="349" t="n">
        <f aca="false">(1+'Fuel Ratio'!G17)*'Fuel Ratio'!G15+'Fuel Ratio'!G17</f>
        <v>0.0470192641084753</v>
      </c>
      <c r="E20" s="349"/>
      <c r="F20" s="335" t="n">
        <f aca="false">D20*$C$10</f>
        <v>0.164478156028642</v>
      </c>
      <c r="G20" s="350" t="n">
        <f aca="false">$F20+B20</f>
        <v>0.187865988768908</v>
      </c>
      <c r="H20" s="324" t="n">
        <f aca="false">$F20+C20</f>
        <v>0.607209751406378</v>
      </c>
      <c r="I20" s="324"/>
      <c r="J20" s="324" t="n">
        <f aca="false">G20*$B$4/1.055056</f>
        <v>0.270904174317186</v>
      </c>
      <c r="K20" s="324" t="n">
        <f aca="false">H20*$B$4/1.055056</f>
        <v>0.875601046363069</v>
      </c>
      <c r="M20" s="351"/>
      <c r="N20" s="351"/>
      <c r="O20" s="351"/>
      <c r="P20" s="351"/>
    </row>
    <row r="21" customFormat="false" ht="19.5" hidden="false" customHeight="true" outlineLevel="0" collapsed="false">
      <c r="A21" s="334" t="s">
        <v>178</v>
      </c>
      <c r="B21" s="335"/>
      <c r="C21" s="335" t="n">
        <f aca="false">(1+'Fuel Ratio'!G29)*B5+'Nova&amp;ANG&amp;GLGT$'!C34</f>
        <v>0.401115851260227</v>
      </c>
      <c r="D21" s="349" t="n">
        <f aca="false">(1+'Fuel Ratio'!G29)*'Fuel Ratio'!G19+'Fuel Ratio'!G29</f>
        <v>0.0376853377265241</v>
      </c>
      <c r="E21" s="349"/>
      <c r="F21" s="335" t="n">
        <f aca="false">D21*$C$10</f>
        <v>0.131827134603283</v>
      </c>
      <c r="G21" s="350" t="n">
        <f aca="false">$F21+B21</f>
        <v>0.131827134603283</v>
      </c>
      <c r="H21" s="324" t="n">
        <f aca="false">$F21+C21</f>
        <v>0.53294298586351</v>
      </c>
      <c r="I21" s="324"/>
      <c r="J21" s="324" t="n">
        <f aca="false">G21*$B$4/1.055056</f>
        <v>0.190095723479956</v>
      </c>
      <c r="K21" s="324" t="n">
        <f aca="false">H21*$B$4/1.055056</f>
        <v>0.768507809687073</v>
      </c>
      <c r="M21" s="351"/>
      <c r="N21" s="351"/>
      <c r="O21" s="351"/>
      <c r="P21" s="351"/>
    </row>
    <row r="22" customFormat="false" ht="12.75" hidden="false" customHeight="false" outlineLevel="0" collapsed="false">
      <c r="A22" s="352" t="s">
        <v>179</v>
      </c>
      <c r="B22" s="353"/>
      <c r="C22" s="353" t="n">
        <f aca="false">(1+'Fuel Ratio'!G29)*B5+'Nova&amp;ANG&amp;GLGT$'!C40</f>
        <v>0.542638367260227</v>
      </c>
      <c r="D22" s="354" t="n">
        <f aca="false">(1+'Fuel Ratio'!G31)*'Fuel Ratio'!G19+'Fuel Ratio'!G31</f>
        <v>0.0528625156707063</v>
      </c>
      <c r="E22" s="354"/>
      <c r="F22" s="353" t="n">
        <f aca="false">D22*$C$10</f>
        <v>0.18491844280025</v>
      </c>
      <c r="G22" s="355" t="n">
        <f aca="false">$F22+B22</f>
        <v>0.18491844280025</v>
      </c>
      <c r="H22" s="356" t="n">
        <f aca="false">$F22+C22</f>
        <v>0.727556810060477</v>
      </c>
      <c r="I22" s="356"/>
      <c r="J22" s="356" t="n">
        <f aca="false">G22*$B$4/1.055056</f>
        <v>0.26665379077446</v>
      </c>
      <c r="K22" s="356" t="n">
        <f aca="false">H22*$B$4/1.055056</f>
        <v>1.04914241364214</v>
      </c>
      <c r="L22" s="357"/>
      <c r="M22" s="358" t="n">
        <f aca="false">T7/B4*1.055056</f>
        <v>3.49810145154939</v>
      </c>
      <c r="N22" s="358" t="n">
        <f aca="false">T8</f>
        <v>4.0008</v>
      </c>
      <c r="O22" s="358" t="n">
        <f aca="false">N22-M22</f>
        <v>0.502698548450606</v>
      </c>
      <c r="P22" s="358" t="n">
        <f aca="false">O22-G22</f>
        <v>0.317780105650355</v>
      </c>
      <c r="Q22" s="338" t="str">
        <f aca="false">IF(P22&lt;0,"ATTN!","")</f>
        <v/>
      </c>
      <c r="R22" s="338"/>
    </row>
    <row r="23" customFormat="false" ht="21.75" hidden="false" customHeight="true" outlineLevel="0" collapsed="false">
      <c r="A23" s="334" t="s">
        <v>180</v>
      </c>
      <c r="B23" s="335" t="n">
        <f aca="false">'TCPL$'!C10</f>
        <v>0.00554275262189502</v>
      </c>
      <c r="C23" s="335" t="n">
        <f aca="false">('Fuel Ratio'!G20+1)*WinterSum!B5+'TCPL$'!F11</f>
        <v>0.209794665414295</v>
      </c>
      <c r="D23" s="349" t="n">
        <f aca="false">'Fuel Ratio'!G20</f>
        <v>0.00688</v>
      </c>
      <c r="E23" s="349"/>
      <c r="F23" s="335" t="n">
        <f aca="false">D23*$C$10</f>
        <v>0.0240669379866598</v>
      </c>
      <c r="G23" s="350" t="n">
        <f aca="false">$F23+B23</f>
        <v>0.0296096906085549</v>
      </c>
      <c r="H23" s="324" t="n">
        <f aca="false">$F23+C23</f>
        <v>0.233861603400955</v>
      </c>
      <c r="I23" s="324"/>
      <c r="J23" s="324" t="n">
        <f aca="false">G23*$B$4/1.055056</f>
        <v>0.0426973974302762</v>
      </c>
      <c r="K23" s="324" t="n">
        <f aca="false">H23*$B$4/1.055056</f>
        <v>0.337230197913897</v>
      </c>
      <c r="M23" s="351"/>
      <c r="N23" s="351"/>
      <c r="O23" s="351"/>
      <c r="P23" s="351"/>
    </row>
    <row r="24" customFormat="false" ht="12.75" hidden="false" customHeight="false" outlineLevel="0" collapsed="false">
      <c r="A24" s="334" t="s">
        <v>181</v>
      </c>
      <c r="B24" s="335" t="n">
        <f aca="false">('TCPL$'!C16+'TCPL$'!C18)</f>
        <v>0.0150767520364683</v>
      </c>
      <c r="C24" s="335" t="n">
        <f aca="false">('Fuel Ratio'!G22+1)*WinterSum!B5+'TCPL$'!F19+'TCPL$'!C21</f>
        <v>0.334461593813533</v>
      </c>
      <c r="D24" s="349" t="n">
        <f aca="false">'Fuel Ratio'!G22</f>
        <v>0.0203804</v>
      </c>
      <c r="E24" s="349"/>
      <c r="F24" s="335" t="n">
        <f aca="false">D24*$C$10</f>
        <v>0.0712927068231573</v>
      </c>
      <c r="G24" s="350" t="n">
        <f aca="false">$F24+B24</f>
        <v>0.0863694588596256</v>
      </c>
      <c r="H24" s="324" t="n">
        <f aca="false">$F24+C24</f>
        <v>0.40575430063669</v>
      </c>
      <c r="I24" s="324"/>
      <c r="J24" s="324" t="n">
        <f aca="false">G24*$B$4/1.055056</f>
        <v>0.124545411822097</v>
      </c>
      <c r="K24" s="324" t="n">
        <f aca="false">H24*$B$4/1.055056</f>
        <v>0.585100765231336</v>
      </c>
      <c r="M24" s="351"/>
      <c r="N24" s="351"/>
      <c r="O24" s="351"/>
      <c r="P24" s="351"/>
    </row>
    <row r="25" customFormat="false" ht="12.75" hidden="false" customHeight="false" outlineLevel="0" collapsed="false">
      <c r="A25" s="334" t="s">
        <v>182</v>
      </c>
      <c r="B25" s="335" t="n">
        <f aca="false">'TCPL$'!C26+'TCPL$'!C27</f>
        <v>0.0356354379864249</v>
      </c>
      <c r="C25" s="335" t="n">
        <f aca="false">('Fuel Ratio'!G23+1)*WinterSum!B5+'TCPL$'!F28+'TCPL$'!C30+'TCPL$'!C29</f>
        <v>0.760899587858435</v>
      </c>
      <c r="D25" s="349" t="n">
        <f aca="false">'Fuel Ratio'!G23</f>
        <v>0.05944</v>
      </c>
      <c r="E25" s="349"/>
      <c r="F25" s="335" t="n">
        <f aca="false">D25*$C$10</f>
        <v>0.207927150280096</v>
      </c>
      <c r="G25" s="350" t="n">
        <f aca="false">$F25+B25</f>
        <v>0.243562588266521</v>
      </c>
      <c r="H25" s="324" t="n">
        <f aca="false">$F25+C25</f>
        <v>0.968826738138531</v>
      </c>
      <c r="I25" s="324"/>
      <c r="J25" s="324" t="n">
        <f aca="false">G25*$B$4/1.055056</f>
        <v>0.351219091338893</v>
      </c>
      <c r="K25" s="324" t="n">
        <f aca="false">H25*$B$4/1.055056</f>
        <v>1.39705547167816</v>
      </c>
      <c r="M25" s="351" t="n">
        <f aca="false">T7/B4*1.055056</f>
        <v>3.49810145154939</v>
      </c>
      <c r="N25" s="351" t="n">
        <f aca="false">T9</f>
        <v>4.0808</v>
      </c>
      <c r="O25" s="351" t="n">
        <f aca="false">N25-M25</f>
        <v>0.582698548450606</v>
      </c>
      <c r="P25" s="351" t="n">
        <f aca="false">O25-G25</f>
        <v>0.339135960184085</v>
      </c>
      <c r="Q25" s="338" t="str">
        <f aca="false">IF(P25&lt;0,"ATTN!","")</f>
        <v/>
      </c>
      <c r="R25" s="338"/>
    </row>
    <row r="26" customFormat="false" ht="12.75" hidden="false" customHeight="false" outlineLevel="0" collapsed="false">
      <c r="A26" s="352" t="s">
        <v>183</v>
      </c>
      <c r="B26" s="353" t="n">
        <f aca="false">'TCPL$'!C35+'TCPL$'!C36</f>
        <v>0.0358199709409738</v>
      </c>
      <c r="C26" s="353" t="n">
        <f aca="false">('Fuel Ratio'!G24+1)*WinterSum!B5+'TCPL$'!F37+'TCPL$'!C38</f>
        <v>0.745912294258749</v>
      </c>
      <c r="D26" s="354" t="n">
        <f aca="false">'Fuel Ratio'!G24</f>
        <v>0.06196</v>
      </c>
      <c r="E26" s="354"/>
      <c r="F26" s="353" t="n">
        <f aca="false">D26*$C$10</f>
        <v>0.216742365938</v>
      </c>
      <c r="G26" s="355" t="n">
        <f aca="false">$F26+B26</f>
        <v>0.252562336878974</v>
      </c>
      <c r="H26" s="356" t="n">
        <f aca="false">$F26+C26</f>
        <v>0.962654660196749</v>
      </c>
      <c r="I26" s="356"/>
      <c r="J26" s="356" t="n">
        <f aca="false">G26*$B$4/1.055056</f>
        <v>0.364196796792103</v>
      </c>
      <c r="K26" s="356" t="n">
        <f aca="false">H26*$B$4/1.055056</f>
        <v>1.38815528868284</v>
      </c>
      <c r="L26" s="357"/>
      <c r="M26" s="358"/>
      <c r="N26" s="358"/>
      <c r="O26" s="358"/>
      <c r="P26" s="358"/>
    </row>
    <row r="27" customFormat="false" ht="12.75" hidden="false" customHeight="false" outlineLevel="0" collapsed="false">
      <c r="A27" s="334" t="s">
        <v>184</v>
      </c>
      <c r="B27" s="335" t="n">
        <f aca="false">'TCPL$'!C43+'TCPL$'!C44</f>
        <v>0.0513038196327743</v>
      </c>
      <c r="C27" s="335" t="n">
        <f aca="false">('Fuel Ratio'!G25+1)*WinterSum!B5+'TCPL$'!F45+'TCPL$'!C46</f>
        <v>0.763190135162661</v>
      </c>
      <c r="D27" s="349" t="n">
        <f aca="false">'Fuel Ratio'!G25</f>
        <v>0.06664</v>
      </c>
      <c r="E27" s="349"/>
      <c r="F27" s="335" t="n">
        <f aca="false">D27*$C$10</f>
        <v>0.233113480731252</v>
      </c>
      <c r="G27" s="350" t="n">
        <f aca="false">$F27+B27</f>
        <v>0.284417300364026</v>
      </c>
      <c r="H27" s="324" t="n">
        <f aca="false">$F27+C27</f>
        <v>0.996303615893913</v>
      </c>
      <c r="I27" s="324"/>
      <c r="J27" s="324" t="n">
        <f aca="false">G27*$B$4/1.055056</f>
        <v>0.410131894663582</v>
      </c>
      <c r="K27" s="324" t="n">
        <f aca="false">H27*$B$4/1.055056</f>
        <v>1.43667733687001</v>
      </c>
      <c r="M27" s="351"/>
      <c r="N27" s="351"/>
      <c r="O27" s="351"/>
      <c r="P27" s="351"/>
    </row>
    <row r="28" customFormat="false" ht="12.75" hidden="false" customHeight="false" outlineLevel="0" collapsed="false">
      <c r="A28" s="334" t="s">
        <v>185</v>
      </c>
      <c r="B28" s="335" t="n">
        <f aca="false">'TCPL$'!C51+'TCPL$'!C52</f>
        <v>0.0526435841378917</v>
      </c>
      <c r="C28" s="335" t="n">
        <f aca="false">('Fuel Ratio'!G26+1)*WinterSum!B5+'TCPL$'!F53+'TCPL$'!C54</f>
        <v>0.763574073552856</v>
      </c>
      <c r="D28" s="349" t="n">
        <f aca="false">'Fuel Ratio'!G26</f>
        <v>0.06562</v>
      </c>
      <c r="E28" s="349"/>
      <c r="F28" s="335" t="n">
        <f aca="false">D28*$C$10</f>
        <v>0.229545417250671</v>
      </c>
      <c r="G28" s="350" t="n">
        <f aca="false">$F28+B28</f>
        <v>0.282189001388563</v>
      </c>
      <c r="H28" s="324" t="n">
        <f aca="false">$F28+C28</f>
        <v>0.993119490803527</v>
      </c>
      <c r="I28" s="324"/>
      <c r="J28" s="324" t="n">
        <f aca="false">G28*$B$4/1.055056</f>
        <v>0.406918670715834</v>
      </c>
      <c r="K28" s="324" t="n">
        <f aca="false">H28*$B$4/1.055056</f>
        <v>1.43208580444743</v>
      </c>
      <c r="M28" s="351"/>
      <c r="N28" s="351"/>
      <c r="O28" s="351"/>
      <c r="P28" s="351"/>
    </row>
    <row r="29" customFormat="false" ht="12.75" hidden="false" customHeight="false" outlineLevel="0" collapsed="false">
      <c r="A29" s="334" t="s">
        <v>186</v>
      </c>
      <c r="B29" s="335" t="n">
        <f aca="false">'TCPL$'!C59+'TCPL$'!C60</f>
        <v>0.0364138679149841</v>
      </c>
      <c r="C29" s="335" t="n">
        <f aca="false">('Fuel Ratio'!G27+1)*WinterSum!B5+'TCPL$'!F61+'TCPL$'!C62</f>
        <v>0.797061107964165</v>
      </c>
      <c r="D29" s="349" t="n">
        <f aca="false">'Fuel Ratio'!G27</f>
        <v>0.06568</v>
      </c>
      <c r="E29" s="349"/>
      <c r="F29" s="335" t="n">
        <f aca="false">D29*$C$10</f>
        <v>0.229755303337764</v>
      </c>
      <c r="G29" s="350" t="n">
        <f aca="false">$F29+B29</f>
        <v>0.266169171252748</v>
      </c>
      <c r="H29" s="324" t="n">
        <f aca="false">$F29+C29</f>
        <v>1.02681641130193</v>
      </c>
      <c r="I29" s="324"/>
      <c r="J29" s="324" t="n">
        <f aca="false">G29*$B$4/1.055056</f>
        <v>0.38381795469968</v>
      </c>
      <c r="K29" s="324" t="n">
        <f aca="false">H29*$B$4/1.055056</f>
        <v>1.48067701824015</v>
      </c>
      <c r="M29" s="351"/>
      <c r="N29" s="351"/>
      <c r="O29" s="351"/>
      <c r="P29" s="351"/>
    </row>
    <row r="30" customFormat="false" ht="12.75" hidden="false" customHeight="false" outlineLevel="0" collapsed="false">
      <c r="A30" s="352" t="s">
        <v>187</v>
      </c>
      <c r="B30" s="353" t="n">
        <f aca="false">'TCPL$'!C67+'TCPL$'!C68</f>
        <v>0.0288195318257628</v>
      </c>
      <c r="C30" s="353" t="n">
        <f aca="false">('Fuel Ratio'!G28+1)*WinterSum!B5+'TCPL$'!F69+'TCPL$'!C70</f>
        <v>0.655636015843911</v>
      </c>
      <c r="D30" s="354" t="n">
        <f aca="false">'Fuel Ratio'!G28</f>
        <v>0.05238</v>
      </c>
      <c r="E30" s="354"/>
      <c r="F30" s="353" t="n">
        <f aca="false">D30*$C$10</f>
        <v>0.183230554032157</v>
      </c>
      <c r="G30" s="355" t="n">
        <f aca="false">$F30+B30</f>
        <v>0.21205008585792</v>
      </c>
      <c r="H30" s="356" t="n">
        <f aca="false">$F30+C30</f>
        <v>0.838866569876068</v>
      </c>
      <c r="I30" s="356"/>
      <c r="J30" s="356" t="n">
        <f aca="false">G30*$B$4/1.055056</f>
        <v>0.305777824925463</v>
      </c>
      <c r="K30" s="356" t="n">
        <f aca="false">H30*$B$4/1.055056</f>
        <v>1.2096519277585</v>
      </c>
      <c r="L30" s="357"/>
      <c r="M30" s="358"/>
      <c r="N30" s="358"/>
      <c r="O30" s="358"/>
      <c r="P30" s="358"/>
    </row>
    <row r="31" customFormat="false" ht="12.75" hidden="false" customHeight="false" outlineLevel="0" collapsed="false">
      <c r="A31" s="334" t="s">
        <v>188</v>
      </c>
      <c r="B31" s="335" t="n">
        <f aca="false">'TCPL$'!B75+'TCPL$'!B76</f>
        <v>0.04757</v>
      </c>
      <c r="C31" s="335" t="n">
        <f aca="false">('Fuel Ratio'!G32+1)*WinterSum!B5+'TCPL$'!F65+'TCPL$'!C66</f>
        <v>0.764536192033563</v>
      </c>
      <c r="D31" s="349" t="n">
        <f aca="false">'Fuel Ratio'!G32</f>
        <v>0.05944</v>
      </c>
      <c r="E31" s="349"/>
      <c r="F31" s="335" t="n">
        <f aca="false">D31*$C$10</f>
        <v>0.207927150280096</v>
      </c>
      <c r="G31" s="350" t="n">
        <f aca="false">$F31+B31</f>
        <v>0.255497150280096</v>
      </c>
      <c r="H31" s="324" t="n">
        <f aca="false">$F31+C31</f>
        <v>0.972463342313659</v>
      </c>
      <c r="I31" s="324"/>
      <c r="J31" s="324" t="n">
        <f aca="false">G31*$B$4/1.055056</f>
        <v>0.368428819876302</v>
      </c>
      <c r="K31" s="324" t="n">
        <f aca="false">H31*$B$4/1.055056</f>
        <v>1.40229948235746</v>
      </c>
      <c r="M31" s="351"/>
      <c r="N31" s="351"/>
      <c r="O31" s="351"/>
      <c r="P31" s="351"/>
    </row>
    <row r="32" customFormat="false" ht="12.75" hidden="false" customHeight="false" outlineLevel="0" collapsed="false">
      <c r="A32" s="334" t="s">
        <v>189</v>
      </c>
      <c r="B32" s="335"/>
      <c r="C32" s="335" t="n">
        <f aca="false">('Fuel Ratio'!G33+'Fuel Ratio'!G22+1)*WinterSum!B5+('TCPL$'!F19+'TCPL$'!C21)*(1+'Fuel Ratio'!G33)+'Nova&amp;ANG&amp;GLGT$'!C25+'Nova&amp;ANG&amp;GLGT$'!C26+'Nova&amp;ANG&amp;GLGT$'!C27+'Nova&amp;ANG&amp;GLGT$'!C23</f>
        <v>0.365311041380589</v>
      </c>
      <c r="D32" s="349" t="n">
        <f aca="false">'Fuel Ratio'!G22*(1+'Fuel Ratio'!G33)+'Fuel Ratio'!G33</f>
        <v>0.0536876570168</v>
      </c>
      <c r="E32" s="349"/>
      <c r="F32" s="335" t="n">
        <f aca="false">D32*$C$10</f>
        <v>0.187804870940754</v>
      </c>
      <c r="G32" s="350"/>
      <c r="H32" s="324" t="n">
        <f aca="false">$F32+C32</f>
        <v>0.553115912321343</v>
      </c>
      <c r="I32" s="324"/>
      <c r="J32" s="324"/>
      <c r="K32" s="324" t="n">
        <f aca="false">H32*$B$4/1.055056</f>
        <v>0.797597321958199</v>
      </c>
      <c r="M32" s="351"/>
      <c r="N32" s="351"/>
      <c r="O32" s="351"/>
      <c r="P32" s="351"/>
    </row>
    <row r="33" customFormat="false" ht="12.75" hidden="false" customHeight="false" outlineLevel="0" collapsed="false">
      <c r="A33" s="334" t="s">
        <v>128</v>
      </c>
      <c r="B33" s="335"/>
      <c r="C33" s="335" t="n">
        <f aca="false">'Nova&amp;ANG&amp;GLGT$'!C25+'Nova&amp;ANG&amp;GLGT$'!C26+'Nova&amp;ANG&amp;GLGT$'!C27+'Nova&amp;ANG&amp;GLGT$'!C23</f>
        <v>0.02</v>
      </c>
      <c r="D33" s="349" t="n">
        <f aca="false">'Fuel Ratio'!G33</f>
        <v>0.032642</v>
      </c>
      <c r="E33" s="349"/>
      <c r="F33" s="335" t="n">
        <f aca="false">D33*$C$14</f>
        <v>0.127429659462858</v>
      </c>
      <c r="G33" s="350"/>
      <c r="H33" s="324" t="n">
        <f aca="false">$F33+C33</f>
        <v>0.147429659462858</v>
      </c>
      <c r="I33" s="324"/>
      <c r="J33" s="324"/>
      <c r="K33" s="324" t="n">
        <f aca="false">H33*$B$4/1.055056</f>
        <v>0.212594682136842</v>
      </c>
      <c r="M33" s="351"/>
      <c r="N33" s="351"/>
      <c r="O33" s="351"/>
      <c r="P33" s="351"/>
    </row>
    <row r="34" customFormat="false" ht="12.75" hidden="false" customHeight="false" outlineLevel="0" collapsed="false">
      <c r="A34" s="334" t="s">
        <v>129</v>
      </c>
      <c r="B34" s="335"/>
      <c r="C34" s="335" t="n">
        <f aca="false">'Nova&amp;ANG&amp;GLGT$'!C25+'Nova&amp;ANG&amp;GLGT$'!C26+'Nova&amp;ANG&amp;GLGT$'!C27+'Nova&amp;ANG&amp;GLGT$'!C23</f>
        <v>0.02</v>
      </c>
      <c r="D34" s="349" t="n">
        <f aca="false">'Fuel Ratio'!G34</f>
        <v>0.01734616</v>
      </c>
      <c r="E34" s="349"/>
      <c r="F34" s="335" t="n">
        <f aca="false">D34*$C$14</f>
        <v>0.0677169064943402</v>
      </c>
      <c r="G34" s="350"/>
      <c r="H34" s="324" t="n">
        <f aca="false">$F34+C34</f>
        <v>0.0877169064943402</v>
      </c>
      <c r="I34" s="324"/>
      <c r="J34" s="324"/>
      <c r="K34" s="324" t="n">
        <f aca="false">H34*$B$4/1.055056</f>
        <v>0.126488441485475</v>
      </c>
      <c r="M34" s="351"/>
      <c r="N34" s="351"/>
      <c r="O34" s="351"/>
      <c r="P34" s="351"/>
    </row>
    <row r="35" customFormat="false" ht="12.75" hidden="false" customHeight="false" outlineLevel="0" collapsed="false">
      <c r="A35" s="334" t="s">
        <v>130</v>
      </c>
      <c r="B35" s="335"/>
      <c r="C35" s="335" t="n">
        <f aca="false">'Nova&amp;ANG&amp;GLGT$'!C25+'Nova&amp;ANG&amp;GLGT$'!C26+'Nova&amp;ANG&amp;GLGT$'!C27+'Nova&amp;ANG&amp;GLGT$'!C23</f>
        <v>0.02</v>
      </c>
      <c r="D35" s="349" t="n">
        <f aca="false">'Fuel Ratio'!G35</f>
        <v>0.0084776</v>
      </c>
      <c r="E35" s="349"/>
      <c r="F35" s="335" t="n">
        <f aca="false">D35*$C$14</f>
        <v>0.0330953275247328</v>
      </c>
      <c r="G35" s="350"/>
      <c r="H35" s="324" t="n">
        <f aca="false">$F35+C35</f>
        <v>0.0530953275247328</v>
      </c>
      <c r="I35" s="324"/>
      <c r="J35" s="324"/>
      <c r="K35" s="324" t="n">
        <f aca="false">H35*$B$4/1.055056</f>
        <v>0.0765638631954907</v>
      </c>
      <c r="M35" s="351"/>
      <c r="N35" s="351"/>
      <c r="O35" s="351"/>
      <c r="P35" s="351"/>
    </row>
    <row r="36" customFormat="false" ht="12.75" hidden="false" customHeight="false" outlineLevel="0" collapsed="false">
      <c r="A36" s="334"/>
      <c r="B36" s="335"/>
      <c r="C36" s="335"/>
      <c r="D36" s="349"/>
      <c r="E36" s="349"/>
      <c r="F36" s="335"/>
      <c r="G36" s="350"/>
      <c r="H36" s="324"/>
      <c r="I36" s="324"/>
      <c r="J36" s="324"/>
      <c r="K36" s="324"/>
      <c r="M36" s="351"/>
      <c r="N36" s="351"/>
      <c r="O36" s="351"/>
      <c r="P36" s="351"/>
    </row>
    <row r="37" customFormat="false" ht="12.75" hidden="false" customHeight="false" outlineLevel="0" collapsed="false">
      <c r="A37" s="334" t="s">
        <v>131</v>
      </c>
      <c r="B37" s="335"/>
      <c r="C37" s="335"/>
      <c r="D37" s="349" t="n">
        <f aca="false">'Fuel Ratio'!G36-'Fuel Ratio'!G14</f>
        <v>0.04505</v>
      </c>
      <c r="E37" s="349"/>
      <c r="F37" s="335" t="n">
        <f aca="false">D37*$C$9</f>
        <v>0.152981398127385</v>
      </c>
      <c r="G37" s="350" t="n">
        <f aca="false">$F37+B37</f>
        <v>0.152981398127385</v>
      </c>
      <c r="H37" s="324"/>
      <c r="I37" s="324"/>
      <c r="J37" s="324" t="n">
        <f aca="false">G37*$B$4/1.055056</f>
        <v>0.220600331210387</v>
      </c>
      <c r="K37" s="324"/>
      <c r="M37" s="351" t="n">
        <f aca="false">T5</f>
        <v>3.3958</v>
      </c>
      <c r="N37" s="351" t="n">
        <f aca="false">T8</f>
        <v>4.0008</v>
      </c>
      <c r="O37" s="351" t="n">
        <f aca="false">N37-M37</f>
        <v>0.605</v>
      </c>
      <c r="P37" s="351" t="n">
        <f aca="false">O37-G37</f>
        <v>0.452018601872615</v>
      </c>
      <c r="Q37" s="338" t="str">
        <f aca="false">IF(P37&lt;0,"ATTN!","")</f>
        <v/>
      </c>
      <c r="R37" s="338"/>
    </row>
    <row r="38" customFormat="false" ht="12.75" hidden="false" customHeight="false" outlineLevel="0" collapsed="false">
      <c r="A38" s="352" t="s">
        <v>132</v>
      </c>
      <c r="B38" s="359" t="n">
        <f aca="false">0.04/B4*1.055056</f>
        <v>0.0277391057915478</v>
      </c>
      <c r="C38" s="359" t="n">
        <f aca="false">0.04/B4*1.055056</f>
        <v>0.0277391057915478</v>
      </c>
      <c r="D38" s="354" t="n">
        <f aca="false">'Fuel Ratio'!G36-'Fuel Ratio'!G8</f>
        <v>0.048894831754987</v>
      </c>
      <c r="E38" s="354"/>
      <c r="F38" s="353" t="n">
        <f aca="false">D38*$C$11</f>
        <v>0.179825989730119</v>
      </c>
      <c r="G38" s="355" t="n">
        <f aca="false">$F38+B38</f>
        <v>0.207565095521667</v>
      </c>
      <c r="H38" s="356"/>
      <c r="I38" s="356"/>
      <c r="J38" s="356" t="n">
        <f aca="false">G38*$B$4/1.055056</f>
        <v>0.299310434995944</v>
      </c>
      <c r="K38" s="356"/>
      <c r="L38" s="357"/>
      <c r="M38" s="358" t="n">
        <f aca="false">T11</f>
        <v>3.60384334910828</v>
      </c>
      <c r="N38" s="358" t="n">
        <f aca="false">T8</f>
        <v>4.0008</v>
      </c>
      <c r="O38" s="358" t="n">
        <f aca="false">N38-M38</f>
        <v>0.396956650891718</v>
      </c>
      <c r="P38" s="358" t="n">
        <f aca="false">O38-G38</f>
        <v>0.189391555370051</v>
      </c>
      <c r="Q38" s="338" t="str">
        <f aca="false">IF(P38&lt;0,"ATTN!","")</f>
        <v/>
      </c>
      <c r="R38" s="338"/>
    </row>
    <row r="39" customFormat="false" ht="20.25" hidden="false" customHeight="true" outlineLevel="0" collapsed="false">
      <c r="A39" s="334" t="s">
        <v>133</v>
      </c>
      <c r="B39" s="335" t="n">
        <f aca="false">'PGT$'!B25+'PGT$'!B27+'PGT$'!B28</f>
        <v>0.01355617</v>
      </c>
      <c r="C39" s="335" t="n">
        <f aca="false">'PGT$'!B26+'PGT$'!B27+'PGT$'!B28</f>
        <v>0.16626838</v>
      </c>
      <c r="D39" s="349" t="n">
        <f aca="false">'Fuel Ratio'!G18</f>
        <v>0.0176538395348691</v>
      </c>
      <c r="E39" s="349"/>
      <c r="F39" s="335" t="n">
        <f aca="false">D39*$C$12</f>
        <v>0.0648501185428034</v>
      </c>
      <c r="G39" s="350" t="n">
        <f aca="false">$F39+B39</f>
        <v>0.0784062885428034</v>
      </c>
      <c r="H39" s="324" t="n">
        <f aca="false">$F39+C39</f>
        <v>0.231118498542803</v>
      </c>
      <c r="I39" s="324"/>
      <c r="J39" s="324" t="n">
        <f aca="false">G39*$B$4/1.055056</f>
        <v>0.113062460098038</v>
      </c>
      <c r="K39" s="324" t="n">
        <f aca="false">H39*$B$4/1.055056</f>
        <v>0.333274619996187</v>
      </c>
      <c r="M39" s="351"/>
      <c r="N39" s="351"/>
      <c r="O39" s="351"/>
      <c r="P39" s="351"/>
    </row>
    <row r="40" customFormat="false" ht="12.75" hidden="false" customHeight="false" outlineLevel="0" collapsed="false">
      <c r="A40" s="334" t="s">
        <v>134</v>
      </c>
      <c r="B40" s="335" t="n">
        <f aca="false">(1+'Fuel Ratio'!G14)*Westcoast!C11</f>
        <v>0.00221924809817639</v>
      </c>
      <c r="C40" s="335" t="n">
        <f aca="false">(1+'Fuel Ratio'!G14)*(Westcoast!C9+Westcoast!C11+Westcoast!C38+Westcoast!C44)+'Nova&amp;ANG&amp;GLGT$'!$C$8</f>
        <v>0.221567674507041</v>
      </c>
      <c r="D40" s="349" t="n">
        <f aca="false">(1+'Fuel Ratio'!G14)*('Fuel Ratio'!G8+'Fuel Ratio'!G12)+'Fuel Ratio'!G14</f>
        <v>0.0285801401965522</v>
      </c>
      <c r="E40" s="349"/>
      <c r="F40" s="335" t="n">
        <f aca="false">D40*$C$11</f>
        <v>0.105112377177704</v>
      </c>
      <c r="G40" s="350" t="n">
        <f aca="false">$F40+B40</f>
        <v>0.10733162527588</v>
      </c>
      <c r="H40" s="324" t="n">
        <f aca="false">$F40+C40</f>
        <v>0.326680051684745</v>
      </c>
      <c r="I40" s="324"/>
      <c r="J40" s="324" t="n">
        <f aca="false">G40*$B$4/1.055056</f>
        <v>0.154773014072551</v>
      </c>
      <c r="K40" s="324" t="n">
        <f aca="false">H40*$B$4/1.055056</f>
        <v>0.471075101179772</v>
      </c>
      <c r="M40" s="351"/>
      <c r="N40" s="351"/>
      <c r="O40" s="351"/>
      <c r="P40" s="351"/>
    </row>
    <row r="41" customFormat="false" ht="12.75" hidden="false" customHeight="false" outlineLevel="0" collapsed="false">
      <c r="A41" s="334" t="s">
        <v>135</v>
      </c>
      <c r="B41" s="335" t="n">
        <f aca="false">Westcoast!C32</f>
        <v>0.0086405026484151</v>
      </c>
      <c r="C41" s="335" t="n">
        <f aca="false">Westcoast!C30+Westcoast!C32</f>
        <v>0.159695867834606</v>
      </c>
      <c r="D41" s="349" t="n">
        <f aca="false">'Fuel Ratio'!G11</f>
        <v>0.0356255178127589</v>
      </c>
      <c r="E41" s="349"/>
      <c r="F41" s="335" t="n">
        <f aca="false">D41*$C$11</f>
        <v>0.131023950188231</v>
      </c>
      <c r="G41" s="350" t="n">
        <f aca="false">$F41+B41</f>
        <v>0.139664452836646</v>
      </c>
      <c r="H41" s="324" t="n">
        <f aca="false">$F41+C41</f>
        <v>0.290719818022837</v>
      </c>
      <c r="I41" s="324"/>
      <c r="J41" s="324" t="n">
        <f aca="false">G41*$B$4/1.055056</f>
        <v>0.2013971955494</v>
      </c>
      <c r="K41" s="324" t="n">
        <f aca="false">H41*$B$4/1.055056</f>
        <v>0.419220172715763</v>
      </c>
      <c r="M41" s="351"/>
      <c r="N41" s="351"/>
      <c r="O41" s="351"/>
      <c r="P41" s="351"/>
    </row>
    <row r="42" customFormat="false" ht="12.75" hidden="false" customHeight="false" outlineLevel="0" collapsed="false">
      <c r="A42" s="352" t="s">
        <v>136</v>
      </c>
      <c r="B42" s="353" t="n">
        <f aca="false">(1+'Fuel Ratio'!G13)*(Westcoast!C32)+'NWP$'!B6+'NWP$'!B8+'NWP$'!B9</f>
        <v>0.0479463332811166</v>
      </c>
      <c r="C42" s="360" t="n">
        <f aca="false">(1+'Fuel Ratio'!G13)*(Westcoast!C32)+'NWP$'!B7+'NWP$'!B8+'NWP$'!B9</f>
        <v>0.325546333281117</v>
      </c>
      <c r="D42" s="354" t="n">
        <f aca="false">(1+'Fuel Ratio'!G13)*'Fuel Ratio'!G11+'Fuel Ratio'!G13</f>
        <v>0.0483100696555917</v>
      </c>
      <c r="E42" s="354"/>
      <c r="F42" s="353" t="n">
        <f aca="false">D42*$C$11</f>
        <v>0.177675344774281</v>
      </c>
      <c r="G42" s="355" t="n">
        <f aca="false">$F42+B42</f>
        <v>0.225621678055398</v>
      </c>
      <c r="H42" s="356" t="n">
        <f aca="false">$F42+C42</f>
        <v>0.503221678055398</v>
      </c>
      <c r="I42" s="356"/>
      <c r="J42" s="356" t="n">
        <f aca="false">G42*$B$4/1.055056</f>
        <v>0.325348163348719</v>
      </c>
      <c r="K42" s="356" t="n">
        <f aca="false">H42*$B$4/1.055056</f>
        <v>0.725649459412251</v>
      </c>
      <c r="L42" s="357"/>
      <c r="M42" s="358"/>
      <c r="N42" s="358"/>
      <c r="O42" s="358"/>
      <c r="P42" s="358"/>
    </row>
    <row r="43" customFormat="false" ht="12.75" hidden="false" customHeight="false" outlineLevel="0" collapsed="false">
      <c r="A43" s="334" t="s">
        <v>137</v>
      </c>
      <c r="B43" s="335" t="n">
        <f aca="false">+'NWP$'!B6+'NWP$'!B8+'NWP$'!B9</f>
        <v>0.0392</v>
      </c>
      <c r="C43" s="301" t="n">
        <f aca="false">+'NWP$'!B7+'NWP$'!B8+'NWP$'!B9</f>
        <v>0.3168</v>
      </c>
      <c r="D43" s="349" t="n">
        <f aca="false">+'Fuel Ratio'!G13</f>
        <v>0.0122482032594393</v>
      </c>
      <c r="E43" s="349"/>
      <c r="F43" s="335" t="n">
        <f aca="false">D43*$C$13</f>
        <v>0.044992899801889</v>
      </c>
      <c r="G43" s="350" t="n">
        <f aca="false">$F43+B43</f>
        <v>0.084192899801889</v>
      </c>
      <c r="H43" s="324" t="n">
        <f aca="false">$F43+C43</f>
        <v>0.361792899801889</v>
      </c>
      <c r="I43" s="324"/>
      <c r="J43" s="324" t="n">
        <f aca="false">G43*$B$4/1.055056</f>
        <v>0.12140679722638</v>
      </c>
      <c r="K43" s="324" t="n">
        <f aca="false">H43*$B$4/1.055056</f>
        <v>0.521708093289912</v>
      </c>
      <c r="M43" s="351"/>
      <c r="N43" s="351"/>
      <c r="O43" s="351"/>
      <c r="P43" s="351"/>
    </row>
    <row r="44" customFormat="false" ht="12.75" hidden="false" customHeight="false" outlineLevel="0" collapsed="false">
      <c r="A44" s="334" t="s">
        <v>138</v>
      </c>
      <c r="B44" s="335" t="n">
        <f aca="false">Westcoast!C11</f>
        <v>0.00219445080409017</v>
      </c>
      <c r="C44" s="335" t="n">
        <f aca="false">('Fuel Ratio'!G8+1)*WinterSum!B5+Westcoast!C9+Westcoast!C11+Westcoast!C38</f>
        <v>0.162200405590726</v>
      </c>
      <c r="D44" s="349" t="n">
        <f aca="false">'Fuel Ratio'!G8</f>
        <v>0.00745516824501302</v>
      </c>
      <c r="E44" s="349"/>
      <c r="F44" s="335" t="n">
        <f aca="false">D44*$C$10</f>
        <v>0.026078934859425</v>
      </c>
      <c r="G44" s="350" t="n">
        <f aca="false">$F44+B44</f>
        <v>0.0282733856635152</v>
      </c>
      <c r="H44" s="324" t="n">
        <f aca="false">$F44+C44</f>
        <v>0.188279340450151</v>
      </c>
      <c r="I44" s="324"/>
      <c r="J44" s="324" t="n">
        <f aca="false">G44*$B$4/1.055056</f>
        <v>0.0407704356095432</v>
      </c>
      <c r="K44" s="324" t="n">
        <f aca="false">H44*$B$4/1.055056</f>
        <v>0.271500230562617</v>
      </c>
    </row>
    <row r="45" customFormat="false" ht="12.75" hidden="false" customHeight="false" outlineLevel="0" collapsed="false">
      <c r="A45" s="334"/>
      <c r="B45" s="335"/>
      <c r="C45" s="335"/>
      <c r="D45" s="349"/>
      <c r="E45" s="349"/>
      <c r="F45" s="335"/>
      <c r="G45" s="324"/>
      <c r="H45" s="324"/>
      <c r="I45" s="324"/>
      <c r="J45" s="324"/>
      <c r="K45" s="324"/>
    </row>
    <row r="46" customFormat="false" ht="12.75" hidden="false" customHeight="false" outlineLevel="0" collapsed="false">
      <c r="A46" s="0" t="s">
        <v>139</v>
      </c>
    </row>
    <row r="47" customFormat="false" ht="12.75" hidden="false" customHeight="false" outlineLevel="0" collapsed="false">
      <c r="A47" s="0" t="s">
        <v>140</v>
      </c>
    </row>
    <row r="48" customFormat="false" ht="12.75" hidden="false" customHeight="false" outlineLevel="0" collapsed="false">
      <c r="A48" s="0" t="s">
        <v>141</v>
      </c>
    </row>
    <row r="49" customFormat="false" ht="12.75" hidden="false" customHeight="false" outlineLevel="0" collapsed="false">
      <c r="A49" s="0" t="s">
        <v>142</v>
      </c>
    </row>
    <row r="50" customFormat="false" ht="12.75" hidden="false" customHeight="false" outlineLevel="0" collapsed="false">
      <c r="A50" s="0" t="s">
        <v>143</v>
      </c>
    </row>
  </sheetData>
  <mergeCells count="3">
    <mergeCell ref="G15:H15"/>
    <mergeCell ref="J15:K15"/>
    <mergeCell ref="M15:P15"/>
  </mergeCells>
  <printOptions headings="false" gridLines="false" gridLinesSet="true" horizontalCentered="false" verticalCentered="false"/>
  <pageMargins left="0.420138888888889" right="0.329861111111111" top="0.629861111111111" bottom="0.5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5" activeCellId="0" sqref="N1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38" t="s">
        <v>190</v>
      </c>
      <c r="D1" s="338" t="s">
        <v>191</v>
      </c>
    </row>
    <row r="2" customFormat="false" ht="12.75" hidden="false" customHeight="false" outlineLevel="0" collapsed="false">
      <c r="A2" s="338" t="s">
        <v>192</v>
      </c>
    </row>
    <row r="3" customFormat="false" ht="12.75" hidden="false" customHeight="false" outlineLevel="0" collapsed="false">
      <c r="B3" s="0" t="s">
        <v>193</v>
      </c>
      <c r="C3" s="0" t="s">
        <v>194</v>
      </c>
      <c r="D3" s="0" t="s">
        <v>195</v>
      </c>
      <c r="E3" s="0" t="s">
        <v>196</v>
      </c>
      <c r="F3" s="0" t="s">
        <v>197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203</v>
      </c>
      <c r="M3" s="0" t="s">
        <v>204</v>
      </c>
    </row>
    <row r="4" customFormat="false" ht="12.75" hidden="false" customHeight="false" outlineLevel="0" collapsed="false">
      <c r="A4" s="0" t="n">
        <v>1997</v>
      </c>
      <c r="B4" s="0" t="n">
        <v>0.14754</v>
      </c>
      <c r="C4" s="0" t="n">
        <v>0.14311</v>
      </c>
      <c r="D4" s="0" t="n">
        <v>0.16093</v>
      </c>
      <c r="E4" s="0" t="n">
        <v>0.12371</v>
      </c>
      <c r="F4" s="0" t="n">
        <v>0.11197</v>
      </c>
      <c r="G4" s="0" t="n">
        <v>0.10763</v>
      </c>
      <c r="H4" s="0" t="n">
        <v>0.1137</v>
      </c>
      <c r="I4" s="0" t="n">
        <v>0.11976</v>
      </c>
      <c r="J4" s="0" t="n">
        <v>0.10481</v>
      </c>
      <c r="K4" s="0" t="n">
        <v>0.11334</v>
      </c>
      <c r="L4" s="0" t="n">
        <v>0.16676</v>
      </c>
      <c r="M4" s="0" t="n">
        <v>0.19414</v>
      </c>
    </row>
    <row r="5" customFormat="false" ht="12.75" hidden="false" customHeight="false" outlineLevel="0" collapsed="false">
      <c r="A5" s="0" t="n">
        <v>1998</v>
      </c>
      <c r="B5" s="0" t="n">
        <v>0.18135</v>
      </c>
      <c r="C5" s="0" t="n">
        <v>0.17115</v>
      </c>
      <c r="D5" s="0" t="n">
        <v>0.16162</v>
      </c>
      <c r="E5" s="0" t="n">
        <v>0.13654</v>
      </c>
      <c r="F5" s="0" t="n">
        <v>0.07984</v>
      </c>
      <c r="G5" s="0" t="n">
        <v>0.09323</v>
      </c>
      <c r="H5" s="0" t="n">
        <v>0.15264</v>
      </c>
      <c r="I5" s="0" t="n">
        <v>0.07714</v>
      </c>
      <c r="J5" s="0" t="n">
        <v>0.8707</v>
      </c>
      <c r="K5" s="0" t="n">
        <v>0.13032</v>
      </c>
      <c r="L5" s="0" t="n">
        <v>0.14757</v>
      </c>
      <c r="M5" s="0" t="n">
        <v>0.16308</v>
      </c>
    </row>
    <row r="6" customFormat="false" ht="12.75" hidden="false" customHeight="false" outlineLevel="0" collapsed="false">
      <c r="A6" s="0" t="n">
        <v>1999</v>
      </c>
      <c r="B6" s="0" t="n">
        <v>0.16804</v>
      </c>
      <c r="C6" s="0" t="n">
        <v>0.15277</v>
      </c>
      <c r="D6" s="0" t="n">
        <v>0.15775</v>
      </c>
      <c r="E6" s="0" t="n">
        <v>0.19801</v>
      </c>
      <c r="F6" s="0" t="n">
        <v>0.13448</v>
      </c>
      <c r="G6" s="0" t="n">
        <v>0.09562</v>
      </c>
      <c r="H6" s="0" t="n">
        <v>0.18422</v>
      </c>
      <c r="I6" s="0" t="n">
        <v>0.1234</v>
      </c>
      <c r="J6" s="0" t="n">
        <v>0.1369</v>
      </c>
      <c r="K6" s="0" t="n">
        <v>0.1397</v>
      </c>
      <c r="L6" s="0" t="n">
        <v>0.1788</v>
      </c>
      <c r="M6" s="0" t="n">
        <v>0.20561</v>
      </c>
    </row>
    <row r="7" customFormat="false" ht="12.75" hidden="false" customHeight="false" outlineLevel="0" collapsed="false">
      <c r="A7" s="0" t="n">
        <v>2000</v>
      </c>
      <c r="B7" s="0" t="n">
        <v>0.1882</v>
      </c>
      <c r="C7" s="0" t="n">
        <v>0.18439</v>
      </c>
      <c r="D7" s="0" t="n">
        <v>0.15226</v>
      </c>
      <c r="E7" s="0" t="n">
        <v>0.11098</v>
      </c>
      <c r="F7" s="0" t="n">
        <v>0.12506</v>
      </c>
      <c r="G7" s="0" t="n">
        <v>0.12708</v>
      </c>
      <c r="H7" s="0" t="n">
        <v>0.06706</v>
      </c>
      <c r="I7" s="0" t="n">
        <v>0.13515</v>
      </c>
      <c r="J7" s="0" t="n">
        <v>0.13345</v>
      </c>
      <c r="K7" s="0" t="n">
        <v>0.123</v>
      </c>
      <c r="L7" s="0" t="n">
        <v>0.17815</v>
      </c>
      <c r="M7" s="0" t="n">
        <v>0.16987</v>
      </c>
    </row>
    <row r="8" customFormat="false" ht="12.75" hidden="false" customHeight="false" outlineLevel="0" collapsed="false">
      <c r="A8" s="0" t="n">
        <v>2001</v>
      </c>
      <c r="B8" s="0" t="n">
        <v>0.17184</v>
      </c>
      <c r="C8" s="0" t="n">
        <v>0.19104</v>
      </c>
      <c r="D8" s="0" t="n">
        <v>0.17953</v>
      </c>
      <c r="E8" s="0" t="n">
        <v>0.14048</v>
      </c>
      <c r="F8" s="0" t="n">
        <v>0.13517</v>
      </c>
      <c r="G8" s="338" t="n">
        <f aca="false">G10+(F8-F10)</f>
        <v>0.123756</v>
      </c>
    </row>
    <row r="10" customFormat="false" ht="12.75" hidden="false" customHeight="false" outlineLevel="0" collapsed="false">
      <c r="A10" s="363" t="s">
        <v>205</v>
      </c>
      <c r="B10" s="0" t="n">
        <f aca="false">AVERAGE(B4:B8)</f>
        <v>0.171394</v>
      </c>
      <c r="C10" s="0" t="n">
        <f aca="false">AVERAGE(C4:C8)</f>
        <v>0.168492</v>
      </c>
      <c r="D10" s="0" t="n">
        <f aca="false">AVERAGE(D4:D8)</f>
        <v>0.162418</v>
      </c>
      <c r="E10" s="0" t="n">
        <f aca="false">AVERAGE(E4:E8)</f>
        <v>0.141944</v>
      </c>
      <c r="F10" s="0" t="n">
        <f aca="false">AVERAGE(F4:F8)</f>
        <v>0.117304</v>
      </c>
      <c r="G10" s="0" t="n">
        <f aca="false">AVERAGE(G4:G7)</f>
        <v>0.10589</v>
      </c>
      <c r="H10" s="0" t="n">
        <f aca="false">AVERAGE(H4:H8)</f>
        <v>0.129405</v>
      </c>
      <c r="I10" s="0" t="n">
        <f aca="false">AVERAGE(I4:I8)</f>
        <v>0.1138625</v>
      </c>
      <c r="J10" s="0" t="n">
        <f aca="false">AVERAGE(J4:J8)</f>
        <v>0.311465</v>
      </c>
      <c r="K10" s="0" t="n">
        <f aca="false">AVERAGE(K4:K8)</f>
        <v>0.12659</v>
      </c>
      <c r="L10" s="0" t="n">
        <f aca="false">AVERAGE(L4:L8)</f>
        <v>0.16782</v>
      </c>
      <c r="M10" s="0" t="n">
        <f aca="false">AVERAGE(M4:M8)</f>
        <v>0.183175</v>
      </c>
    </row>
    <row r="11" customFormat="false" ht="12.75" hidden="false" customHeight="false" outlineLevel="0" collapsed="false">
      <c r="A11" s="363"/>
    </row>
    <row r="13" customFormat="false" ht="12.75" hidden="false" customHeight="false" outlineLevel="0" collapsed="false">
      <c r="A13" s="338" t="s">
        <v>206</v>
      </c>
    </row>
    <row r="14" customFormat="false" ht="12.75" hidden="false" customHeight="false" outlineLevel="0" collapsed="false">
      <c r="B14" s="0" t="s">
        <v>193</v>
      </c>
      <c r="C14" s="0" t="s">
        <v>194</v>
      </c>
      <c r="D14" s="0" t="s">
        <v>195</v>
      </c>
      <c r="E14" s="0" t="s">
        <v>196</v>
      </c>
      <c r="F14" s="0" t="s">
        <v>197</v>
      </c>
      <c r="G14" s="0" t="s">
        <v>198</v>
      </c>
      <c r="H14" s="0" t="s">
        <v>199</v>
      </c>
      <c r="I14" s="0" t="s">
        <v>200</v>
      </c>
      <c r="J14" s="0" t="s">
        <v>201</v>
      </c>
      <c r="K14" s="0" t="s">
        <v>202</v>
      </c>
      <c r="L14" s="0" t="s">
        <v>203</v>
      </c>
      <c r="M14" s="0" t="s">
        <v>204</v>
      </c>
    </row>
    <row r="15" customFormat="false" ht="12.75" hidden="false" customHeight="false" outlineLevel="0" collapsed="false">
      <c r="A15" s="0" t="n">
        <v>1997</v>
      </c>
      <c r="B15" s="0" t="n">
        <v>0.18265</v>
      </c>
      <c r="C15" s="0" t="n">
        <v>0.15703</v>
      </c>
      <c r="D15" s="0" t="n">
        <v>0.17849</v>
      </c>
      <c r="E15" s="0" t="n">
        <v>0.13137</v>
      </c>
      <c r="F15" s="0" t="n">
        <v>0.10763</v>
      </c>
      <c r="G15" s="0" t="n">
        <v>0.0978</v>
      </c>
      <c r="H15" s="0" t="n">
        <v>0.08781</v>
      </c>
      <c r="I15" s="0" t="n">
        <v>0.08634</v>
      </c>
      <c r="J15" s="0" t="n">
        <v>0.11026</v>
      </c>
      <c r="K15" s="0" t="n">
        <v>0.13698</v>
      </c>
      <c r="L15" s="0" t="n">
        <v>0.15174</v>
      </c>
      <c r="M15" s="0" t="n">
        <v>0.18373</v>
      </c>
    </row>
    <row r="16" customFormat="false" ht="12.75" hidden="false" customHeight="false" outlineLevel="0" collapsed="false">
      <c r="A16" s="0" t="n">
        <v>1998</v>
      </c>
      <c r="B16" s="0" t="n">
        <v>0.19324</v>
      </c>
      <c r="C16" s="0" t="n">
        <v>0.17482</v>
      </c>
      <c r="D16" s="0" t="n">
        <v>0.16223</v>
      </c>
      <c r="E16" s="0" t="n">
        <v>0.1306</v>
      </c>
      <c r="F16" s="0" t="n">
        <v>0.10658</v>
      </c>
      <c r="G16" s="0" t="n">
        <v>0.10648</v>
      </c>
      <c r="H16" s="0" t="n">
        <v>0.10607</v>
      </c>
      <c r="I16" s="0" t="n">
        <v>0.13922</v>
      </c>
      <c r="J16" s="0" t="n">
        <v>0.13315</v>
      </c>
      <c r="K16" s="0" t="n">
        <v>0.14246</v>
      </c>
      <c r="L16" s="0" t="n">
        <v>0.16207</v>
      </c>
      <c r="M16" s="0" t="n">
        <v>0.16612</v>
      </c>
    </row>
    <row r="17" customFormat="false" ht="12.75" hidden="false" customHeight="false" outlineLevel="0" collapsed="false">
      <c r="A17" s="0" t="n">
        <v>1999</v>
      </c>
      <c r="B17" s="0" t="n">
        <v>0.16181</v>
      </c>
      <c r="C17" s="0" t="n">
        <v>0.13743</v>
      </c>
      <c r="D17" s="0" t="n">
        <v>0.16361</v>
      </c>
      <c r="E17" s="0" t="n">
        <v>0.1243</v>
      </c>
      <c r="F17" s="0" t="n">
        <v>0.12365</v>
      </c>
      <c r="G17" s="0" t="n">
        <v>0.09473</v>
      </c>
      <c r="H17" s="0" t="n">
        <v>0.09632</v>
      </c>
      <c r="I17" s="0" t="n">
        <v>0.08626</v>
      </c>
      <c r="J17" s="0" t="n">
        <v>0.11583</v>
      </c>
      <c r="K17" s="0" t="n">
        <v>0.12535</v>
      </c>
      <c r="L17" s="0" t="n">
        <v>0.15363</v>
      </c>
      <c r="M17" s="0" t="n">
        <v>0.17764</v>
      </c>
    </row>
    <row r="18" customFormat="false" ht="12.75" hidden="false" customHeight="false" outlineLevel="0" collapsed="false">
      <c r="A18" s="0" t="n">
        <v>2000</v>
      </c>
      <c r="B18" s="0" t="n">
        <v>0.1665</v>
      </c>
      <c r="C18" s="0" t="n">
        <v>0.1649</v>
      </c>
      <c r="D18" s="0" t="n">
        <v>0.15623</v>
      </c>
      <c r="E18" s="0" t="n">
        <v>0.11643</v>
      </c>
      <c r="F18" s="0" t="n">
        <v>0.11533</v>
      </c>
      <c r="G18" s="0" t="n">
        <v>0.09859</v>
      </c>
      <c r="H18" s="0" t="n">
        <v>0.08248</v>
      </c>
      <c r="I18" s="0" t="n">
        <v>0.12248</v>
      </c>
      <c r="J18" s="0" t="n">
        <v>0.13108</v>
      </c>
      <c r="K18" s="0" t="n">
        <v>0.14535</v>
      </c>
      <c r="L18" s="0" t="n">
        <v>0.19422</v>
      </c>
      <c r="M18" s="0" t="n">
        <v>0.19108</v>
      </c>
    </row>
    <row r="19" customFormat="false" ht="12.75" hidden="false" customHeight="false" outlineLevel="0" collapsed="false">
      <c r="A19" s="0" t="n">
        <v>2001</v>
      </c>
      <c r="B19" s="0" t="n">
        <v>0.17131</v>
      </c>
      <c r="C19" s="0" t="n">
        <v>0.18083</v>
      </c>
      <c r="D19" s="0" t="n">
        <v>0.1473</v>
      </c>
      <c r="E19" s="0" t="n">
        <v>0.12202</v>
      </c>
      <c r="F19" s="0" t="n">
        <v>0.12413</v>
      </c>
      <c r="G19" s="338" t="n">
        <f aca="false">G21+(F19-F21)</f>
        <v>0.108066</v>
      </c>
    </row>
    <row r="21" customFormat="false" ht="12.75" hidden="false" customHeight="false" outlineLevel="0" collapsed="false">
      <c r="A21" s="363" t="s">
        <v>205</v>
      </c>
      <c r="B21" s="0" t="n">
        <f aca="false">AVERAGE(B15:B19)</f>
        <v>0.175102</v>
      </c>
      <c r="C21" s="0" t="n">
        <f aca="false">AVERAGE(C15:C19)</f>
        <v>0.163002</v>
      </c>
      <c r="D21" s="0" t="n">
        <f aca="false">AVERAGE(D15:D19)</f>
        <v>0.161572</v>
      </c>
      <c r="E21" s="0" t="n">
        <f aca="false">AVERAGE(E15:E19)</f>
        <v>0.124944</v>
      </c>
      <c r="F21" s="0" t="n">
        <f aca="false">AVERAGE(F15:F19)</f>
        <v>0.115464</v>
      </c>
      <c r="G21" s="0" t="n">
        <f aca="false">AVERAGE(G15:G18)</f>
        <v>0.0994</v>
      </c>
      <c r="H21" s="0" t="n">
        <f aca="false">AVERAGE(H15:H18)</f>
        <v>0.09317</v>
      </c>
      <c r="I21" s="0" t="n">
        <f aca="false">AVERAGE(I15:I18)</f>
        <v>0.108575</v>
      </c>
      <c r="J21" s="0" t="n">
        <f aca="false">AVERAGE(J15:J18)</f>
        <v>0.12258</v>
      </c>
      <c r="K21" s="0" t="n">
        <f aca="false">AVERAGE(K15:K18)</f>
        <v>0.137535</v>
      </c>
      <c r="L21" s="0" t="n">
        <f aca="false">AVERAGE(L15:L18)</f>
        <v>0.165415</v>
      </c>
      <c r="M21" s="0" t="n">
        <f aca="false">AVERAGE(M15:M18)</f>
        <v>0.1796425</v>
      </c>
    </row>
    <row r="23" customFormat="false" ht="12.75" hidden="false" customHeight="false" outlineLevel="0" collapsed="false">
      <c r="A23" s="338" t="s">
        <v>207</v>
      </c>
    </row>
    <row r="24" customFormat="false" ht="12.75" hidden="false" customHeight="false" outlineLevel="0" collapsed="false">
      <c r="B24" s="0" t="s">
        <v>193</v>
      </c>
      <c r="C24" s="0" t="s">
        <v>194</v>
      </c>
      <c r="D24" s="0" t="s">
        <v>195</v>
      </c>
      <c r="E24" s="0" t="s">
        <v>196</v>
      </c>
      <c r="F24" s="0" t="s">
        <v>197</v>
      </c>
      <c r="G24" s="0" t="s">
        <v>198</v>
      </c>
      <c r="H24" s="0" t="s">
        <v>199</v>
      </c>
      <c r="I24" s="0" t="s">
        <v>200</v>
      </c>
      <c r="J24" s="0" t="s">
        <v>201</v>
      </c>
      <c r="K24" s="0" t="s">
        <v>202</v>
      </c>
      <c r="L24" s="0" t="s">
        <v>203</v>
      </c>
      <c r="M24" s="0" t="s">
        <v>204</v>
      </c>
    </row>
    <row r="25" customFormat="false" ht="12.75" hidden="false" customHeight="false" outlineLevel="0" collapsed="false">
      <c r="A25" s="0" t="n">
        <v>1997</v>
      </c>
      <c r="B25" s="0" t="n">
        <v>0.45751</v>
      </c>
      <c r="C25" s="0" t="n">
        <v>0.39334</v>
      </c>
      <c r="D25" s="0" t="n">
        <v>0.44708</v>
      </c>
      <c r="E25" s="0" t="n">
        <v>0.32906</v>
      </c>
      <c r="F25" s="0" t="n">
        <v>0.2696</v>
      </c>
      <c r="G25" s="0" t="n">
        <v>0.22498</v>
      </c>
      <c r="H25" s="0" t="n">
        <v>0.21994</v>
      </c>
      <c r="I25" s="0" t="n">
        <v>0.21625</v>
      </c>
      <c r="J25" s="0" t="n">
        <v>0.27617</v>
      </c>
      <c r="K25" s="0" t="n">
        <v>0.3431</v>
      </c>
      <c r="L25" s="0" t="n">
        <v>0.38008</v>
      </c>
      <c r="M25" s="0" t="n">
        <v>0.46021</v>
      </c>
    </row>
    <row r="26" customFormat="false" ht="12.75" hidden="false" customHeight="false" outlineLevel="0" collapsed="false">
      <c r="A26" s="0" t="n">
        <v>1998</v>
      </c>
      <c r="B26" s="0" t="n">
        <v>0.48404</v>
      </c>
      <c r="C26" s="0" t="n">
        <v>0.4379</v>
      </c>
      <c r="D26" s="0" t="n">
        <v>0.40636</v>
      </c>
      <c r="E26" s="0" t="n">
        <v>0.32714</v>
      </c>
      <c r="F26" s="0" t="n">
        <v>0.26696</v>
      </c>
      <c r="G26" s="0" t="n">
        <v>0.26672</v>
      </c>
      <c r="H26" s="0" t="n">
        <v>0.26568</v>
      </c>
      <c r="I26" s="0" t="n">
        <v>0.34873</v>
      </c>
      <c r="J26" s="0" t="n">
        <v>0.33353</v>
      </c>
      <c r="K26" s="0" t="n">
        <v>0.35683</v>
      </c>
      <c r="L26" s="0" t="n">
        <v>0.40594</v>
      </c>
      <c r="M26" s="0" t="n">
        <v>0.41609</v>
      </c>
    </row>
    <row r="27" customFormat="false" ht="12.75" hidden="false" customHeight="false" outlineLevel="0" collapsed="false">
      <c r="A27" s="0" t="n">
        <v>1999</v>
      </c>
      <c r="B27" s="0" t="n">
        <v>0.40531</v>
      </c>
      <c r="C27" s="0" t="n">
        <v>0.34423</v>
      </c>
      <c r="D27" s="0" t="n">
        <v>0.40981</v>
      </c>
      <c r="E27" s="0" t="n">
        <v>0.31135</v>
      </c>
      <c r="F27" s="0" t="n">
        <v>0.30973</v>
      </c>
      <c r="G27" s="0" t="n">
        <v>0.23727</v>
      </c>
      <c r="H27" s="0" t="n">
        <v>0.24127</v>
      </c>
      <c r="I27" s="0" t="n">
        <v>0.21606</v>
      </c>
      <c r="J27" s="0" t="n">
        <v>0.29014</v>
      </c>
      <c r="K27" s="0" t="n">
        <v>0.31399</v>
      </c>
      <c r="L27" s="0" t="n">
        <v>0.38481</v>
      </c>
      <c r="M27" s="0" t="n">
        <v>0.44497</v>
      </c>
    </row>
    <row r="28" customFormat="false" ht="12.75" hidden="false" customHeight="false" outlineLevel="0" collapsed="false">
      <c r="A28" s="0" t="n">
        <v>2000</v>
      </c>
      <c r="B28" s="0" t="n">
        <v>0.41704</v>
      </c>
      <c r="C28" s="0" t="n">
        <v>0.41304</v>
      </c>
      <c r="D28" s="0" t="n">
        <v>0.39134</v>
      </c>
      <c r="E28" s="0" t="n">
        <v>0.29165</v>
      </c>
      <c r="F28" s="0" t="n">
        <v>0.28887</v>
      </c>
      <c r="G28" s="0" t="n">
        <v>0.24695</v>
      </c>
      <c r="H28" s="0" t="n">
        <v>0.2066</v>
      </c>
      <c r="I28" s="0" t="n">
        <v>0.30679</v>
      </c>
      <c r="J28" s="0" t="n">
        <v>0.32834</v>
      </c>
      <c r="K28" s="0" t="n">
        <v>0.36407</v>
      </c>
      <c r="L28" s="0" t="n">
        <v>0.48649</v>
      </c>
      <c r="M28" s="0" t="n">
        <v>0.47862</v>
      </c>
    </row>
    <row r="29" customFormat="false" ht="12.75" hidden="false" customHeight="false" outlineLevel="0" collapsed="false">
      <c r="A29" s="0" t="n">
        <v>2001</v>
      </c>
      <c r="B29" s="0" t="n">
        <v>0.4291</v>
      </c>
      <c r="C29" s="0" t="n">
        <v>0.45295</v>
      </c>
      <c r="D29" s="0" t="n">
        <v>0.36895</v>
      </c>
      <c r="E29" s="0" t="n">
        <v>0.30564</v>
      </c>
      <c r="F29" s="0" t="n">
        <v>0.31091</v>
      </c>
      <c r="G29" s="338" t="n">
        <f aca="false">G28+(F29-F31)</f>
        <v>0.268646</v>
      </c>
    </row>
    <row r="31" customFormat="false" ht="12.75" hidden="false" customHeight="false" outlineLevel="0" collapsed="false">
      <c r="A31" s="363" t="s">
        <v>205</v>
      </c>
      <c r="B31" s="0" t="n">
        <f aca="false">AVERAGE(B25:B29)</f>
        <v>0.4386</v>
      </c>
      <c r="C31" s="0" t="n">
        <f aca="false">AVERAGE(C25:C29)</f>
        <v>0.408292</v>
      </c>
      <c r="D31" s="0" t="n">
        <f aca="false">AVERAGE(D25:D29)</f>
        <v>0.404708</v>
      </c>
      <c r="E31" s="0" t="n">
        <f aca="false">AVERAGE(E25:E29)</f>
        <v>0.312968</v>
      </c>
      <c r="F31" s="0" t="n">
        <f aca="false">AVERAGE(F25:F29)</f>
        <v>0.289214</v>
      </c>
      <c r="G31" s="0" t="n">
        <f aca="false">AVERAGE(G25:G28)</f>
        <v>0.24398</v>
      </c>
      <c r="H31" s="0" t="n">
        <f aca="false">AVERAGE(H25:H28)</f>
        <v>0.2333725</v>
      </c>
      <c r="I31" s="0" t="n">
        <f aca="false">AVERAGE(I25:I28)</f>
        <v>0.2719575</v>
      </c>
      <c r="J31" s="0" t="n">
        <f aca="false">AVERAGE(J25:J28)</f>
        <v>0.307045</v>
      </c>
      <c r="K31" s="0" t="n">
        <f aca="false">AVERAGE(K25:K28)</f>
        <v>0.3444975</v>
      </c>
      <c r="L31" s="0" t="n">
        <f aca="false">AVERAGE(L25:L28)</f>
        <v>0.41433</v>
      </c>
      <c r="M31" s="0" t="n">
        <f aca="false">AVERAGE(M25:M28)</f>
        <v>0.4499725</v>
      </c>
    </row>
    <row r="33" customFormat="false" ht="12.75" hidden="false" customHeight="false" outlineLevel="0" collapsed="false">
      <c r="A33" s="338" t="s">
        <v>208</v>
      </c>
    </row>
    <row r="34" customFormat="false" ht="12.75" hidden="false" customHeight="false" outlineLevel="0" collapsed="false">
      <c r="B34" s="0" t="s">
        <v>193</v>
      </c>
      <c r="C34" s="0" t="s">
        <v>194</v>
      </c>
      <c r="D34" s="0" t="s">
        <v>195</v>
      </c>
      <c r="E34" s="0" t="s">
        <v>196</v>
      </c>
      <c r="F34" s="0" t="s">
        <v>197</v>
      </c>
      <c r="G34" s="0" t="s">
        <v>198</v>
      </c>
      <c r="H34" s="0" t="s">
        <v>199</v>
      </c>
      <c r="I34" s="0" t="s">
        <v>200</v>
      </c>
      <c r="J34" s="0" t="s">
        <v>201</v>
      </c>
      <c r="K34" s="0" t="s">
        <v>202</v>
      </c>
      <c r="L34" s="0" t="s">
        <v>203</v>
      </c>
      <c r="M34" s="0" t="s">
        <v>204</v>
      </c>
    </row>
    <row r="35" customFormat="false" ht="12.75" hidden="false" customHeight="false" outlineLevel="0" collapsed="false">
      <c r="A35" s="0" t="n">
        <v>1997</v>
      </c>
      <c r="B35" s="0" t="n">
        <v>0.80734</v>
      </c>
      <c r="C35" s="0" t="n">
        <v>0.6941</v>
      </c>
      <c r="D35" s="0" t="n">
        <v>0.78892</v>
      </c>
      <c r="E35" s="0" t="n">
        <v>0.58066</v>
      </c>
      <c r="F35" s="0" t="n">
        <v>0.47573</v>
      </c>
      <c r="G35" s="0" t="n">
        <v>0.4323</v>
      </c>
      <c r="H35" s="0" t="n">
        <v>0.3811</v>
      </c>
      <c r="I35" s="0" t="n">
        <v>0.3816</v>
      </c>
      <c r="J35" s="0" t="n">
        <v>0.48734</v>
      </c>
      <c r="K35" s="0" t="n">
        <v>0.60544</v>
      </c>
      <c r="L35" s="0" t="n">
        <v>0.6707</v>
      </c>
      <c r="M35" s="0" t="n">
        <v>0.8121</v>
      </c>
    </row>
    <row r="36" customFormat="false" ht="12.75" hidden="false" customHeight="false" outlineLevel="0" collapsed="false">
      <c r="A36" s="0" t="n">
        <v>1998</v>
      </c>
      <c r="B36" s="0" t="n">
        <v>0.85415</v>
      </c>
      <c r="C36" s="0" t="n">
        <v>0.77273</v>
      </c>
      <c r="D36" s="0" t="n">
        <v>0.71706</v>
      </c>
      <c r="E36" s="0" t="n">
        <v>0.57727</v>
      </c>
      <c r="F36" s="0" t="n">
        <v>0.47077</v>
      </c>
      <c r="G36" s="0" t="n">
        <v>0.47034</v>
      </c>
      <c r="H36" s="0" t="n">
        <v>0.46851</v>
      </c>
      <c r="I36" s="0" t="n">
        <v>0.61497</v>
      </c>
      <c r="J36" s="0" t="n">
        <v>0.58816</v>
      </c>
      <c r="K36" s="0" t="n">
        <v>0.62926</v>
      </c>
      <c r="L36" s="0" t="n">
        <v>0.71587</v>
      </c>
      <c r="M36" s="0" t="n">
        <v>0.73376</v>
      </c>
    </row>
    <row r="37" customFormat="false" ht="12.75" hidden="false" customHeight="false" outlineLevel="0" collapsed="false">
      <c r="A37" s="0" t="n">
        <v>1999</v>
      </c>
      <c r="B37" s="0" t="n">
        <v>0.71474</v>
      </c>
      <c r="C37" s="0" t="n">
        <v>0.60703</v>
      </c>
      <c r="D37" s="0" t="n">
        <v>0.72268</v>
      </c>
      <c r="E37" s="0" t="n">
        <v>0.54905</v>
      </c>
      <c r="F37" s="0" t="n">
        <v>0.54619</v>
      </c>
      <c r="G37" s="0" t="n">
        <v>0.41842</v>
      </c>
      <c r="H37" s="0" t="n">
        <v>0.42548</v>
      </c>
      <c r="I37" s="0" t="n">
        <v>0.38101</v>
      </c>
      <c r="J37" s="0" t="n">
        <v>0.51165</v>
      </c>
      <c r="K37" s="0" t="n">
        <v>0.55371</v>
      </c>
      <c r="L37" s="0" t="n">
        <v>0.67859</v>
      </c>
      <c r="M37" s="0" t="n">
        <v>0.78468</v>
      </c>
    </row>
    <row r="38" customFormat="false" ht="12.75" hidden="false" customHeight="false" outlineLevel="0" collapsed="false">
      <c r="A38" s="0" t="n">
        <v>2000</v>
      </c>
      <c r="B38" s="0" t="n">
        <v>0.73544</v>
      </c>
      <c r="C38" s="0" t="n">
        <v>0.72838</v>
      </c>
      <c r="D38" s="0" t="n">
        <v>0.69011</v>
      </c>
      <c r="E38" s="0" t="n">
        <v>0.51431</v>
      </c>
      <c r="F38" s="0" t="n">
        <v>0.50941</v>
      </c>
      <c r="G38" s="0" t="n">
        <v>0.43549</v>
      </c>
      <c r="H38" s="0" t="n">
        <v>0.36434</v>
      </c>
      <c r="I38" s="0" t="n">
        <v>0.54101</v>
      </c>
      <c r="J38" s="0" t="n">
        <v>0.57901</v>
      </c>
      <c r="K38" s="0" t="n">
        <v>0.64203</v>
      </c>
      <c r="L38" s="0" t="n">
        <v>0.85792</v>
      </c>
      <c r="M38" s="0" t="n">
        <v>0.84403</v>
      </c>
    </row>
    <row r="39" customFormat="false" ht="12.75" hidden="false" customHeight="false" outlineLevel="0" collapsed="false">
      <c r="A39" s="0" t="n">
        <v>2001</v>
      </c>
      <c r="B39" s="0" t="n">
        <v>0.7567</v>
      </c>
      <c r="C39" s="0" t="n">
        <v>0.79877</v>
      </c>
      <c r="D39" s="0" t="n">
        <v>0.65063</v>
      </c>
      <c r="E39" s="0" t="n">
        <v>0.53898</v>
      </c>
      <c r="F39" s="0" t="n">
        <v>0.54828</v>
      </c>
      <c r="G39" s="338" t="n">
        <f aca="false">G41+(F39-F41)</f>
        <v>0.4773415</v>
      </c>
    </row>
    <row r="41" customFormat="false" ht="12.75" hidden="false" customHeight="false" outlineLevel="0" collapsed="false">
      <c r="A41" s="363" t="s">
        <v>205</v>
      </c>
      <c r="B41" s="0" t="n">
        <f aca="false">AVERAGE(B35:B39)</f>
        <v>0.773674</v>
      </c>
      <c r="C41" s="0" t="n">
        <f aca="false">AVERAGE(C35:C39)</f>
        <v>0.720202</v>
      </c>
      <c r="D41" s="0" t="n">
        <f aca="false">AVERAGE(D35:D39)</f>
        <v>0.71388</v>
      </c>
      <c r="E41" s="0" t="n">
        <f aca="false">AVERAGE(E35:E39)</f>
        <v>0.552054</v>
      </c>
      <c r="F41" s="0" t="n">
        <f aca="false">AVERAGE(F35:F39)</f>
        <v>0.510076</v>
      </c>
      <c r="G41" s="0" t="n">
        <f aca="false">AVERAGE(G35:G38)</f>
        <v>0.4391375</v>
      </c>
      <c r="H41" s="0" t="n">
        <f aca="false">AVERAGE(H35:H38)</f>
        <v>0.4098575</v>
      </c>
      <c r="I41" s="0" t="n">
        <f aca="false">AVERAGE(I35:I38)</f>
        <v>0.4796475</v>
      </c>
      <c r="J41" s="0" t="n">
        <f aca="false">AVERAGE(J35:J38)</f>
        <v>0.54154</v>
      </c>
      <c r="K41" s="0" t="n">
        <f aca="false">AVERAGE(K35:K38)</f>
        <v>0.60761</v>
      </c>
      <c r="L41" s="0" t="n">
        <f aca="false">AVERAGE(L35:L38)</f>
        <v>0.73077</v>
      </c>
      <c r="M41" s="0" t="n">
        <f aca="false">AVERAGE(M35:M38)</f>
        <v>0.7936425</v>
      </c>
    </row>
    <row r="43" customFormat="false" ht="12.75" hidden="false" customHeight="false" outlineLevel="0" collapsed="false">
      <c r="A43" s="23" t="s">
        <v>209</v>
      </c>
      <c r="B43" s="364"/>
      <c r="C43" s="364"/>
    </row>
    <row r="44" customFormat="false" ht="12.75" hidden="false" customHeight="false" outlineLevel="0" collapsed="false">
      <c r="B44" s="0" t="s">
        <v>193</v>
      </c>
      <c r="C44" s="0" t="s">
        <v>194</v>
      </c>
      <c r="D44" s="0" t="s">
        <v>195</v>
      </c>
      <c r="E44" s="0" t="s">
        <v>196</v>
      </c>
      <c r="F44" s="0" t="s">
        <v>197</v>
      </c>
      <c r="G44" s="0" t="s">
        <v>198</v>
      </c>
      <c r="H44" s="0" t="s">
        <v>199</v>
      </c>
      <c r="I44" s="0" t="s">
        <v>200</v>
      </c>
      <c r="J44" s="0" t="s">
        <v>201</v>
      </c>
      <c r="K44" s="0" t="s">
        <v>202</v>
      </c>
      <c r="L44" s="0" t="s">
        <v>203</v>
      </c>
      <c r="M44" s="0" t="s">
        <v>204</v>
      </c>
    </row>
    <row r="45" customFormat="false" ht="12.75" hidden="false" customHeight="false" outlineLevel="0" collapsed="false">
      <c r="A45" s="0" t="n">
        <v>1997</v>
      </c>
    </row>
    <row r="46" customFormat="false" ht="12.75" hidden="false" customHeight="false" outlineLevel="0" collapsed="false">
      <c r="A46" s="0" t="n">
        <v>1998</v>
      </c>
    </row>
    <row r="47" customFormat="false" ht="12.75" hidden="false" customHeight="false" outlineLevel="0" collapsed="false">
      <c r="A47" s="0" t="n">
        <v>1999</v>
      </c>
    </row>
    <row r="48" customFormat="false" ht="12.75" hidden="false" customHeight="false" outlineLevel="0" collapsed="false">
      <c r="A48" s="0" t="n">
        <v>2000</v>
      </c>
    </row>
    <row r="49" customFormat="false" ht="12.75" hidden="false" customHeight="false" outlineLevel="0" collapsed="false">
      <c r="A49" s="0" t="n">
        <v>2001</v>
      </c>
    </row>
    <row r="51" customFormat="false" ht="12.75" hidden="false" customHeight="false" outlineLevel="0" collapsed="false">
      <c r="A51" s="363" t="s">
        <v>205</v>
      </c>
    </row>
    <row r="53" customFormat="false" ht="12.75" hidden="false" customHeight="false" outlineLevel="0" collapsed="false">
      <c r="A53" s="23" t="s">
        <v>210</v>
      </c>
      <c r="B53" s="364"/>
      <c r="C53" s="364"/>
    </row>
    <row r="54" customFormat="false" ht="12.75" hidden="false" customHeight="false" outlineLevel="0" collapsed="false">
      <c r="B54" s="0" t="s">
        <v>193</v>
      </c>
      <c r="C54" s="0" t="s">
        <v>194</v>
      </c>
      <c r="D54" s="0" t="s">
        <v>195</v>
      </c>
      <c r="E54" s="0" t="s">
        <v>196</v>
      </c>
      <c r="F54" s="0" t="s">
        <v>197</v>
      </c>
      <c r="G54" s="0" t="s">
        <v>198</v>
      </c>
      <c r="H54" s="0" t="s">
        <v>199</v>
      </c>
      <c r="I54" s="0" t="s">
        <v>200</v>
      </c>
      <c r="J54" s="0" t="s">
        <v>201</v>
      </c>
      <c r="K54" s="0" t="s">
        <v>202</v>
      </c>
      <c r="L54" s="0" t="s">
        <v>203</v>
      </c>
      <c r="M54" s="0" t="s">
        <v>204</v>
      </c>
    </row>
    <row r="55" customFormat="false" ht="12.75" hidden="false" customHeight="false" outlineLevel="0" collapsed="false">
      <c r="A55" s="0" t="n">
        <v>1997</v>
      </c>
    </row>
    <row r="56" customFormat="false" ht="12.75" hidden="false" customHeight="false" outlineLevel="0" collapsed="false">
      <c r="A56" s="0" t="n">
        <v>1998</v>
      </c>
    </row>
    <row r="57" customFormat="false" ht="12.75" hidden="false" customHeight="false" outlineLevel="0" collapsed="false">
      <c r="A57" s="0" t="n">
        <v>1999</v>
      </c>
    </row>
    <row r="58" customFormat="false" ht="12.75" hidden="false" customHeight="false" outlineLevel="0" collapsed="false">
      <c r="A58" s="0" t="n">
        <v>2000</v>
      </c>
    </row>
    <row r="59" customFormat="false" ht="12.75" hidden="false" customHeight="false" outlineLevel="0" collapsed="false">
      <c r="A59" s="0" t="n">
        <v>2001</v>
      </c>
    </row>
    <row r="61" customFormat="false" ht="12.75" hidden="false" customHeight="false" outlineLevel="0" collapsed="false">
      <c r="A61" s="363" t="s">
        <v>205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3" min="3" style="0" width="11.13"/>
  </cols>
  <sheetData>
    <row r="1" customFormat="false" ht="15.75" hidden="false" customHeight="false" outlineLevel="0" collapsed="false">
      <c r="A1" s="365" t="s">
        <v>211</v>
      </c>
    </row>
    <row r="2" customFormat="false" ht="12.75" hidden="false" customHeight="false" outlineLevel="0" collapsed="false">
      <c r="D2" s="0" t="s">
        <v>212</v>
      </c>
    </row>
    <row r="3" customFormat="false" ht="12.75" hidden="false" customHeight="false" outlineLevel="0" collapsed="false">
      <c r="A3" s="0" t="s">
        <v>213</v>
      </c>
      <c r="B3" s="366" t="n">
        <f aca="false">'Fuel Ratio'!B38</f>
        <v>39.22</v>
      </c>
      <c r="C3" s="0" t="s">
        <v>214</v>
      </c>
    </row>
    <row r="4" customFormat="false" ht="12.75" hidden="false" customHeight="false" outlineLevel="0" collapsed="false">
      <c r="A4" s="0" t="s">
        <v>215</v>
      </c>
      <c r="B4" s="366" t="n">
        <f aca="false">'Fuel Ratio'!B39</f>
        <v>38.42</v>
      </c>
      <c r="C4" s="0" t="s">
        <v>214</v>
      </c>
    </row>
    <row r="6" customFormat="false" ht="15" hidden="false" customHeight="false" outlineLevel="0" collapsed="false">
      <c r="A6" s="367" t="s">
        <v>192</v>
      </c>
      <c r="B6" s="339" t="s">
        <v>93</v>
      </c>
      <c r="C6" s="338" t="s">
        <v>172</v>
      </c>
    </row>
    <row r="7" customFormat="false" ht="12.75" hidden="false" customHeight="false" outlineLevel="0" collapsed="false">
      <c r="A7" s="0" t="s">
        <v>216</v>
      </c>
      <c r="B7" s="368" t="n">
        <f aca="false">94.8/B3*12/365</f>
        <v>0.0794674229670353</v>
      </c>
      <c r="C7" s="297" t="n">
        <f aca="false">B7*1.055056/Summary!$B$4</f>
        <v>0.0552657800509128</v>
      </c>
    </row>
    <row r="8" customFormat="false" ht="12.75" hidden="false" customHeight="false" outlineLevel="0" collapsed="false">
      <c r="A8" s="0" t="s">
        <v>217</v>
      </c>
      <c r="B8" s="368" t="n">
        <f aca="false">3.863/B3</f>
        <v>0.0984956654767976</v>
      </c>
      <c r="C8" s="297" t="n">
        <f aca="false">B8*1.055056/Summary!$B$4</f>
        <v>0.0684990097950834</v>
      </c>
    </row>
    <row r="9" customFormat="false" ht="12.75" hidden="false" customHeight="false" outlineLevel="0" collapsed="false">
      <c r="A9" s="0" t="s">
        <v>218</v>
      </c>
      <c r="B9" s="368" t="n">
        <f aca="false">2.897/B3</f>
        <v>0.073865374808771</v>
      </c>
      <c r="C9" s="297" t="n">
        <f aca="false">B9*1.055056/Summary!$B$4</f>
        <v>0.0513698243272991</v>
      </c>
    </row>
    <row r="10" customFormat="false" ht="12.75" hidden="false" customHeight="false" outlineLevel="0" collapsed="false">
      <c r="A10" s="0" t="s">
        <v>219</v>
      </c>
      <c r="B10" s="297" t="n">
        <f aca="false">0.18583/$B$3</f>
        <v>0.00473814380418154</v>
      </c>
      <c r="C10" s="297" t="n">
        <f aca="false">B10*1.055056/Summary!$B$4</f>
        <v>0.00329515169304177</v>
      </c>
    </row>
    <row r="11" customFormat="false" ht="12.75" hidden="false" customHeight="false" outlineLevel="0" collapsed="false">
      <c r="A11" s="0" t="s">
        <v>220</v>
      </c>
      <c r="B11" s="297" t="n">
        <f aca="false">'WEI Fuel Tax'!G8/B3</f>
        <v>0.00315543090260071</v>
      </c>
      <c r="C11" s="297" t="n">
        <f aca="false">B11*1.055056/Summary!$B$4</f>
        <v>0.00219445080409017</v>
      </c>
    </row>
    <row r="12" customFormat="false" ht="12.75" hidden="false" customHeight="false" outlineLevel="0" collapsed="false">
      <c r="B12" s="297"/>
      <c r="C12" s="297"/>
    </row>
    <row r="13" customFormat="false" ht="15" hidden="false" customHeight="false" outlineLevel="0" collapsed="false">
      <c r="A13" s="367" t="s">
        <v>221</v>
      </c>
      <c r="B13" s="297"/>
      <c r="C13" s="297"/>
    </row>
    <row r="14" customFormat="false" ht="12.75" hidden="false" customHeight="false" outlineLevel="0" collapsed="false">
      <c r="A14" s="0" t="s">
        <v>222</v>
      </c>
      <c r="B14" s="368" t="n">
        <f aca="false">66.87/B4*12/365</f>
        <v>0.0572219092510322</v>
      </c>
      <c r="C14" s="297" t="n">
        <f aca="false">B14*1.055056/Summary!$B$4</f>
        <v>0.0397950925383937</v>
      </c>
    </row>
    <row r="15" customFormat="false" ht="12.75" hidden="false" customHeight="false" outlineLevel="0" collapsed="false">
      <c r="A15" s="0" t="s">
        <v>223</v>
      </c>
      <c r="B15" s="368" t="n">
        <f aca="false">2.521/B4</f>
        <v>0.0656168662155127</v>
      </c>
      <c r="C15" s="297" t="n">
        <f aca="false">B15*1.055056/Summary!$B$4</f>
        <v>0.0456333823408492</v>
      </c>
    </row>
    <row r="16" customFormat="false" ht="12.75" hidden="false" customHeight="false" outlineLevel="0" collapsed="false">
      <c r="A16" s="0" t="s">
        <v>224</v>
      </c>
      <c r="B16" s="368" t="n">
        <f aca="false">1.891/B4</f>
        <v>0.0492191566892244</v>
      </c>
      <c r="C16" s="297" t="n">
        <f aca="false">B16*1.055056/Summary!$B$4</f>
        <v>0.0342295620811368</v>
      </c>
    </row>
    <row r="17" customFormat="false" ht="12.75" hidden="false" customHeight="false" outlineLevel="0" collapsed="false">
      <c r="A17" s="0" t="s">
        <v>219</v>
      </c>
      <c r="B17" s="297" t="n">
        <f aca="false">0.164364/$B$4</f>
        <v>0.00427808433107756</v>
      </c>
      <c r="C17" s="297" t="n">
        <f aca="false">B17*1.055056/Summary!$B$4</f>
        <v>0.00297520240185297</v>
      </c>
    </row>
    <row r="18" customFormat="false" ht="12.75" hidden="false" customHeight="false" outlineLevel="0" collapsed="false">
      <c r="A18" s="0" t="s">
        <v>225</v>
      </c>
      <c r="B18" s="297" t="n">
        <f aca="false">'WEI Fuel Tax'!G19/$B$4</f>
        <v>0.002812753774076</v>
      </c>
      <c r="C18" s="297" t="n">
        <f aca="false">B18*1.055056/Summary!$B$4</f>
        <v>0.00195613530188267</v>
      </c>
    </row>
    <row r="19" customFormat="false" ht="12.75" hidden="false" customHeight="false" outlineLevel="0" collapsed="false">
      <c r="B19" s="297"/>
      <c r="C19" s="297"/>
    </row>
    <row r="20" customFormat="false" ht="15" hidden="false" customHeight="false" outlineLevel="0" collapsed="false">
      <c r="A20" s="367" t="s">
        <v>226</v>
      </c>
      <c r="B20" s="297"/>
      <c r="C20" s="297"/>
    </row>
    <row r="21" customFormat="false" ht="12.75" hidden="false" customHeight="false" outlineLevel="0" collapsed="false">
      <c r="A21" s="0" t="s">
        <v>227</v>
      </c>
      <c r="B21" s="368" t="n">
        <f aca="false">162.19/B4*12/365</f>
        <v>0.13878901542433</v>
      </c>
      <c r="C21" s="297" t="n">
        <f aca="false">B21*1.055056/Summary!$B$4</f>
        <v>0.0965211015223878</v>
      </c>
    </row>
    <row r="22" customFormat="false" ht="12.75" hidden="false" customHeight="false" outlineLevel="0" collapsed="false">
      <c r="A22" s="0" t="s">
        <v>228</v>
      </c>
      <c r="B22" s="368" t="n">
        <f aca="false">6.121/B4</f>
        <v>0.159318063508589</v>
      </c>
      <c r="C22" s="297" t="n">
        <f aca="false">B22*1.055056/Summary!$B$4</f>
        <v>0.110798069539206</v>
      </c>
    </row>
    <row r="23" customFormat="false" ht="12.75" hidden="false" customHeight="false" outlineLevel="0" collapsed="false">
      <c r="A23" s="0" t="s">
        <v>229</v>
      </c>
      <c r="B23" s="368" t="n">
        <f aca="false">4.591/B4</f>
        <v>0.119495054659032</v>
      </c>
      <c r="C23" s="297" t="n">
        <f aca="false">B23*1.055056/Summary!$B$4</f>
        <v>0.0831030774799043</v>
      </c>
    </row>
    <row r="24" customFormat="false" ht="12.75" hidden="false" customHeight="false" outlineLevel="0" collapsed="false">
      <c r="A24" s="0" t="s">
        <v>219</v>
      </c>
      <c r="B24" s="297" t="n">
        <f aca="false">0.411704/$B$4</f>
        <v>0.0107158771473191</v>
      </c>
      <c r="C24" s="297" t="n">
        <f aca="false">B24*1.055056/Summary!$B$4</f>
        <v>0.00745237843842006</v>
      </c>
    </row>
    <row r="25" customFormat="false" ht="12.75" hidden="false" customHeight="false" outlineLevel="0" collapsed="false">
      <c r="A25" s="0" t="s">
        <v>225</v>
      </c>
      <c r="B25" s="297" t="n">
        <f aca="false">'WEI Fuel Tax'!G29/$B$4</f>
        <v>0.0069923477355544</v>
      </c>
      <c r="C25" s="297" t="n">
        <f aca="false">B25*1.055056/Summary!$B$4</f>
        <v>0.00486284237696937</v>
      </c>
    </row>
    <row r="26" customFormat="false" ht="12.75" hidden="false" customHeight="false" outlineLevel="0" collapsed="false">
      <c r="B26" s="297"/>
      <c r="C26" s="297"/>
    </row>
    <row r="27" customFormat="false" ht="15" hidden="false" customHeight="false" outlineLevel="0" collapsed="false">
      <c r="A27" s="367" t="s">
        <v>230</v>
      </c>
      <c r="B27" s="297"/>
      <c r="C27" s="297"/>
    </row>
    <row r="28" customFormat="false" ht="12.75" hidden="false" customHeight="false" outlineLevel="0" collapsed="false">
      <c r="A28" s="0" t="s">
        <v>231</v>
      </c>
      <c r="B28" s="368" t="n">
        <f aca="false">295.42/B4*12/365</f>
        <v>0.252796417391056</v>
      </c>
      <c r="C28" s="297" t="n">
        <f aca="false">B28*1.055056/Summary!$B$4</f>
        <v>0.175807779836881</v>
      </c>
    </row>
    <row r="29" customFormat="false" ht="12.75" hidden="false" customHeight="false" outlineLevel="0" collapsed="false">
      <c r="A29" s="0" t="s">
        <v>232</v>
      </c>
      <c r="B29" s="368" t="n">
        <f aca="false">11.127/B4</f>
        <v>0.289614783966684</v>
      </c>
      <c r="C29" s="297" t="n">
        <f aca="false">B29*1.055056/Summary!$B$4</f>
        <v>0.201413187348921</v>
      </c>
    </row>
    <row r="30" customFormat="false" ht="12.75" hidden="false" customHeight="false" outlineLevel="0" collapsed="false">
      <c r="A30" s="0" t="s">
        <v>233</v>
      </c>
      <c r="B30" s="368" t="n">
        <f aca="false">8.345/B4</f>
        <v>0.217204580947423</v>
      </c>
      <c r="C30" s="297" t="n">
        <f aca="false">B30*1.055056/Summary!$B$4</f>
        <v>0.151055365186191</v>
      </c>
    </row>
    <row r="31" customFormat="false" ht="12.75" hidden="false" customHeight="false" outlineLevel="0" collapsed="false">
      <c r="A31" s="0" t="s">
        <v>219</v>
      </c>
      <c r="B31" s="297" t="n">
        <f aca="false">0.72602/$B$4</f>
        <v>0.0188969286829776</v>
      </c>
      <c r="C31" s="297" t="n">
        <f aca="false">B31*1.055056/Summary!$B$4</f>
        <v>0.0131419072777086</v>
      </c>
    </row>
    <row r="32" customFormat="false" ht="12.75" hidden="false" customHeight="false" outlineLevel="0" collapsed="false">
      <c r="A32" s="0" t="s">
        <v>225</v>
      </c>
      <c r="B32" s="297" t="n">
        <f aca="false">'WEI Fuel Tax'!G39/$B$4</f>
        <v>0.0124242972410203</v>
      </c>
      <c r="C32" s="297" t="n">
        <f aca="false">B32*1.055056/Summary!$B$4</f>
        <v>0.0086405026484151</v>
      </c>
    </row>
    <row r="33" customFormat="false" ht="12.75" hidden="false" customHeight="false" outlineLevel="0" collapsed="false">
      <c r="B33" s="369"/>
      <c r="C33" s="297"/>
    </row>
    <row r="34" customFormat="false" ht="12.75" hidden="false" customHeight="false" outlineLevel="0" collapsed="false">
      <c r="B34" s="369"/>
      <c r="C34" s="297"/>
    </row>
    <row r="35" customFormat="false" ht="15" hidden="false" customHeight="false" outlineLevel="0" collapsed="false">
      <c r="A35" s="367" t="s">
        <v>209</v>
      </c>
      <c r="B35" s="369"/>
      <c r="C35" s="297"/>
    </row>
    <row r="36" customFormat="false" ht="12.75" hidden="false" customHeight="false" outlineLevel="0" collapsed="false">
      <c r="A36" s="0" t="s">
        <v>234</v>
      </c>
      <c r="B36" s="368" t="n">
        <f aca="false">9.57/B3*12/365</f>
        <v>0.00802218605268489</v>
      </c>
      <c r="C36" s="297" t="n">
        <f aca="false">B36*1.055056/Summary!$B$4</f>
        <v>0.00557904551779785</v>
      </c>
    </row>
    <row r="37" customFormat="false" ht="12.75" hidden="false" customHeight="false" outlineLevel="0" collapsed="false">
      <c r="A37" s="0" t="s">
        <v>235</v>
      </c>
      <c r="B37" s="368" t="n">
        <f aca="false">0.42/B3</f>
        <v>0.0107088220295767</v>
      </c>
      <c r="C37" s="297" t="n">
        <f aca="false">B37*1.055056/Summary!$B$4</f>
        <v>0.00744747194251489</v>
      </c>
    </row>
    <row r="38" customFormat="false" ht="12.75" hidden="false" customHeight="false" outlineLevel="0" collapsed="false">
      <c r="A38" s="0" t="s">
        <v>236</v>
      </c>
      <c r="B38" s="368" t="n">
        <f aca="false">0.315/B3</f>
        <v>0.00803161652218256</v>
      </c>
      <c r="C38" s="297" t="n">
        <f aca="false">B38*1.055056/Summary!$B$4</f>
        <v>0.00558560395688617</v>
      </c>
    </row>
    <row r="39" customFormat="false" ht="12.75" hidden="false" customHeight="false" outlineLevel="0" collapsed="false">
      <c r="B39" s="369"/>
      <c r="C39" s="297"/>
    </row>
    <row r="40" customFormat="false" ht="12.75" hidden="false" customHeight="false" outlineLevel="0" collapsed="false">
      <c r="B40" s="369"/>
      <c r="C40" s="297"/>
    </row>
    <row r="41" customFormat="false" ht="15" hidden="false" customHeight="false" outlineLevel="0" collapsed="false">
      <c r="A41" s="367" t="s">
        <v>210</v>
      </c>
      <c r="B41" s="369"/>
      <c r="C41" s="297"/>
    </row>
    <row r="42" customFormat="false" ht="12.75" hidden="false" customHeight="false" outlineLevel="0" collapsed="false">
      <c r="A42" s="0" t="s">
        <v>237</v>
      </c>
      <c r="B42" s="368" t="n">
        <f aca="false">26.51/B3*12/365</f>
        <v>0.022222377456288</v>
      </c>
      <c r="C42" s="297" t="n">
        <f aca="false">B42*1.055056/Summary!$B$4</f>
        <v>0.0154545973538998</v>
      </c>
    </row>
    <row r="43" customFormat="false" ht="12.75" hidden="false" customHeight="false" outlineLevel="0" collapsed="false">
      <c r="A43" s="0" t="s">
        <v>238</v>
      </c>
      <c r="B43" s="368" t="n">
        <f aca="false">1.162/B3</f>
        <v>0.0296277409484957</v>
      </c>
      <c r="C43" s="297" t="n">
        <f aca="false">B43*1.055056/Summary!$B$4</f>
        <v>0.0206046723742912</v>
      </c>
    </row>
    <row r="44" customFormat="false" ht="12.75" hidden="false" customHeight="false" outlineLevel="0" collapsed="false">
      <c r="A44" s="0" t="s">
        <v>239</v>
      </c>
      <c r="B44" s="368" t="n">
        <f aca="false">0.872/B3</f>
        <v>0.022233554309026</v>
      </c>
      <c r="C44" s="297" t="n">
        <f aca="false">B44*1.055056/Summary!$B$4</f>
        <v>0.0154623703187452</v>
      </c>
    </row>
    <row r="45" customFormat="false" ht="12.75" hidden="false" customHeight="false" outlineLevel="0" collapsed="false">
      <c r="A45" s="0" t="s">
        <v>240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0" activeCellId="0" sqref="G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</cols>
  <sheetData>
    <row r="1" customFormat="false" ht="15.75" hidden="false" customHeight="false" outlineLevel="0" collapsed="false">
      <c r="A1" s="365" t="s">
        <v>241</v>
      </c>
    </row>
    <row r="3" customFormat="false" ht="12.75" hidden="false" customHeight="false" outlineLevel="0" collapsed="false">
      <c r="B3" s="370" t="n">
        <v>36923</v>
      </c>
      <c r="H3" s="370"/>
    </row>
    <row r="4" customFormat="false" ht="12.75" hidden="false" customHeight="false" outlineLevel="0" collapsed="false">
      <c r="A4" s="0" t="s">
        <v>242</v>
      </c>
      <c r="B4" s="371" t="n">
        <v>0.2776</v>
      </c>
      <c r="C4" s="0" t="s">
        <v>94</v>
      </c>
      <c r="H4" s="372"/>
    </row>
    <row r="5" customFormat="false" ht="12.75" hidden="false" customHeight="false" outlineLevel="0" collapsed="false">
      <c r="A5" s="0" t="s">
        <v>243</v>
      </c>
      <c r="B5" s="371" t="n">
        <v>0.00296</v>
      </c>
      <c r="C5" s="0" t="s">
        <v>94</v>
      </c>
      <c r="H5" s="372"/>
    </row>
    <row r="6" customFormat="false" ht="12.75" hidden="false" customHeight="false" outlineLevel="0" collapsed="false">
      <c r="A6" s="0" t="s">
        <v>244</v>
      </c>
      <c r="B6" s="371" t="n">
        <v>0.03</v>
      </c>
      <c r="C6" s="0" t="s">
        <v>94</v>
      </c>
      <c r="H6" s="372"/>
    </row>
    <row r="7" customFormat="false" ht="12.75" hidden="false" customHeight="false" outlineLevel="0" collapsed="false">
      <c r="A7" s="0" t="s">
        <v>245</v>
      </c>
      <c r="B7" s="371" t="n">
        <v>0.3076</v>
      </c>
      <c r="C7" s="0" t="s">
        <v>94</v>
      </c>
      <c r="H7" s="372"/>
    </row>
    <row r="8" customFormat="false" ht="12.75" hidden="false" customHeight="false" outlineLevel="0" collapsed="false">
      <c r="A8" s="0" t="s">
        <v>246</v>
      </c>
      <c r="B8" s="371" t="n">
        <v>0.007</v>
      </c>
      <c r="C8" s="0" t="s">
        <v>94</v>
      </c>
      <c r="H8" s="372"/>
    </row>
    <row r="9" customFormat="false" ht="12.75" hidden="false" customHeight="false" outlineLevel="0" collapsed="false">
      <c r="A9" s="0" t="s">
        <v>247</v>
      </c>
      <c r="B9" s="371" t="n">
        <v>0.0022</v>
      </c>
      <c r="C9" s="0" t="s">
        <v>94</v>
      </c>
      <c r="H9" s="372"/>
    </row>
    <row r="11" customFormat="false" ht="12.75" hidden="false" customHeight="false" outlineLevel="0" collapsed="false">
      <c r="A11" s="0" t="s">
        <v>248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3" min="3" style="0" width="11.28"/>
  </cols>
  <sheetData>
    <row r="1" customFormat="false" ht="15.75" hidden="false" customHeight="false" outlineLevel="0" collapsed="false">
      <c r="A1" s="365" t="s">
        <v>249</v>
      </c>
    </row>
    <row r="3" customFormat="false" ht="12.75" hidden="false" customHeight="false" outlineLevel="0" collapsed="false">
      <c r="A3" s="0" t="s">
        <v>250</v>
      </c>
      <c r="B3" s="373" t="n">
        <f aca="false">'Fuel Ratio'!B38</f>
        <v>39.22</v>
      </c>
      <c r="C3" s="0" t="s">
        <v>214</v>
      </c>
    </row>
    <row r="4" customFormat="false" ht="12.75" hidden="false" customHeight="false" outlineLevel="0" collapsed="false">
      <c r="A4" s="0" t="s">
        <v>251</v>
      </c>
      <c r="B4" s="373" t="n">
        <f aca="false">'Fuel Ratio'!B37</f>
        <v>37.9</v>
      </c>
      <c r="C4" s="0" t="s">
        <v>214</v>
      </c>
    </row>
    <row r="5" customFormat="false" ht="12.75" hidden="false" customHeight="false" outlineLevel="0" collapsed="false">
      <c r="B5" s="289"/>
    </row>
    <row r="6" customFormat="false" ht="12.75" hidden="false" customHeight="false" outlineLevel="0" collapsed="false">
      <c r="B6" s="339" t="s">
        <v>93</v>
      </c>
      <c r="C6" s="338" t="s">
        <v>172</v>
      </c>
    </row>
    <row r="7" customFormat="false" ht="12.75" hidden="false" customHeight="false" outlineLevel="0" collapsed="false">
      <c r="A7" s="0" t="s">
        <v>252</v>
      </c>
      <c r="B7" s="368" t="n">
        <f aca="false">218.03*12/365/B3</f>
        <v>0.182766690184628</v>
      </c>
      <c r="C7" s="297" t="n">
        <f aca="false">B7*1.055056/Summary!$B$4</f>
        <v>0.127105464393465</v>
      </c>
    </row>
    <row r="8" customFormat="false" ht="12.75" hidden="false" customHeight="false" outlineLevel="0" collapsed="false">
      <c r="A8" s="0" t="s">
        <v>253</v>
      </c>
      <c r="B8" s="368" t="n">
        <f aca="false">8.24/B3</f>
        <v>0.210096889342172</v>
      </c>
      <c r="C8" s="297" t="n">
        <f aca="false">B8*1.055056/Summary!$B$4</f>
        <v>0.146112306681721</v>
      </c>
    </row>
    <row r="9" customFormat="false" ht="12.75" hidden="false" customHeight="false" outlineLevel="0" collapsed="false">
      <c r="A9" s="0" t="s">
        <v>254</v>
      </c>
      <c r="B9" s="368" t="n">
        <f aca="false">184.82*12/365/B4</f>
        <v>0.160323851519861</v>
      </c>
      <c r="C9" s="297" t="n">
        <f aca="false">B9*1.055056/Summary!$B$4</f>
        <v>0.111497546846176</v>
      </c>
    </row>
    <row r="10" customFormat="false" ht="12.75" hidden="false" customHeight="false" outlineLevel="0" collapsed="false">
      <c r="A10" s="0" t="s">
        <v>255</v>
      </c>
      <c r="B10" s="368" t="n">
        <f aca="false">1.1*B9</f>
        <v>0.176356236671847</v>
      </c>
      <c r="C10" s="297" t="n">
        <f aca="false">B10*1.055056/Summary!$B$4</f>
        <v>0.122647301530793</v>
      </c>
    </row>
    <row r="11" customFormat="false" ht="12.75" hidden="false" customHeight="false" outlineLevel="0" collapsed="false">
      <c r="B11" s="369"/>
      <c r="C11" s="297"/>
    </row>
    <row r="12" customFormat="false" ht="12.75" hidden="false" customHeight="false" outlineLevel="0" collapsed="false">
      <c r="B12" s="369"/>
      <c r="C12" s="297"/>
    </row>
    <row r="13" customFormat="false" ht="15.75" hidden="false" customHeight="false" outlineLevel="0" collapsed="false">
      <c r="A13" s="365" t="s">
        <v>256</v>
      </c>
      <c r="B13" s="369"/>
      <c r="C13" s="297"/>
    </row>
    <row r="14" customFormat="false" ht="12.75" hidden="false" customHeight="false" outlineLevel="0" collapsed="false">
      <c r="B14" s="369"/>
      <c r="C14" s="297"/>
    </row>
    <row r="15" customFormat="false" ht="12.75" hidden="false" customHeight="false" outlineLevel="0" collapsed="false">
      <c r="A15" s="0" t="s">
        <v>257</v>
      </c>
      <c r="B15" s="368" t="n">
        <f aca="false">0.0128135690547*170.7*12/365</f>
        <v>0.0719104516483493</v>
      </c>
      <c r="C15" s="297" t="n">
        <f aca="false">B15*1.055056/Summary!$B$4</f>
        <v>0.0500102690609213</v>
      </c>
    </row>
    <row r="16" customFormat="false" ht="12.75" hidden="false" customHeight="false" outlineLevel="0" collapsed="false">
      <c r="A16" s="0" t="s">
        <v>244</v>
      </c>
      <c r="B16" s="368" t="n">
        <f aca="false">0.0000299312892*170.7</f>
        <v>0.00510927106644</v>
      </c>
      <c r="C16" s="297" t="n">
        <f aca="false">B16*1.055056/Summary!$B$4</f>
        <v>0.00355325289830397</v>
      </c>
    </row>
    <row r="17" customFormat="false" ht="12.75" hidden="false" customHeight="false" outlineLevel="0" collapsed="false">
      <c r="A17" s="0" t="s">
        <v>258</v>
      </c>
      <c r="B17" s="368" t="n">
        <f aca="false">0.000496727976*170.7</f>
        <v>0.0847914655032</v>
      </c>
      <c r="C17" s="297" t="n">
        <f aca="false">B17*1.055056/Summary!$B$4</f>
        <v>0.0589683962022814</v>
      </c>
    </row>
    <row r="18" customFormat="false" ht="12.75" hidden="false" customHeight="false" outlineLevel="0" collapsed="false">
      <c r="A18" s="0" t="s">
        <v>259</v>
      </c>
      <c r="B18" s="368" t="n">
        <f aca="false">0.003558953236</f>
        <v>0.003558953236</v>
      </c>
      <c r="C18" s="297" t="n">
        <f aca="false">B18*1.055056/Summary!$B$4</f>
        <v>0.00247508122710675</v>
      </c>
    </row>
    <row r="20" customFormat="false" ht="15.75" hidden="false" customHeight="false" outlineLevel="0" collapsed="false">
      <c r="A20" s="365" t="s">
        <v>260</v>
      </c>
    </row>
    <row r="22" customFormat="false" ht="12.75" hidden="false" customHeight="false" outlineLevel="0" collapsed="false">
      <c r="A22" s="0" t="s">
        <v>257</v>
      </c>
      <c r="C22" s="340" t="n">
        <f aca="false">10.278*12/365</f>
        <v>0.337906849315069</v>
      </c>
    </row>
    <row r="23" customFormat="false" ht="12.75" hidden="false" customHeight="false" outlineLevel="0" collapsed="false">
      <c r="A23" s="0" t="s">
        <v>244</v>
      </c>
      <c r="C23" s="340" t="n">
        <v>0.0108</v>
      </c>
    </row>
    <row r="24" customFormat="false" ht="12.75" hidden="false" customHeight="false" outlineLevel="0" collapsed="false">
      <c r="A24" s="0" t="s">
        <v>258</v>
      </c>
      <c r="C24" s="340" t="n">
        <v>0.25216</v>
      </c>
    </row>
    <row r="25" customFormat="false" ht="12.75" hidden="false" customHeight="false" outlineLevel="0" collapsed="false">
      <c r="A25" s="0" t="s">
        <v>247</v>
      </c>
      <c r="C25" s="340" t="n">
        <v>0.0022</v>
      </c>
    </row>
    <row r="26" customFormat="false" ht="12.75" hidden="false" customHeight="false" outlineLevel="0" collapsed="false">
      <c r="A26" s="0" t="s">
        <v>261</v>
      </c>
      <c r="C26" s="340" t="n">
        <v>0.007</v>
      </c>
    </row>
    <row r="27" customFormat="false" ht="12.75" hidden="false" customHeight="false" outlineLevel="0" collapsed="false">
      <c r="A27" s="0" t="s">
        <v>262</v>
      </c>
      <c r="C27" s="340" t="n">
        <v>0</v>
      </c>
    </row>
    <row r="29" customFormat="false" ht="15.75" hidden="false" customHeight="false" outlineLevel="0" collapsed="false">
      <c r="A29" s="365" t="s">
        <v>263</v>
      </c>
    </row>
    <row r="31" customFormat="false" ht="12.75" hidden="false" customHeight="false" outlineLevel="0" collapsed="false">
      <c r="A31" s="0" t="s">
        <v>264</v>
      </c>
      <c r="C31" s="340" t="n">
        <v>0.036</v>
      </c>
    </row>
    <row r="32" customFormat="false" ht="12.75" hidden="false" customHeight="false" outlineLevel="0" collapsed="false">
      <c r="A32" s="0" t="s">
        <v>265</v>
      </c>
      <c r="C32" s="340" t="n">
        <v>0.0006</v>
      </c>
    </row>
    <row r="33" customFormat="false" ht="12.75" hidden="false" customHeight="false" outlineLevel="0" collapsed="false">
      <c r="A33" s="0" t="s">
        <v>266</v>
      </c>
      <c r="C33" s="374" t="n">
        <v>821.6518</v>
      </c>
    </row>
    <row r="34" customFormat="false" ht="12.75" hidden="false" customHeight="false" outlineLevel="0" collapsed="false">
      <c r="A34" s="0" t="s">
        <v>267</v>
      </c>
      <c r="C34" s="374" t="n">
        <f aca="false">$C$31*C33/100</f>
        <v>0.295794648</v>
      </c>
    </row>
    <row r="35" customFormat="false" ht="12.75" hidden="false" customHeight="false" outlineLevel="0" collapsed="false">
      <c r="A35" s="0" t="s">
        <v>268</v>
      </c>
      <c r="C35" s="374" t="n">
        <f aca="false">C33*$C$32/100</f>
        <v>0.0049299108</v>
      </c>
    </row>
    <row r="36" customFormat="false" ht="12.75" hidden="false" customHeight="false" outlineLevel="0" collapsed="false">
      <c r="A36" s="0" t="s">
        <v>269</v>
      </c>
      <c r="C36" s="374" t="n">
        <v>968.5973</v>
      </c>
    </row>
    <row r="37" customFormat="false" ht="12.75" hidden="false" customHeight="false" outlineLevel="0" collapsed="false">
      <c r="A37" s="0" t="s">
        <v>270</v>
      </c>
      <c r="C37" s="374" t="n">
        <f aca="false">$C$31*C36/100</f>
        <v>0.348695028</v>
      </c>
    </row>
    <row r="38" customFormat="false" ht="12.75" hidden="false" customHeight="false" outlineLevel="0" collapsed="false">
      <c r="A38" s="0" t="s">
        <v>271</v>
      </c>
      <c r="C38" s="374" t="n">
        <f aca="false">C36*$C$32/100</f>
        <v>0.0058115838</v>
      </c>
    </row>
    <row r="39" customFormat="false" ht="12.75" hidden="false" customHeight="false" outlineLevel="0" collapsed="false">
      <c r="A39" s="0" t="s">
        <v>272</v>
      </c>
      <c r="C39" s="374" t="n">
        <v>1214.7699</v>
      </c>
    </row>
    <row r="40" customFormat="false" ht="12.75" hidden="false" customHeight="false" outlineLevel="0" collapsed="false">
      <c r="A40" s="0" t="s">
        <v>273</v>
      </c>
      <c r="C40" s="374" t="n">
        <f aca="false">$C$31*C39/100</f>
        <v>0.437317164</v>
      </c>
    </row>
    <row r="41" customFormat="false" ht="12.75" hidden="false" customHeight="false" outlineLevel="0" collapsed="false">
      <c r="A41" s="0" t="s">
        <v>274</v>
      </c>
      <c r="C41" s="374" t="n">
        <f aca="false">C39*$C$32/100</f>
        <v>0.0072886194</v>
      </c>
    </row>
    <row r="42" customFormat="false" ht="12.75" hidden="false" customHeight="false" outlineLevel="0" collapsed="false">
      <c r="A42" s="0" t="s">
        <v>247</v>
      </c>
      <c r="C42" s="0" t="n">
        <v>0.0022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2000-07-18T16:17:15Z</dcterms:created>
  <dc:creator>jpearso3</dc:creator>
  <dc:description/>
  <dc:language>en-US</dc:language>
  <cp:lastModifiedBy>icooke</cp:lastModifiedBy>
  <cp:lastPrinted>2001-07-03T14:19:22Z</cp:lastPrinted>
  <dcterms:modified xsi:type="dcterms:W3CDTF">2001-07-03T15:26:32Z</dcterms:modified>
  <cp:revision>0</cp:revision>
  <dc:subject/>
  <dc:title/>
</cp:coreProperties>
</file>