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SF Rates" sheetId="1" state="visible" r:id="rId3"/>
    <sheet name="YR_REV" sheetId="2" state="visible" r:id="rId4"/>
    <sheet name="K-Rates" sheetId="3" state="visible" r:id="rId5"/>
    <sheet name="K-Rates (2)" sheetId="4" state="visible" r:id="rId6"/>
  </sheets>
  <definedNames>
    <definedName function="false" hidden="false" localSheetId="2" name="_xlnm.Print_Area" vbProcedure="false">'K-Rates'!$A$10:$J$174</definedName>
    <definedName function="false" hidden="false" localSheetId="2" name="_xlnm.Print_Titles" vbProcedure="false">'K-Rates'!$10:$10</definedName>
    <definedName function="false" hidden="false" localSheetId="3" name="_xlnm.Print_Area" vbProcedure="false">'K-Rates (2)'!$A$1:$J$135</definedName>
    <definedName function="false" hidden="false" localSheetId="3" name="_xlnm.Print_Titles" vbProcedure="false">'K-Rates (2)'!$1:$1</definedName>
    <definedName function="false" hidden="false" localSheetId="1" name="_xlnm.Print_Area" vbProcedure="false">YR_REV!$H$95:$R$140</definedName>
    <definedName function="false" hidden="false" localSheetId="1" name="_xlnm.Print_Titles" vbProcedure="false">YR_REV!$B:$G</definedName>
    <definedName function="false" hidden="false" localSheetId="1" name="ZA0" vbProcedure="false">"Crystal Ball Data : Ver. 4.0.3"</definedName>
    <definedName function="false" hidden="false" localSheetId="1" name="ZA0A" vbProcedure="false">3+105</definedName>
    <definedName function="false" hidden="false" localSheetId="1" name="ZA0C" vbProcedure="false">0+0</definedName>
    <definedName function="false" hidden="false" localSheetId="1" name="ZA0D" vbProcedure="false">0+0</definedName>
    <definedName function="false" hidden="false" localSheetId="1" name="ZA0F" vbProcedure="false">54+153</definedName>
    <definedName function="false" hidden="false" localSheetId="1" name="ZA0T" vbProcedure="false">37731177+0</definedName>
    <definedName function="false" hidden="false" localSheetId="1" name="ZA103" vbProcedure="false">#REF!+"bD43"+17449+0.11+0.13+0.15</definedName>
    <definedName function="false" hidden="false" localSheetId="1" name="ZA104" vbProcedure="false">YR_REV!$E$69+"bD46"+17449+0.08+0.1+0.12</definedName>
    <definedName function="false" hidden="false" localSheetId="1" name="ZA105" vbProcedure="false">YR_REV!$E$124+"fD64"+17449+0.0579+"?"+0.0979</definedName>
    <definedName function="false" hidden="false" localSheetId="1" name="ZF100" vbProcedure="false">#REF!+"y1mlwog"+""+41+41+440+0+0+0+0+4+3+"-"+"+"+2.6+50+2</definedName>
    <definedName function="false" hidden="false" localSheetId="1" name="ZF101" vbProcedure="false">#REF!+"y2mlwog"+""+41+41+440+0+0+0+0+4+3+"-"+"+"+2.6+50+2</definedName>
    <definedName function="false" hidden="false" localSheetId="1" name="ZF102" vbProcedure="false">#REF!+"y3mlwog"+""+41+41+440+0+0+0+0+4+3+"-"+"+"+2.6+50+2</definedName>
    <definedName function="false" hidden="false" localSheetId="1" name="ZF103" vbProcedure="false">#REF!+"y4mlwog"+""+41+41+440+0+0+0+0+4+3+"-"+"+"+2.6+50+2</definedName>
    <definedName function="false" hidden="false" localSheetId="1" name="ZF104" vbProcedure="false">#REF!+"y5mlwog"+""+41+41+440+0+0+0+0+4+3+"-"+"+"+2.6+50+2</definedName>
    <definedName function="false" hidden="false" localSheetId="1" name="ZF105" vbProcedure="false">#REF!+"y6mlwog"+""+41+41+440+0+0+0+0+4+3+"-"+"+"+2.6+50+2</definedName>
    <definedName function="false" hidden="false" localSheetId="1" name="ZF106" vbProcedure="false">#REF!+"y7mlwog"+""+41+41+440+0+0+0+0+4+3+"-"+"+"+2.6+50+2</definedName>
    <definedName function="false" hidden="false" localSheetId="1" name="ZF107" vbProcedure="false">#REF!+"y8mlwog"+""+41+41+440+0+0+0+0+4+3+"-"+"+"+2.6+50+2</definedName>
    <definedName function="false" hidden="false" localSheetId="1" name="ZF108" vbProcedure="false">#REF!+"y9mlwog"+""+41+41+440+0+0+0+0+4+3+"-"+"+"+2.6+50+2</definedName>
    <definedName function="false" hidden="false" localSheetId="1" name="ZF109" vbProcedure="false">#REF!+"y10mlwog"+""+41+41+440+0+0+0+0+4+3+"-"+"+"+2.6+50+2</definedName>
    <definedName function="false" hidden="false" localSheetId="1" name="ZF110" vbProcedure="false">#REF!+"y11mlwog"+""+41+41+440+0+0+0+0+4+3+"-"+"+"+2.6+50+2</definedName>
    <definedName function="false" hidden="false" localSheetId="1" name="ZF111" vbProcedure="false">#REF!+"y1mlwg"+""+41+41+440+0+0+0+0+4+3+"-"+"+"+2.6+50+2</definedName>
    <definedName function="false" hidden="false" localSheetId="1" name="ZF112" vbProcedure="false">#REF!+"y2mlwg"+""+41+41+440+0+0+0+0+4+3+"-"+"+"+2.6+50+2</definedName>
    <definedName function="false" hidden="false" localSheetId="1" name="ZF113" vbProcedure="false">#REF!+"y3mlwg"+""+41+41+440+0+0+0+0+4+3+"-"+"+"+2.6+50+2</definedName>
    <definedName function="false" hidden="false" localSheetId="1" name="ZF114" vbProcedure="false">#REF!+"y4mlwg"+""+41+41+440+0+0+0+0+4+3+"-"+"+"+2.6+50+2</definedName>
    <definedName function="false" hidden="false" localSheetId="1" name="ZF115" vbProcedure="false">#REF!+"y5mlwg"+""+41+41+440+0+0+0+0+4+3+"-"+"+"+2.6+50+2</definedName>
    <definedName function="false" hidden="false" localSheetId="1" name="ZF116" vbProcedure="false">#REF!+"y6mlwg"+""+41+41+440+0+0+0+0+4+3+"-"+"+"+2.6+50+2</definedName>
    <definedName function="false" hidden="false" localSheetId="1" name="ZF117" vbProcedure="false">#REF!+"y7mlwg"+""+41+41+440+0+0+0+0+4+3+"-"+"+"+2.6+50+2</definedName>
    <definedName function="false" hidden="false" localSheetId="1" name="ZF118" vbProcedure="false">#REF!+"y8mlwg"+""+41+41+440+0+0+0+0+4+3+"-"+"+"+2.6+50+2</definedName>
    <definedName function="false" hidden="false" localSheetId="1" name="ZF119" vbProcedure="false">#REF!+"y9mlwg"+""+41+41+440+0+0+0+0+4+3+"-"+"+"+2.6+50+2</definedName>
    <definedName function="false" hidden="false" localSheetId="1" name="ZF120" vbProcedure="false">#REF!+"y10mlwg"+""+41+41+440+0+0+0+0+4+3+"-"+"+"+2.6+50+2</definedName>
    <definedName function="false" hidden="false" localSheetId="1" name="ZF121" vbProcedure="false">#REF!+"y11mlwg"+""+41+41+440+0+0+0+0+4+3+"-"+"+"+2.6+50+2</definedName>
    <definedName function="false" hidden="false" localSheetId="1" name="ZF122" vbProcedure="false">#REF!+"y1gallup"+""+41+41+440+0+0+0+0+4+3+"-"+"+"+2.6+50+2</definedName>
    <definedName function="false" hidden="false" localSheetId="1" name="ZF123" vbProcedure="false">#REF!+"y2gallup"+""+41+41+440+0+0+0+0+4+3+"-"+"+"+2.6+50+2</definedName>
    <definedName function="false" hidden="false" localSheetId="1" name="ZF124" vbProcedure="false">#REF!+"y3gallup"+""+41+41+440+0+0+0+0+4+3+"-"+"+"+2.6+50+2</definedName>
    <definedName function="false" hidden="false" localSheetId="1" name="ZF125" vbProcedure="false">#REF!+"y4gallup"+""+41+41+440+0+0+0+0+4+3+"-"+"+"+2.6+50+2</definedName>
    <definedName function="false" hidden="false" localSheetId="1" name="ZF126" vbProcedure="false">#REF!+"y5gallup"+""+41+41+440+0+0+0+0+4+3+"-"+"+"+2.6+50+2</definedName>
    <definedName function="false" hidden="false" localSheetId="1" name="ZF127" vbProcedure="false">#REF!+"y1sjwg"+""+41+41+440+0+0+0+0+4+3+"-"+"+"+2.6+50+2</definedName>
    <definedName function="false" hidden="false" localSheetId="1" name="ZF128" vbProcedure="false">#REF!+"y2sjwg"+""+41+41+440+0+0+0+0+4+3+"-"+"+"+2.6+50+2</definedName>
    <definedName function="false" hidden="false" localSheetId="1" name="ZF129" vbProcedure="false">#REF!+"y3sjwg"+""+41+41+440+0+0+0+0+4+3+"-"+"+"+2.6+50+2</definedName>
    <definedName function="false" hidden="false" localSheetId="1" name="ZF130" vbProcedure="false">#REF!+"y4wjsg"+""+41+41+440+0+0+0+0+4+3+"-"+"+"+2.6+50+2</definedName>
    <definedName function="false" hidden="false" localSheetId="1" name="ZF131" vbProcedure="false">#REF!+"y5sjwg"+""+41+41+440+0+0+0+0+4+3+"-"+"+"+2.6+50+2</definedName>
    <definedName function="false" hidden="false" localSheetId="1" name="ZF132" vbProcedure="false">#REF!+"y6sjwg"+""+41+41+440+0+0+0+0+4+3+"-"+"+"+2.6+50+2</definedName>
    <definedName function="false" hidden="false" localSheetId="1" name="ZF133" vbProcedure="false">#REF!+"y7sjwg"+""+41+41+440+0+0+0+0+4+3+"-"+"+"+2.6+50+2</definedName>
    <definedName function="false" hidden="false" localSheetId="1" name="ZF134" vbProcedure="false">#REF!+"y8sjwg"+""+41+41+440+0+0+0+0+4+3+"-"+"+"+2.6+50+2</definedName>
    <definedName function="false" hidden="false" localSheetId="1" name="ZF135" vbProcedure="false">#REF!+"y9sjwg"+""+41+41+440+0+0+0+0+4+3+"-"+"+"+2.6+50+2</definedName>
    <definedName function="false" hidden="false" localSheetId="1" name="ZF136" vbProcedure="false">#REF!+"y10sjwg"+""+41+41+440+0+0+0+0+4+3+"-"+"+"+2.6+50+2</definedName>
    <definedName function="false" hidden="false" localSheetId="1" name="ZF137" vbProcedure="false">#REF!+"y11sjwg"+""+41+41+440+0+0+0+0+4+3+"-"+"+"+2.6+50+2</definedName>
    <definedName function="false" hidden="false" localSheetId="1" name="ZF138" vbProcedure="false">#REF!+"y1sjwog"+""+41+41+440+0+0+0+0+4+3+"-"+"+"+2.6+50+2</definedName>
    <definedName function="false" hidden="false" localSheetId="1" name="ZF139" vbProcedure="false">#REF!+"y2sjwog"+""+41+41+440+0+0+0+0+4+3+"-"+"+"+2.6+50+2</definedName>
    <definedName function="false" hidden="false" localSheetId="1" name="ZF140" vbProcedure="false">#REF!+"y3sjwog"+""+41+41+440+0+0+0+0+4+3+"-"+"+"+2.6+50+2</definedName>
    <definedName function="false" hidden="false" localSheetId="1" name="ZF141" vbProcedure="false">#REF!+"y4sjwog"+""+41+41+440+0+0+0+0+4+3+"-"+"+"+2.6+50+2</definedName>
    <definedName function="false" hidden="false" localSheetId="1" name="ZF142" vbProcedure="false">#REF!+"y5sjwog"+""+41+41+440+0+0+0+0+4+3+"-"+"+"+2.6+50+2</definedName>
    <definedName function="false" hidden="false" localSheetId="1" name="ZF143" vbProcedure="false">#REF!+"y6sjwog"+""+41+41+440+0+0+0+0+4+3+"-"+"+"+2.6+50+2</definedName>
    <definedName function="false" hidden="false" localSheetId="1" name="ZF144" vbProcedure="false">#REF!+"y7sjwog"+""+41+41+440+0+0+0+0+4+3+"-"+"+"+2.6+50+2</definedName>
    <definedName function="false" hidden="false" localSheetId="1" name="ZF145" vbProcedure="false">#REF!+"y8sjwog"+""+41+41+440+0+0+0+0+4+3+"-"+"+"+2.6+50+2</definedName>
    <definedName function="false" hidden="false" localSheetId="1" name="ZF146" vbProcedure="false">#REF!+"y9sjwog"+""+41+41+440+0+0+0+0+4+3+"-"+"+"+2.6+50+2</definedName>
    <definedName function="false" hidden="false" localSheetId="1" name="ZF147" vbProcedure="false">#REF!+"y10sjwog"+""+41+41+440+0+0+0+0+4+3+"-"+"+"+2.6+50+2</definedName>
    <definedName function="false" hidden="false" localSheetId="1" name="ZF148" vbProcedure="false">#REF!+"y11sjwog"+""+41+41+440+0+0+0+0+4+3+"-"+"+"+2.6+50+2</definedName>
    <definedName function="false" hidden="false" localSheetId="1" name="ZF149" vbProcedure="false">#REF!+"y6gallup"+""+41+41+440+0+0+0+0+4+3+"-"+"+"+2.6+50+2</definedName>
    <definedName function="false" hidden="false" localSheetId="1" name="ZF150" vbProcedure="false">#REF!+"y7gallup"+""+41+41+440+0+0+0+0+4+3+"-"+"+"+2.6+50+2</definedName>
    <definedName function="false" hidden="false" localSheetId="1" name="ZF151" vbProcedure="false">#REF!+"y8gallup"+""+41+41+440+0+0+0+0+4+3+"-"+"+"+2.6+50+2</definedName>
    <definedName function="false" hidden="false" localSheetId="1" name="ZF152" vbProcedure="false">#REF!+"y9gallup"+""+41+41+440+0+0+0+0+4+3+"-"+"+"+2.6+50+2</definedName>
    <definedName function="false" hidden="false" localSheetId="1" name="ZF153" vbProcedure="false">#REF!+"y10gallup"+""+41+41+440+0+0+0+0+4+3+"-"+"+"+2.6+50+2</definedName>
    <definedName function="false" hidden="false" localSheetId="2" name="ZA0" vbProcedure="false">"Crystal Ball Data : Ver. 4.0.3"</definedName>
    <definedName function="false" hidden="false" localSheetId="2" name="ZA0A" vbProcedure="false">3+105</definedName>
    <definedName function="false" hidden="false" localSheetId="2" name="ZA0C" vbProcedure="false">0+0</definedName>
    <definedName function="false" hidden="false" localSheetId="2" name="ZA0D" vbProcedure="false">0+0</definedName>
    <definedName function="false" hidden="false" localSheetId="2" name="ZA0F" vbProcedure="false">54+153</definedName>
    <definedName function="false" hidden="false" localSheetId="2" name="ZA0T" vbProcedure="false">37731177+0</definedName>
    <definedName function="false" hidden="false" localSheetId="2" name="ZA103" vbProcedure="false">#REF!+"bD43"+17449+0.11+0.13+0.15</definedName>
    <definedName function="false" hidden="false" localSheetId="2" name="ZA104" vbProcedure="false">#REF!+"bD46"+17449+0.08+0.1+0.12</definedName>
    <definedName function="false" hidden="false" localSheetId="2" name="ZA105" vbProcedure="false">#REF!+"fD64"+17449+0.0579+"?"+0.0979</definedName>
    <definedName function="false" hidden="false" localSheetId="2" name="ZF100" vbProcedure="false">#REF!+"y1mlwog"+""+41+41+440+0+0+0+0+4+3+"-"+"+"+2.6+50+2</definedName>
    <definedName function="false" hidden="false" localSheetId="2" name="ZF101" vbProcedure="false">#REF!+"y2mlwog"+""+41+41+440+0+0+0+0+4+3+"-"+"+"+2.6+50+2</definedName>
    <definedName function="false" hidden="false" localSheetId="2" name="ZF102" vbProcedure="false">#REF!+"y3mlwog"+""+41+41+440+0+0+0+0+4+3+"-"+"+"+2.6+50+2</definedName>
    <definedName function="false" hidden="false" localSheetId="2" name="ZF103" vbProcedure="false">#REF!+"y4mlwog"+""+41+41+440+0+0+0+0+4+3+"-"+"+"+2.6+50+2</definedName>
    <definedName function="false" hidden="false" localSheetId="2" name="ZF104" vbProcedure="false">#REF!+"y5mlwog"+""+41+41+440+0+0+0+0+4+3+"-"+"+"+2.6+50+2</definedName>
    <definedName function="false" hidden="false" localSheetId="2" name="ZF105" vbProcedure="false">#REF!+"y6mlwog"+""+41+41+440+0+0+0+0+4+3+"-"+"+"+2.6+50+2</definedName>
    <definedName function="false" hidden="false" localSheetId="2" name="ZF106" vbProcedure="false">#REF!+"y7mlwog"+""+41+41+440+0+0+0+0+4+3+"-"+"+"+2.6+50+2</definedName>
    <definedName function="false" hidden="false" localSheetId="2" name="ZF107" vbProcedure="false">#REF!+"y8mlwog"+""+41+41+440+0+0+0+0+4+3+"-"+"+"+2.6+50+2</definedName>
    <definedName function="false" hidden="false" localSheetId="2" name="ZF108" vbProcedure="false">#REF!+"y9mlwog"+""+41+41+440+0+0+0+0+4+3+"-"+"+"+2.6+50+2</definedName>
    <definedName function="false" hidden="false" localSheetId="2" name="ZF109" vbProcedure="false">#REF!+"y10mlwog"+""+41+41+440+0+0+0+0+4+3+"-"+"+"+2.6+50+2</definedName>
    <definedName function="false" hidden="false" localSheetId="2" name="ZF110" vbProcedure="false">#REF!+"y11mlwog"+""+41+41+440+0+0+0+0+4+3+"-"+"+"+2.6+50+2</definedName>
    <definedName function="false" hidden="false" localSheetId="2" name="ZF111" vbProcedure="false">#REF!+"y1mlwg"+""+41+41+440+0+0+0+0+4+3+"-"+"+"+2.6+50+2</definedName>
    <definedName function="false" hidden="false" localSheetId="2" name="ZF112" vbProcedure="false">#REF!+"y2mlwg"+""+41+41+440+0+0+0+0+4+3+"-"+"+"+2.6+50+2</definedName>
    <definedName function="false" hidden="false" localSheetId="2" name="ZF113" vbProcedure="false">#REF!+"y3mlwg"+""+41+41+440+0+0+0+0+4+3+"-"+"+"+2.6+50+2</definedName>
    <definedName function="false" hidden="false" localSheetId="2" name="ZF114" vbProcedure="false">#REF!+"y4mlwg"+""+41+41+440+0+0+0+0+4+3+"-"+"+"+2.6+50+2</definedName>
    <definedName function="false" hidden="false" localSheetId="2" name="ZF115" vbProcedure="false">#REF!+"y5mlwg"+""+41+41+440+0+0+0+0+4+3+"-"+"+"+2.6+50+2</definedName>
    <definedName function="false" hidden="false" localSheetId="2" name="ZF116" vbProcedure="false">#REF!+"y6mlwg"+""+41+41+440+0+0+0+0+4+3+"-"+"+"+2.6+50+2</definedName>
    <definedName function="false" hidden="false" localSheetId="2" name="ZF117" vbProcedure="false">#REF!+"y7mlwg"+""+41+41+440+0+0+0+0+4+3+"-"+"+"+2.6+50+2</definedName>
    <definedName function="false" hidden="false" localSheetId="2" name="ZF118" vbProcedure="false">#REF!+"y8mlwg"+""+41+41+440+0+0+0+0+4+3+"-"+"+"+2.6+50+2</definedName>
    <definedName function="false" hidden="false" localSheetId="2" name="ZF119" vbProcedure="false">#REF!+"y9mlwg"+""+41+41+440+0+0+0+0+4+3+"-"+"+"+2.6+50+2</definedName>
    <definedName function="false" hidden="false" localSheetId="2" name="ZF120" vbProcedure="false">#REF!+"y10mlwg"+""+41+41+440+0+0+0+0+4+3+"-"+"+"+2.6+50+2</definedName>
    <definedName function="false" hidden="false" localSheetId="2" name="ZF121" vbProcedure="false">#REF!+"y11mlwg"+""+41+41+440+0+0+0+0+4+3+"-"+"+"+2.6+50+2</definedName>
    <definedName function="false" hidden="false" localSheetId="2" name="ZF122" vbProcedure="false">#REF!+"y1gallup"+""+41+41+440+0+0+0+0+4+3+"-"+"+"+2.6+50+2</definedName>
    <definedName function="false" hidden="false" localSheetId="2" name="ZF123" vbProcedure="false">#REF!+"y2gallup"+""+41+41+440+0+0+0+0+4+3+"-"+"+"+2.6+50+2</definedName>
    <definedName function="false" hidden="false" localSheetId="2" name="ZF124" vbProcedure="false">#REF!+"y3gallup"+""+41+41+440+0+0+0+0+4+3+"-"+"+"+2.6+50+2</definedName>
    <definedName function="false" hidden="false" localSheetId="2" name="ZF125" vbProcedure="false">#REF!+"y4gallup"+""+41+41+440+0+0+0+0+4+3+"-"+"+"+2.6+50+2</definedName>
    <definedName function="false" hidden="false" localSheetId="2" name="ZF126" vbProcedure="false">#REF!+"y5gallup"+""+41+41+440+0+0+0+0+4+3+"-"+"+"+2.6+50+2</definedName>
    <definedName function="false" hidden="false" localSheetId="2" name="ZF127" vbProcedure="false">#REF!+"y1sjwg"+""+41+41+440+0+0+0+0+4+3+"-"+"+"+2.6+50+2</definedName>
    <definedName function="false" hidden="false" localSheetId="2" name="ZF128" vbProcedure="false">#REF!+"y2sjwg"+""+41+41+440+0+0+0+0+4+3+"-"+"+"+2.6+50+2</definedName>
    <definedName function="false" hidden="false" localSheetId="2" name="ZF129" vbProcedure="false">#REF!+"y3sjwg"+""+41+41+440+0+0+0+0+4+3+"-"+"+"+2.6+50+2</definedName>
    <definedName function="false" hidden="false" localSheetId="2" name="ZF130" vbProcedure="false">#REF!+"y4wjsg"+""+41+41+440+0+0+0+0+4+3+"-"+"+"+2.6+50+2</definedName>
    <definedName function="false" hidden="false" localSheetId="2" name="ZF131" vbProcedure="false">#REF!+"y5sjwg"+""+41+41+440+0+0+0+0+4+3+"-"+"+"+2.6+50+2</definedName>
    <definedName function="false" hidden="false" localSheetId="2" name="ZF132" vbProcedure="false">#REF!+"y6sjwg"+""+41+41+440+0+0+0+0+4+3+"-"+"+"+2.6+50+2</definedName>
    <definedName function="false" hidden="false" localSheetId="2" name="ZF133" vbProcedure="false">#REF!+"y7sjwg"+""+41+41+440+0+0+0+0+4+3+"-"+"+"+2.6+50+2</definedName>
    <definedName function="false" hidden="false" localSheetId="2" name="ZF134" vbProcedure="false">#REF!+"y8sjwg"+""+41+41+440+0+0+0+0+4+3+"-"+"+"+2.6+50+2</definedName>
    <definedName function="false" hidden="false" localSheetId="2" name="ZF135" vbProcedure="false">#REF!+"y9sjwg"+""+41+41+440+0+0+0+0+4+3+"-"+"+"+2.6+50+2</definedName>
    <definedName function="false" hidden="false" localSheetId="2" name="ZF136" vbProcedure="false">#REF!+"y10sjwg"+""+41+41+440+0+0+0+0+4+3+"-"+"+"+2.6+50+2</definedName>
    <definedName function="false" hidden="false" localSheetId="2" name="ZF137" vbProcedure="false">#REF!+"y11sjwg"+""+41+41+440+0+0+0+0+4+3+"-"+"+"+2.6+50+2</definedName>
    <definedName function="false" hidden="false" localSheetId="2" name="ZF138" vbProcedure="false">#REF!+"y1sjwog"+""+41+41+440+0+0+0+0+4+3+"-"+"+"+2.6+50+2</definedName>
    <definedName function="false" hidden="false" localSheetId="2" name="ZF139" vbProcedure="false">#REF!+"y2sjwog"+""+41+41+440+0+0+0+0+4+3+"-"+"+"+2.6+50+2</definedName>
    <definedName function="false" hidden="false" localSheetId="2" name="ZF140" vbProcedure="false">#REF!+"y3sjwog"+""+41+41+440+0+0+0+0+4+3+"-"+"+"+2.6+50+2</definedName>
    <definedName function="false" hidden="false" localSheetId="2" name="ZF141" vbProcedure="false">#REF!+"y4sjwog"+""+41+41+440+0+0+0+0+4+3+"-"+"+"+2.6+50+2</definedName>
    <definedName function="false" hidden="false" localSheetId="2" name="ZF142" vbProcedure="false">#REF!+"y5sjwog"+""+41+41+440+0+0+0+0+4+3+"-"+"+"+2.6+50+2</definedName>
    <definedName function="false" hidden="false" localSheetId="2" name="ZF143" vbProcedure="false">#REF!+"y6sjwog"+""+41+41+440+0+0+0+0+4+3+"-"+"+"+2.6+50+2</definedName>
    <definedName function="false" hidden="false" localSheetId="2" name="ZF144" vbProcedure="false">#REF!+"y7sjwog"+""+41+41+440+0+0+0+0+4+3+"-"+"+"+2.6+50+2</definedName>
    <definedName function="false" hidden="false" localSheetId="2" name="ZF145" vbProcedure="false">#REF!+"y8sjwog"+""+41+41+440+0+0+0+0+4+3+"-"+"+"+2.6+50+2</definedName>
    <definedName function="false" hidden="false" localSheetId="2" name="ZF146" vbProcedure="false">#REF!+"y9sjwog"+""+41+41+440+0+0+0+0+4+3+"-"+"+"+2.6+50+2</definedName>
    <definedName function="false" hidden="false" localSheetId="2" name="ZF147" vbProcedure="false">#REF!+"y10sjwog"+""+41+41+440+0+0+0+0+4+3+"-"+"+"+2.6+50+2</definedName>
    <definedName function="false" hidden="false" localSheetId="2" name="ZF148" vbProcedure="false">#REF!+"y11sjwog"+""+41+41+440+0+0+0+0+4+3+"-"+"+"+2.6+50+2</definedName>
    <definedName function="false" hidden="false" localSheetId="2" name="ZF149" vbProcedure="false">#REF!+"y6gallup"+""+41+41+440+0+0+0+0+4+3+"-"+"+"+2.6+50+2</definedName>
    <definedName function="false" hidden="false" localSheetId="2" name="ZF150" vbProcedure="false">#REF!+"y7gallup"+""+41+41+440+0+0+0+0+4+3+"-"+"+"+2.6+50+2</definedName>
    <definedName function="false" hidden="false" localSheetId="2" name="ZF151" vbProcedure="false">#REF!+"y8gallup"+""+41+41+440+0+0+0+0+4+3+"-"+"+"+2.6+50+2</definedName>
    <definedName function="false" hidden="false" localSheetId="2" name="ZF152" vbProcedure="false">#REF!+"y9gallup"+""+41+41+440+0+0+0+0+4+3+"-"+"+"+2.6+50+2</definedName>
    <definedName function="false" hidden="false" localSheetId="2" name="ZF153" vbProcedure="false">#REF!+"y10gallup"+""+41+41+440+0+0+0+0+4+3+"-"+"+"+2.6+50+2</definedName>
    <definedName function="false" hidden="false" localSheetId="3" name="ZA0" vbProcedure="false">"Crystal Ball Data : Ver. 4.0.3"</definedName>
    <definedName function="false" hidden="false" localSheetId="3" name="ZA0A" vbProcedure="false">3+105</definedName>
    <definedName function="false" hidden="false" localSheetId="3" name="ZA0C" vbProcedure="false">0+0</definedName>
    <definedName function="false" hidden="false" localSheetId="3" name="ZA0D" vbProcedure="false">0+0</definedName>
    <definedName function="false" hidden="false" localSheetId="3" name="ZA0F" vbProcedure="false">54+153</definedName>
    <definedName function="false" hidden="false" localSheetId="3" name="ZA0T" vbProcedure="false">37731177+0</definedName>
    <definedName function="false" hidden="false" localSheetId="3" name="ZA103" vbProcedure="false">#REF!+"bD43"+17449+0.11+0.13+0.15</definedName>
    <definedName function="false" hidden="false" localSheetId="3" name="ZA104" vbProcedure="false">#REF!+"bD46"+17449+0.08+0.1+0.12</definedName>
    <definedName function="false" hidden="false" localSheetId="3" name="ZA105" vbProcedure="false">#REF!+"fD64"+17449+0.0579+"?"+0.0979</definedName>
    <definedName function="false" hidden="false" localSheetId="3" name="ZF100" vbProcedure="false">#REF!+"y1mlwog"+""+41+41+440+0+0+0+0+4+3+"-"+"+"+2.6+50+2</definedName>
    <definedName function="false" hidden="false" localSheetId="3" name="ZF101" vbProcedure="false">#REF!+"y2mlwog"+""+41+41+440+0+0+0+0+4+3+"-"+"+"+2.6+50+2</definedName>
    <definedName function="false" hidden="false" localSheetId="3" name="ZF102" vbProcedure="false">#REF!+"y3mlwog"+""+41+41+440+0+0+0+0+4+3+"-"+"+"+2.6+50+2</definedName>
    <definedName function="false" hidden="false" localSheetId="3" name="ZF103" vbProcedure="false">#REF!+"y4mlwog"+""+41+41+440+0+0+0+0+4+3+"-"+"+"+2.6+50+2</definedName>
    <definedName function="false" hidden="false" localSheetId="3" name="ZF104" vbProcedure="false">#REF!+"y5mlwog"+""+41+41+440+0+0+0+0+4+3+"-"+"+"+2.6+50+2</definedName>
    <definedName function="false" hidden="false" localSheetId="3" name="ZF105" vbProcedure="false">#REF!+"y6mlwog"+""+41+41+440+0+0+0+0+4+3+"-"+"+"+2.6+50+2</definedName>
    <definedName function="false" hidden="false" localSheetId="3" name="ZF106" vbProcedure="false">#REF!+"y7mlwog"+""+41+41+440+0+0+0+0+4+3+"-"+"+"+2.6+50+2</definedName>
    <definedName function="false" hidden="false" localSheetId="3" name="ZF107" vbProcedure="false">#REF!+"y8mlwog"+""+41+41+440+0+0+0+0+4+3+"-"+"+"+2.6+50+2</definedName>
    <definedName function="false" hidden="false" localSheetId="3" name="ZF108" vbProcedure="false">#REF!+"y9mlwog"+""+41+41+440+0+0+0+0+4+3+"-"+"+"+2.6+50+2</definedName>
    <definedName function="false" hidden="false" localSheetId="3" name="ZF109" vbProcedure="false">#REF!+"y10mlwog"+""+41+41+440+0+0+0+0+4+3+"-"+"+"+2.6+50+2</definedName>
    <definedName function="false" hidden="false" localSheetId="3" name="ZF110" vbProcedure="false">#REF!+"y11mlwog"+""+41+41+440+0+0+0+0+4+3+"-"+"+"+2.6+50+2</definedName>
    <definedName function="false" hidden="false" localSheetId="3" name="ZF111" vbProcedure="false">#REF!+"y1mlwg"+""+41+41+440+0+0+0+0+4+3+"-"+"+"+2.6+50+2</definedName>
    <definedName function="false" hidden="false" localSheetId="3" name="ZF112" vbProcedure="false">#REF!+"y2mlwg"+""+41+41+440+0+0+0+0+4+3+"-"+"+"+2.6+50+2</definedName>
    <definedName function="false" hidden="false" localSheetId="3" name="ZF113" vbProcedure="false">#REF!+"y3mlwg"+""+41+41+440+0+0+0+0+4+3+"-"+"+"+2.6+50+2</definedName>
    <definedName function="false" hidden="false" localSheetId="3" name="ZF114" vbProcedure="false">#REF!+"y4mlwg"+""+41+41+440+0+0+0+0+4+3+"-"+"+"+2.6+50+2</definedName>
    <definedName function="false" hidden="false" localSheetId="3" name="ZF115" vbProcedure="false">#REF!+"y5mlwg"+""+41+41+440+0+0+0+0+4+3+"-"+"+"+2.6+50+2</definedName>
    <definedName function="false" hidden="false" localSheetId="3" name="ZF116" vbProcedure="false">#REF!+"y6mlwg"+""+41+41+440+0+0+0+0+4+3+"-"+"+"+2.6+50+2</definedName>
    <definedName function="false" hidden="false" localSheetId="3" name="ZF117" vbProcedure="false">#REF!+"y7mlwg"+""+41+41+440+0+0+0+0+4+3+"-"+"+"+2.6+50+2</definedName>
    <definedName function="false" hidden="false" localSheetId="3" name="ZF118" vbProcedure="false">#REF!+"y8mlwg"+""+41+41+440+0+0+0+0+4+3+"-"+"+"+2.6+50+2</definedName>
    <definedName function="false" hidden="false" localSheetId="3" name="ZF119" vbProcedure="false">#REF!+"y9mlwg"+""+41+41+440+0+0+0+0+4+3+"-"+"+"+2.6+50+2</definedName>
    <definedName function="false" hidden="false" localSheetId="3" name="ZF120" vbProcedure="false">#REF!+"y10mlwg"+""+41+41+440+0+0+0+0+4+3+"-"+"+"+2.6+50+2</definedName>
    <definedName function="false" hidden="false" localSheetId="3" name="ZF121" vbProcedure="false">#REF!+"y11mlwg"+""+41+41+440+0+0+0+0+4+3+"-"+"+"+2.6+50+2</definedName>
    <definedName function="false" hidden="false" localSheetId="3" name="ZF122" vbProcedure="false">#REF!+"y1gallup"+""+41+41+440+0+0+0+0+4+3+"-"+"+"+2.6+50+2</definedName>
    <definedName function="false" hidden="false" localSheetId="3" name="ZF123" vbProcedure="false">#REF!+"y2gallup"+""+41+41+440+0+0+0+0+4+3+"-"+"+"+2.6+50+2</definedName>
    <definedName function="false" hidden="false" localSheetId="3" name="ZF124" vbProcedure="false">#REF!+"y3gallup"+""+41+41+440+0+0+0+0+4+3+"-"+"+"+2.6+50+2</definedName>
    <definedName function="false" hidden="false" localSheetId="3" name="ZF125" vbProcedure="false">#REF!+"y4gallup"+""+41+41+440+0+0+0+0+4+3+"-"+"+"+2.6+50+2</definedName>
    <definedName function="false" hidden="false" localSheetId="3" name="ZF126" vbProcedure="false">#REF!+"y5gallup"+""+41+41+440+0+0+0+0+4+3+"-"+"+"+2.6+50+2</definedName>
    <definedName function="false" hidden="false" localSheetId="3" name="ZF127" vbProcedure="false">#REF!+"y1sjwg"+""+41+41+440+0+0+0+0+4+3+"-"+"+"+2.6+50+2</definedName>
    <definedName function="false" hidden="false" localSheetId="3" name="ZF128" vbProcedure="false">#REF!+"y2sjwg"+""+41+41+440+0+0+0+0+4+3+"-"+"+"+2.6+50+2</definedName>
    <definedName function="false" hidden="false" localSheetId="3" name="ZF129" vbProcedure="false">#REF!+"y3sjwg"+""+41+41+440+0+0+0+0+4+3+"-"+"+"+2.6+50+2</definedName>
    <definedName function="false" hidden="false" localSheetId="3" name="ZF130" vbProcedure="false">#REF!+"y4wjsg"+""+41+41+440+0+0+0+0+4+3+"-"+"+"+2.6+50+2</definedName>
    <definedName function="false" hidden="false" localSheetId="3" name="ZF131" vbProcedure="false">#REF!+"y5sjwg"+""+41+41+440+0+0+0+0+4+3+"-"+"+"+2.6+50+2</definedName>
    <definedName function="false" hidden="false" localSheetId="3" name="ZF132" vbProcedure="false">#REF!+"y6sjwg"+""+41+41+440+0+0+0+0+4+3+"-"+"+"+2.6+50+2</definedName>
    <definedName function="false" hidden="false" localSheetId="3" name="ZF133" vbProcedure="false">#REF!+"y7sjwg"+""+41+41+440+0+0+0+0+4+3+"-"+"+"+2.6+50+2</definedName>
    <definedName function="false" hidden="false" localSheetId="3" name="ZF134" vbProcedure="false">#REF!+"y8sjwg"+""+41+41+440+0+0+0+0+4+3+"-"+"+"+2.6+50+2</definedName>
    <definedName function="false" hidden="false" localSheetId="3" name="ZF135" vbProcedure="false">#REF!+"y9sjwg"+""+41+41+440+0+0+0+0+4+3+"-"+"+"+2.6+50+2</definedName>
    <definedName function="false" hidden="false" localSheetId="3" name="ZF136" vbProcedure="false">#REF!+"y10sjwg"+""+41+41+440+0+0+0+0+4+3+"-"+"+"+2.6+50+2</definedName>
    <definedName function="false" hidden="false" localSheetId="3" name="ZF137" vbProcedure="false">#REF!+"y11sjwg"+""+41+41+440+0+0+0+0+4+3+"-"+"+"+2.6+50+2</definedName>
    <definedName function="false" hidden="false" localSheetId="3" name="ZF138" vbProcedure="false">#REF!+"y1sjwog"+""+41+41+440+0+0+0+0+4+3+"-"+"+"+2.6+50+2</definedName>
    <definedName function="false" hidden="false" localSheetId="3" name="ZF139" vbProcedure="false">#REF!+"y2sjwog"+""+41+41+440+0+0+0+0+4+3+"-"+"+"+2.6+50+2</definedName>
    <definedName function="false" hidden="false" localSheetId="3" name="ZF140" vbProcedure="false">#REF!+"y3sjwog"+""+41+41+440+0+0+0+0+4+3+"-"+"+"+2.6+50+2</definedName>
    <definedName function="false" hidden="false" localSheetId="3" name="ZF141" vbProcedure="false">#REF!+"y4sjwog"+""+41+41+440+0+0+0+0+4+3+"-"+"+"+2.6+50+2</definedName>
    <definedName function="false" hidden="false" localSheetId="3" name="ZF142" vbProcedure="false">#REF!+"y5sjwog"+""+41+41+440+0+0+0+0+4+3+"-"+"+"+2.6+50+2</definedName>
    <definedName function="false" hidden="false" localSheetId="3" name="ZF143" vbProcedure="false">#REF!+"y6sjwog"+""+41+41+440+0+0+0+0+4+3+"-"+"+"+2.6+50+2</definedName>
    <definedName function="false" hidden="false" localSheetId="3" name="ZF144" vbProcedure="false">#REF!+"y7sjwog"+""+41+41+440+0+0+0+0+4+3+"-"+"+"+2.6+50+2</definedName>
    <definedName function="false" hidden="false" localSheetId="3" name="ZF145" vbProcedure="false">#REF!+"y8sjwog"+""+41+41+440+0+0+0+0+4+3+"-"+"+"+2.6+50+2</definedName>
    <definedName function="false" hidden="false" localSheetId="3" name="ZF146" vbProcedure="false">#REF!+"y9sjwog"+""+41+41+440+0+0+0+0+4+3+"-"+"+"+2.6+50+2</definedName>
    <definedName function="false" hidden="false" localSheetId="3" name="ZF147" vbProcedure="false">#REF!+"y10sjwog"+""+41+41+440+0+0+0+0+4+3+"-"+"+"+2.6+50+2</definedName>
    <definedName function="false" hidden="false" localSheetId="3" name="ZF148" vbProcedure="false">#REF!+"y11sjwog"+""+41+41+440+0+0+0+0+4+3+"-"+"+"+2.6+50+2</definedName>
    <definedName function="false" hidden="false" localSheetId="3" name="ZF149" vbProcedure="false">#REF!+"y6gallup"+""+41+41+440+0+0+0+0+4+3+"-"+"+"+2.6+50+2</definedName>
    <definedName function="false" hidden="false" localSheetId="3" name="ZF150" vbProcedure="false">#REF!+"y7gallup"+""+41+41+440+0+0+0+0+4+3+"-"+"+"+2.6+50+2</definedName>
    <definedName function="false" hidden="false" localSheetId="3" name="ZF151" vbProcedure="false">#REF!+"y8gallup"+""+41+41+440+0+0+0+0+4+3+"-"+"+"+2.6+50+2</definedName>
    <definedName function="false" hidden="false" localSheetId="3" name="ZF152" vbProcedure="false">#REF!+"y9gallup"+""+41+41+440+0+0+0+0+4+3+"-"+"+"+2.6+50+2</definedName>
    <definedName function="false" hidden="false" localSheetId="3" name="ZF153" vbProcedure="false">#REF!+"y10gallup"+""+41+41+440+0+0+0+0+4+3+"-"+"+"+2.6+50+2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<sst xmlns="http://schemas.openxmlformats.org/spreadsheetml/2006/main" count="1298" uniqueCount="141">
  <si>
    <t xml:space="preserve">11/1/99 -10/31/00</t>
  </si>
  <si>
    <t xml:space="preserve">11/1/00 -10/31/01</t>
  </si>
  <si>
    <t xml:space="preserve">11/1/01 -10/31/02</t>
  </si>
  <si>
    <t xml:space="preserve">11/1/02 -10/31/03</t>
  </si>
  <si>
    <t xml:space="preserve">11/1/03 -10/31/04</t>
  </si>
  <si>
    <t xml:space="preserve">11/1/04 -10/31/05</t>
  </si>
  <si>
    <t xml:space="preserve">11/1/05 -10/31/06</t>
  </si>
  <si>
    <t xml:space="preserve">11/1/06 -10/31/07</t>
  </si>
  <si>
    <t xml:space="preserve">11/1/07 -10/31/08</t>
  </si>
  <si>
    <t xml:space="preserve">SJ DEMAND RATE</t>
  </si>
  <si>
    <t xml:space="preserve">EOT/EOT DEMAND RATE</t>
  </si>
  <si>
    <t xml:space="preserve">WOT/WOT DEMAND RATE</t>
  </si>
  <si>
    <t xml:space="preserve">WOT/ECAL DEMAND RATE</t>
  </si>
  <si>
    <t xml:space="preserve">San Juan Lateral</t>
  </si>
  <si>
    <t xml:space="preserve">Actual</t>
  </si>
  <si>
    <t xml:space="preserve">Start</t>
  </si>
  <si>
    <t xml:space="preserve">Termination</t>
  </si>
  <si>
    <t xml:space="preserve">Contract Days</t>
  </si>
  <si>
    <t xml:space="preserve">Total</t>
  </si>
  <si>
    <t xml:space="preserve">Annual Volumes</t>
  </si>
  <si>
    <t xml:space="preserve">Annual Revenues</t>
  </si>
  <si>
    <t xml:space="preserve">Path</t>
  </si>
  <si>
    <t xml:space="preserve">Shipper</t>
  </si>
  <si>
    <t xml:space="preserve">Contract #</t>
  </si>
  <si>
    <t xml:space="preserve">SJ</t>
  </si>
  <si>
    <t xml:space="preserve">Demand $</t>
  </si>
  <si>
    <t xml:space="preserve">Date</t>
  </si>
  <si>
    <t xml:space="preserve">Days</t>
  </si>
  <si>
    <t xml:space="preserve">EOT to EOT</t>
  </si>
  <si>
    <t xml:space="preserve">Agave</t>
  </si>
  <si>
    <t xml:space="preserve">     26490***</t>
  </si>
  <si>
    <t xml:space="preserve">Astra Power</t>
  </si>
  <si>
    <t xml:space="preserve">Bass Enterprises</t>
  </si>
  <si>
    <t xml:space="preserve">Burlington</t>
  </si>
  <si>
    <t xml:space="preserve">Duke</t>
  </si>
  <si>
    <t xml:space="preserve">Duke Energy</t>
  </si>
  <si>
    <t xml:space="preserve">E.New Mexico</t>
  </si>
  <si>
    <t xml:space="preserve">ML East</t>
  </si>
  <si>
    <t xml:space="preserve">ECT</t>
  </si>
  <si>
    <t xml:space="preserve">Emerald Gas</t>
  </si>
  <si>
    <t xml:space="preserve">KN Processing</t>
  </si>
  <si>
    <t xml:space="preserve">New Mexico</t>
  </si>
  <si>
    <t xml:space="preserve">PNM (*Season)</t>
  </si>
  <si>
    <t xml:space="preserve">ML Exp. East</t>
  </si>
  <si>
    <t xml:space="preserve">Richardson</t>
  </si>
  <si>
    <t xml:space="preserve">24198*SC</t>
  </si>
  <si>
    <t xml:space="preserve">USGT</t>
  </si>
  <si>
    <t xml:space="preserve">Valero</t>
  </si>
  <si>
    <t xml:space="preserve">W. TX Gas</t>
  </si>
  <si>
    <t xml:space="preserve">EOT to WOT</t>
  </si>
  <si>
    <t xml:space="preserve">APS</t>
  </si>
  <si>
    <t xml:space="preserve">Arizona Pub Ser</t>
  </si>
  <si>
    <t xml:space="preserve">KN Marketing</t>
  </si>
  <si>
    <t xml:space="preserve">Mercado</t>
  </si>
  <si>
    <t xml:space="preserve">North Star Steel</t>
  </si>
  <si>
    <t xml:space="preserve">OneOk</t>
  </si>
  <si>
    <t xml:space="preserve">PG&amp;E Trading</t>
  </si>
  <si>
    <t xml:space="preserve">Reliant </t>
  </si>
  <si>
    <t xml:space="preserve">Sempra</t>
  </si>
  <si>
    <t xml:space="preserve">SoCal*</t>
  </si>
  <si>
    <t xml:space="preserve">CFS Rate</t>
  </si>
  <si>
    <t xml:space="preserve">SWG</t>
  </si>
  <si>
    <t xml:space="preserve">UP Fuels</t>
  </si>
  <si>
    <t xml:space="preserve">Ignacios to Blanco</t>
  </si>
  <si>
    <t xml:space="preserve">BP Energy</t>
  </si>
  <si>
    <t xml:space="preserve">BP Energy (Amoco)</t>
  </si>
  <si>
    <t xml:space="preserve">Phillips</t>
  </si>
  <si>
    <t xml:space="preserve">PNM</t>
  </si>
  <si>
    <t xml:space="preserve">Red Cedar</t>
  </si>
  <si>
    <t xml:space="preserve">Sempra Energy</t>
  </si>
  <si>
    <t xml:space="preserve">SoCal/Pan Alberta</t>
  </si>
  <si>
    <t xml:space="preserve">Southern Ute</t>
  </si>
  <si>
    <t xml:space="preserve">Texaco Natural</t>
  </si>
  <si>
    <t xml:space="preserve">Williams</t>
  </si>
  <si>
    <t xml:space="preserve">Amoco (BP Energy)</t>
  </si>
  <si>
    <t xml:space="preserve">Bayless (expired)</t>
  </si>
  <si>
    <t xml:space="preserve">Burlington (expired)</t>
  </si>
  <si>
    <t xml:space="preserve">Calpine</t>
  </si>
  <si>
    <t xml:space="preserve">Citizens Util</t>
  </si>
  <si>
    <t xml:space="preserve">Conoco</t>
  </si>
  <si>
    <t xml:space="preserve">Conoco*</t>
  </si>
  <si>
    <t xml:space="preserve">Duke(PG&amp;E Release)</t>
  </si>
  <si>
    <t xml:space="preserve">Dynergy</t>
  </si>
  <si>
    <t xml:space="preserve">Emerald</t>
  </si>
  <si>
    <t xml:space="preserve">Engage</t>
  </si>
  <si>
    <t xml:space="preserve">EP Energy</t>
  </si>
  <si>
    <t xml:space="preserve">EP Energy (PG&amp;E Release)</t>
  </si>
  <si>
    <t xml:space="preserve">Mavrix</t>
  </si>
  <si>
    <t xml:space="preserve">Navajo</t>
  </si>
  <si>
    <t xml:space="preserve">Pacific G&amp;E</t>
  </si>
  <si>
    <t xml:space="preserve">Pacific G&amp;E (Released)</t>
  </si>
  <si>
    <t xml:space="preserve">Reliant Energy</t>
  </si>
  <si>
    <t xml:space="preserve">Santa Fe/Texaco*</t>
  </si>
  <si>
    <t xml:space="preserve">SMUD</t>
  </si>
  <si>
    <t xml:space="preserve">SoCal</t>
  </si>
  <si>
    <t xml:space="preserve">Southern</t>
  </si>
  <si>
    <t xml:space="preserve">TXU</t>
  </si>
  <si>
    <t xml:space="preserve">Thoreau to WOT</t>
  </si>
  <si>
    <t xml:space="preserve">Amoco BP Energy</t>
  </si>
  <si>
    <t xml:space="preserve">Bayless</t>
  </si>
  <si>
    <t xml:space="preserve">Citizens Util*</t>
  </si>
  <si>
    <t xml:space="preserve">Misc. Contracts</t>
  </si>
  <si>
    <t xml:space="preserve">Pacific G&amp;E*</t>
  </si>
  <si>
    <t xml:space="preserve">Pacific G&amp;E* (Released)</t>
  </si>
  <si>
    <t xml:space="preserve">Daily Subscribed Volumes</t>
  </si>
  <si>
    <t xml:space="preserve">Subscribed Volumes</t>
  </si>
  <si>
    <t xml:space="preserve">Resubscription %</t>
  </si>
  <si>
    <t xml:space="preserve">Unsubscribed  Volumes</t>
  </si>
  <si>
    <t xml:space="preserve">Unsubscribed Volumes</t>
  </si>
  <si>
    <t xml:space="preserve">EOT</t>
  </si>
  <si>
    <t xml:space="preserve">WOT</t>
  </si>
  <si>
    <t xml:space="preserve">IG</t>
  </si>
  <si>
    <t xml:space="preserve">EOT TO EOT</t>
  </si>
  <si>
    <t xml:space="preserve">EOT TO WOT</t>
  </si>
  <si>
    <t xml:space="preserve">T TO WOT</t>
  </si>
  <si>
    <t xml:space="preserve">SJ TO EOT</t>
  </si>
  <si>
    <t xml:space="preserve">IG TO EOT</t>
  </si>
  <si>
    <t xml:space="preserve">San Juan</t>
  </si>
  <si>
    <t xml:space="preserve">SJ TO WOT</t>
  </si>
  <si>
    <t xml:space="preserve">IG TO Blanco</t>
  </si>
  <si>
    <t xml:space="preserve">IG To WOT</t>
  </si>
  <si>
    <t xml:space="preserve">Volume</t>
  </si>
  <si>
    <t xml:space="preserve">Rate Type</t>
  </si>
  <si>
    <t xml:space="preserve">Demand</t>
  </si>
  <si>
    <t xml:space="preserve">Comodity</t>
  </si>
  <si>
    <t xml:space="preserve">Rate</t>
  </si>
  <si>
    <t xml:space="preserve">Begin</t>
  </si>
  <si>
    <t xml:space="preserve">1-part</t>
  </si>
  <si>
    <t xml:space="preserve">Max rate</t>
  </si>
  <si>
    <t xml:space="preserve">2-part</t>
  </si>
  <si>
    <t xml:space="preserve">Vol-1-Part</t>
  </si>
  <si>
    <t xml:space="preserve">Sp Calc -1-part</t>
  </si>
  <si>
    <t xml:space="preserve">I to I Index</t>
  </si>
  <si>
    <t xml:space="preserve">CFS rate</t>
  </si>
  <si>
    <t xml:space="preserve">Volumetric</t>
  </si>
  <si>
    <t xml:space="preserve">Total Revenue for EOT</t>
  </si>
  <si>
    <t xml:space="preserve">Total Revenue for IG</t>
  </si>
  <si>
    <t xml:space="preserve">Sp Calc</t>
  </si>
  <si>
    <t xml:space="preserve">Sp Calc -alt</t>
  </si>
  <si>
    <t xml:space="preserve">Total Revenue for SJ</t>
  </si>
  <si>
    <t xml:space="preserve">Total Revenue for WOT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</si>
</sst>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"/>
    <numFmt numFmtId="168" formatCode="0.0000"/>
    <numFmt numFmtId="169" formatCode="#,##0"/>
    <numFmt numFmtId="170" formatCode="[$-409]m/d/yyyy"/>
    <numFmt numFmtId="171" formatCode="_(* #,##0.00_);_(* \(#,##0.00\);_(* \-??_);_(@_)"/>
    <numFmt numFmtId="172" formatCode="_(* #,##0_);_(* \(#,##0\);_(* \-??_);_(@_)"/>
    <numFmt numFmtId="173" formatCode="_(\$* #,##0_);_(\$* \(#,##0\);_(\$* \-??_);_(@_)"/>
    <numFmt numFmtId="174" formatCode="mm/dd/yy"/>
    <numFmt numFmtId="175" formatCode="0%"/>
    <numFmt numFmtId="176" formatCode="_(* #,##0.0000_);_(* \(#,##0.0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3" min="3" style="0" width="9.7"/>
    <col collapsed="false" customWidth="true" hidden="false" outlineLevel="0" max="10" min="4" style="0" width="8.7"/>
  </cols>
  <sheetData>
    <row r="3" customFormat="false" ht="25.5" hidden="false" customHeight="false" outlineLevel="0" collapsed="false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</row>
    <row r="4" customFormat="false" ht="12.75" hidden="false" customHeight="false" outlineLevel="0" collapsed="false">
      <c r="C4" s="1"/>
      <c r="D4" s="1"/>
      <c r="E4" s="1"/>
      <c r="F4" s="1"/>
      <c r="G4" s="1"/>
      <c r="H4" s="1"/>
      <c r="I4" s="1"/>
      <c r="J4" s="1"/>
      <c r="K4" s="1"/>
    </row>
    <row r="5" customFormat="false" ht="12.75" hidden="false" customHeight="false" outlineLevel="0" collapsed="false">
      <c r="A5" s="0" t="s">
        <v>9</v>
      </c>
      <c r="C5" s="2" t="n">
        <v>0.1031</v>
      </c>
      <c r="D5" s="2" t="n">
        <v>0.1052</v>
      </c>
      <c r="E5" s="2" t="n">
        <v>0.1074</v>
      </c>
      <c r="F5" s="2" t="n">
        <v>0.1096</v>
      </c>
      <c r="G5" s="2" t="n">
        <v>0.1118</v>
      </c>
      <c r="H5" s="2" t="n">
        <v>0.1141</v>
      </c>
      <c r="I5" s="2" t="n">
        <v>0.1164</v>
      </c>
      <c r="J5" s="2" t="n">
        <v>0.1188</v>
      </c>
      <c r="K5" s="2" t="n">
        <v>0.1212</v>
      </c>
    </row>
    <row r="6" customFormat="false" ht="12.75" hidden="false" customHeight="false" outlineLevel="0" collapsed="false">
      <c r="A6" s="0" t="s">
        <v>10</v>
      </c>
      <c r="C6" s="2" t="n">
        <v>0.1031</v>
      </c>
      <c r="D6" s="2" t="n">
        <v>0.1052</v>
      </c>
      <c r="E6" s="2" t="n">
        <v>0.1074</v>
      </c>
      <c r="F6" s="2" t="n">
        <v>0.1096</v>
      </c>
      <c r="G6" s="2" t="n">
        <v>0.1118</v>
      </c>
      <c r="H6" s="2" t="n">
        <v>0.1141</v>
      </c>
      <c r="I6" s="2" t="n">
        <v>0.1164</v>
      </c>
      <c r="J6" s="2" t="n">
        <v>0.1188</v>
      </c>
      <c r="K6" s="2" t="n">
        <v>0.1212</v>
      </c>
    </row>
    <row r="7" customFormat="false" ht="12.75" hidden="false" customHeight="false" outlineLevel="0" collapsed="false">
      <c r="A7" s="0" t="s">
        <v>11</v>
      </c>
      <c r="C7" s="2" t="n">
        <v>0.2553</v>
      </c>
      <c r="D7" s="2" t="n">
        <v>0.2639</v>
      </c>
      <c r="E7" s="2" t="n">
        <f aca="false">+D7*1.02</f>
        <v>0.269178</v>
      </c>
      <c r="F7" s="2" t="n">
        <f aca="false">+E7*1.02</f>
        <v>0.27456156</v>
      </c>
      <c r="G7" s="2" t="n">
        <f aca="false">+F7*1.02</f>
        <v>0.2800527912</v>
      </c>
      <c r="H7" s="2" t="n">
        <f aca="false">+G7*1.02</f>
        <v>0.285653847024</v>
      </c>
      <c r="I7" s="2" t="n">
        <f aca="false">+H7*1.02</f>
        <v>0.29136692396448</v>
      </c>
      <c r="J7" s="2" t="n">
        <f aca="false">+I7*1.02</f>
        <v>0.29719426244377</v>
      </c>
      <c r="K7" s="2" t="n">
        <f aca="false">+J7*1.02</f>
        <v>0.303138147692645</v>
      </c>
    </row>
    <row r="8" customFormat="false" ht="12.75" hidden="false" customHeight="false" outlineLevel="0" collapsed="false">
      <c r="A8" s="0" t="s">
        <v>12</v>
      </c>
      <c r="C8" s="2" t="n">
        <v>0.2274</v>
      </c>
      <c r="D8" s="2" t="n">
        <f aca="false">+C8*1.02</f>
        <v>0.231948</v>
      </c>
      <c r="E8" s="2" t="n">
        <f aca="false">+D8*1.02</f>
        <v>0.23658696</v>
      </c>
      <c r="F8" s="2" t="n">
        <f aca="false">+E8*1.02</f>
        <v>0.2413186992</v>
      </c>
      <c r="G8" s="2" t="n">
        <f aca="false">+F8*1.02</f>
        <v>0.246145073184</v>
      </c>
      <c r="H8" s="2" t="n">
        <f aca="false">+G8*1.02</f>
        <v>0.25106797464768</v>
      </c>
      <c r="I8" s="2" t="n">
        <f aca="false">+H8*1.02</f>
        <v>0.256089334140634</v>
      </c>
      <c r="J8" s="2" t="n">
        <f aca="false">+I8*1.02</f>
        <v>0.261211120823446</v>
      </c>
      <c r="K8" s="2" t="n">
        <f aca="false">+J8*1.02</f>
        <v>0.266435343239915</v>
      </c>
    </row>
    <row r="9" customFormat="false" ht="12.75" hidden="false" customHeight="false" outlineLevel="0" collapsed="false">
      <c r="C9" s="2"/>
      <c r="D9" s="2"/>
      <c r="E9" s="2"/>
      <c r="F9" s="2"/>
      <c r="G9" s="2"/>
      <c r="H9" s="2"/>
      <c r="I9" s="2"/>
      <c r="J9" s="2"/>
      <c r="K9" s="2"/>
    </row>
    <row r="10" customFormat="false" ht="12.75" hidden="false" customHeight="false" outlineLevel="0" collapsed="false">
      <c r="C10" s="2"/>
      <c r="D10" s="2"/>
      <c r="E10" s="2"/>
      <c r="F10" s="2"/>
      <c r="G10" s="2"/>
      <c r="H10" s="2"/>
      <c r="I10" s="2"/>
      <c r="J10" s="2"/>
      <c r="K10" s="2"/>
    </row>
    <row r="11" customFormat="false" ht="12.75" hidden="false" customHeight="false" outlineLevel="0" collapsed="false">
      <c r="C11" s="3" t="n">
        <v>2000</v>
      </c>
      <c r="D11" s="3" t="n">
        <v>2001</v>
      </c>
      <c r="E11" s="3" t="n">
        <v>2002</v>
      </c>
      <c r="F11" s="3" t="n">
        <v>2003</v>
      </c>
      <c r="G11" s="3" t="n">
        <v>2004</v>
      </c>
      <c r="H11" s="3" t="n">
        <v>2005</v>
      </c>
      <c r="I11" s="3" t="n">
        <v>2006</v>
      </c>
      <c r="J11" s="3" t="n">
        <v>2007</v>
      </c>
      <c r="K11" s="3" t="n">
        <v>2008</v>
      </c>
    </row>
    <row r="12" customFormat="false" ht="12.75" hidden="false" customHeight="false" outlineLevel="0" collapsed="false">
      <c r="A12" s="0" t="s">
        <v>9</v>
      </c>
      <c r="C12" s="2" t="n">
        <f aca="false">((305*C5)+(D5*61))/366</f>
        <v>0.10345</v>
      </c>
      <c r="D12" s="2" t="n">
        <f aca="false">((304*D5)+(E5*61))/365</f>
        <v>0.105567671232877</v>
      </c>
      <c r="E12" s="2" t="n">
        <f aca="false">((304*E5)+(F5*61))/365</f>
        <v>0.107767671232877</v>
      </c>
      <c r="F12" s="2" t="n">
        <f aca="false">((304*F5)+(G5*61))/365</f>
        <v>0.109967671232877</v>
      </c>
      <c r="G12" s="2" t="n">
        <f aca="false">((305*G5)+(H5*61))/366</f>
        <v>0.112183333333333</v>
      </c>
      <c r="H12" s="2" t="n">
        <f aca="false">((304*H5)+(I5*61))/365</f>
        <v>0.114484383561644</v>
      </c>
      <c r="I12" s="2" t="n">
        <f aca="false">((304*I5)+(J5*61))/365</f>
        <v>0.116801095890411</v>
      </c>
      <c r="J12" s="2" t="n">
        <f aca="false">((304*J5)+(K5*61))/365</f>
        <v>0.119201095890411</v>
      </c>
      <c r="K12" s="4" t="n">
        <f aca="false">+K5</f>
        <v>0.1212</v>
      </c>
    </row>
    <row r="13" customFormat="false" ht="12.75" hidden="false" customHeight="false" outlineLevel="0" collapsed="false">
      <c r="A13" s="0" t="s">
        <v>10</v>
      </c>
      <c r="C13" s="2" t="n">
        <f aca="false">((305*C6)+(D6*61))/366</f>
        <v>0.10345</v>
      </c>
      <c r="D13" s="2" t="n">
        <f aca="false">((304*D6)+(E6*61))/365</f>
        <v>0.105567671232877</v>
      </c>
      <c r="E13" s="2" t="n">
        <f aca="false">((304*E6)+(F6*61))/365</f>
        <v>0.107767671232877</v>
      </c>
      <c r="F13" s="2" t="n">
        <f aca="false">((304*F6)+(G6*61))/365</f>
        <v>0.109967671232877</v>
      </c>
      <c r="G13" s="2" t="n">
        <f aca="false">((305*G6)+(H6*61))/366</f>
        <v>0.112183333333333</v>
      </c>
      <c r="H13" s="2" t="n">
        <f aca="false">((304*H6)+(I6*61))/365</f>
        <v>0.114484383561644</v>
      </c>
      <c r="I13" s="2" t="n">
        <f aca="false">((304*I6)+(J6*61))/365</f>
        <v>0.116801095890411</v>
      </c>
      <c r="J13" s="2" t="n">
        <f aca="false">((304*J6)+(K6*61))/365</f>
        <v>0.119201095890411</v>
      </c>
      <c r="K13" s="4" t="n">
        <f aca="false">+K6</f>
        <v>0.1212</v>
      </c>
    </row>
    <row r="14" customFormat="false" ht="12.75" hidden="false" customHeight="false" outlineLevel="0" collapsed="false">
      <c r="A14" s="0" t="s">
        <v>11</v>
      </c>
      <c r="C14" s="2" t="n">
        <f aca="false">((305*C7)+(D7*61))/366</f>
        <v>0.256733333333333</v>
      </c>
      <c r="D14" s="2" t="n">
        <f aca="false">((304*D7)+(E7*61))/365</f>
        <v>0.264782076712329</v>
      </c>
      <c r="E14" s="2" t="n">
        <f aca="false">((304*E7)+(F7*61))/365</f>
        <v>0.270077718246575</v>
      </c>
      <c r="F14" s="2" t="n">
        <f aca="false">((304*F7)+(G7*61))/365</f>
        <v>0.275479272611507</v>
      </c>
      <c r="G14" s="2" t="n">
        <f aca="false">((305*G7)+(H7*61))/366</f>
        <v>0.280986300504</v>
      </c>
      <c r="H14" s="2" t="n">
        <f aca="false">((304*H7)+(I7*61))/365</f>
        <v>0.286608635225012</v>
      </c>
      <c r="I14" s="2" t="n">
        <f aca="false">((304*I7)+(J7*61))/365</f>
        <v>0.292340807929512</v>
      </c>
      <c r="J14" s="2" t="n">
        <f aca="false">((304*J7)+(K7*61))/365</f>
        <v>0.298187624088102</v>
      </c>
      <c r="K14" s="4" t="n">
        <f aca="false">+K7</f>
        <v>0.303138147692645</v>
      </c>
    </row>
    <row r="15" customFormat="false" ht="12.75" hidden="false" customHeight="false" outlineLevel="0" collapsed="false">
      <c r="A15" s="0" t="s">
        <v>12</v>
      </c>
      <c r="C15" s="2" t="n">
        <f aca="false">((305*C8)+(D8*61))/366</f>
        <v>0.228158</v>
      </c>
      <c r="D15" s="2" t="n">
        <f aca="false">((304*D8)+(E8*61))/365</f>
        <v>0.232723278246575</v>
      </c>
      <c r="E15" s="2" t="n">
        <f aca="false">((304*E8)+(F8*61))/365</f>
        <v>0.237377743811507</v>
      </c>
      <c r="F15" s="2" t="n">
        <f aca="false">((304*F8)+(G8*61))/365</f>
        <v>0.242125298687737</v>
      </c>
      <c r="G15" s="2" t="n">
        <f aca="false">((305*G8)+(H8*61))/366</f>
        <v>0.24696555676128</v>
      </c>
      <c r="H15" s="2" t="n">
        <f aca="false">((304*H8)+(I8*61))/365</f>
        <v>0.251907160754722</v>
      </c>
      <c r="I15" s="2" t="n">
        <f aca="false">((304*I8)+(J8*61))/365</f>
        <v>0.256945303969816</v>
      </c>
      <c r="J15" s="2" t="n">
        <f aca="false">((304*J8)+(K8*61))/365</f>
        <v>0.262084210049212</v>
      </c>
      <c r="K15" s="4" t="n">
        <f aca="false">+K8</f>
        <v>0.266435343239915</v>
      </c>
    </row>
    <row r="16" customFormat="false" ht="12.75" hidden="false" customHeight="false" outlineLevel="0" collapsed="false">
      <c r="C16" s="2"/>
      <c r="D16" s="2"/>
      <c r="E16" s="2"/>
      <c r="F16" s="2"/>
      <c r="G16" s="2"/>
      <c r="H16" s="2"/>
      <c r="I16" s="2"/>
      <c r="J16" s="2"/>
      <c r="K16" s="4"/>
    </row>
    <row r="18" customFormat="false" ht="12.75" hidden="false" customHeight="false" outlineLevel="0" collapsed="false">
      <c r="C18" s="5"/>
      <c r="D18" s="2"/>
      <c r="E18" s="2"/>
      <c r="F18" s="2"/>
      <c r="G18" s="2"/>
      <c r="H18" s="2"/>
      <c r="I18" s="2"/>
      <c r="J18" s="2"/>
      <c r="K1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73"/>
  <sheetViews>
    <sheetView showFormulas="false" showGridLines="true" showRowColHeaders="true" showZeros="true" rightToLeft="false" tabSelected="false" showOutlineSymbols="true" defaultGridColor="true" view="normal" topLeftCell="G81" colorId="64" zoomScale="75" zoomScaleNormal="75" zoomScalePageLayoutView="100" workbookViewId="0">
      <selection pane="topLeft" activeCell="H95" activeCellId="0" sqref="H95:R1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24.13"/>
    <col collapsed="false" customWidth="true" hidden="false" outlineLevel="0" max="7" min="5" style="0" width="10.56"/>
    <col collapsed="false" customWidth="true" hidden="false" outlineLevel="0" max="8" min="8" style="0" width="12.42"/>
    <col collapsed="false" customWidth="true" hidden="false" outlineLevel="0" max="9" min="9" style="0" width="14.41"/>
    <col collapsed="false" customWidth="true" hidden="false" outlineLevel="0" max="14" min="14" style="0" width="10.13"/>
    <col collapsed="false" customWidth="true" hidden="false" outlineLevel="0" max="16" min="16" style="0" width="10.13"/>
    <col collapsed="false" customWidth="true" hidden="false" outlineLevel="0" max="20" min="20" style="0" width="12.28"/>
    <col collapsed="false" customWidth="true" hidden="false" outlineLevel="0" max="21" min="21" style="0" width="16.42"/>
    <col collapsed="false" customWidth="true" hidden="false" outlineLevel="0" max="31" min="22" style="0" width="13.85"/>
    <col collapsed="false" customWidth="true" hidden="false" outlineLevel="0" max="33" min="33" style="0" width="14.99"/>
    <col collapsed="false" customWidth="true" hidden="false" outlineLevel="0" max="40" min="34" style="0" width="14.85"/>
    <col collapsed="false" customWidth="true" hidden="false" outlineLevel="0" max="43" min="41" style="0" width="13.85"/>
  </cols>
  <sheetData>
    <row r="1" customFormat="false" ht="12.75" hidden="false" customHeight="false" outlineLevel="0" collapsed="false">
      <c r="B1" s="6" t="s">
        <v>13</v>
      </c>
      <c r="H1" s="0" t="n">
        <v>366</v>
      </c>
      <c r="I1" s="0" t="n">
        <v>365</v>
      </c>
      <c r="J1" s="0" t="n">
        <v>365</v>
      </c>
      <c r="K1" s="0" t="n">
        <v>365</v>
      </c>
      <c r="L1" s="0" t="n">
        <v>366</v>
      </c>
      <c r="M1" s="0" t="n">
        <v>365</v>
      </c>
      <c r="N1" s="0" t="n">
        <v>365</v>
      </c>
      <c r="O1" s="0" t="n">
        <v>365</v>
      </c>
      <c r="P1" s="0" t="n">
        <v>366</v>
      </c>
      <c r="Q1" s="0" t="n">
        <v>365</v>
      </c>
      <c r="R1" s="0" t="n">
        <v>365</v>
      </c>
    </row>
    <row r="2" customFormat="false" ht="12.75" hidden="false" customHeight="false" outlineLevel="0" collapsed="false">
      <c r="E2" s="2" t="s">
        <v>14</v>
      </c>
      <c r="F2" s="7" t="s">
        <v>15</v>
      </c>
      <c r="G2" s="8" t="s">
        <v>16</v>
      </c>
      <c r="H2" s="9" t="s">
        <v>17</v>
      </c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10" t="s">
        <v>18</v>
      </c>
      <c r="U2" s="11" t="s">
        <v>19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G2" s="11" t="s">
        <v>20</v>
      </c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customFormat="false" ht="13.5" hidden="false" customHeight="false" outlineLevel="0" collapsed="false">
      <c r="A3" s="12" t="s">
        <v>21</v>
      </c>
      <c r="B3" s="12" t="s">
        <v>22</v>
      </c>
      <c r="C3" s="12" t="s">
        <v>23</v>
      </c>
      <c r="D3" s="13" t="s">
        <v>24</v>
      </c>
      <c r="E3" s="14" t="s">
        <v>25</v>
      </c>
      <c r="F3" s="15" t="s">
        <v>26</v>
      </c>
      <c r="G3" s="13" t="s">
        <v>26</v>
      </c>
      <c r="H3" s="13" t="n">
        <v>2000</v>
      </c>
      <c r="I3" s="13" t="n">
        <v>2001</v>
      </c>
      <c r="J3" s="13" t="n">
        <v>2002</v>
      </c>
      <c r="K3" s="13" t="n">
        <v>2003</v>
      </c>
      <c r="L3" s="13" t="n">
        <v>2004</v>
      </c>
      <c r="M3" s="13" t="n">
        <v>2005</v>
      </c>
      <c r="N3" s="13" t="n">
        <v>2006</v>
      </c>
      <c r="O3" s="13" t="n">
        <v>2007</v>
      </c>
      <c r="P3" s="13" t="n">
        <v>2008</v>
      </c>
      <c r="Q3" s="13" t="n">
        <v>2009</v>
      </c>
      <c r="R3" s="13" t="n">
        <v>2010</v>
      </c>
      <c r="S3" s="8"/>
      <c r="T3" s="10" t="s">
        <v>27</v>
      </c>
      <c r="U3" s="16" t="n">
        <v>2000</v>
      </c>
      <c r="V3" s="17" t="n">
        <v>2001</v>
      </c>
      <c r="W3" s="17" t="n">
        <v>2002</v>
      </c>
      <c r="X3" s="17" t="n">
        <v>2003</v>
      </c>
      <c r="Y3" s="17" t="n">
        <v>2004</v>
      </c>
      <c r="Z3" s="17" t="n">
        <v>2005</v>
      </c>
      <c r="AA3" s="17" t="n">
        <v>2006</v>
      </c>
      <c r="AB3" s="17" t="n">
        <v>2007</v>
      </c>
      <c r="AC3" s="17" t="n">
        <v>2008</v>
      </c>
      <c r="AD3" s="17" t="n">
        <v>2009</v>
      </c>
      <c r="AE3" s="18" t="n">
        <v>2010</v>
      </c>
      <c r="AG3" s="16" t="n">
        <v>2000</v>
      </c>
      <c r="AH3" s="17" t="n">
        <v>2001</v>
      </c>
      <c r="AI3" s="17" t="n">
        <v>2002</v>
      </c>
      <c r="AJ3" s="17" t="n">
        <v>2003</v>
      </c>
      <c r="AK3" s="17" t="n">
        <v>2004</v>
      </c>
      <c r="AL3" s="17" t="n">
        <v>2005</v>
      </c>
      <c r="AM3" s="17" t="n">
        <v>2006</v>
      </c>
      <c r="AN3" s="17" t="n">
        <v>2007</v>
      </c>
      <c r="AO3" s="17" t="n">
        <v>2008</v>
      </c>
      <c r="AP3" s="17" t="n">
        <v>2009</v>
      </c>
      <c r="AQ3" s="18" t="n">
        <v>2010</v>
      </c>
    </row>
    <row r="4" customFormat="false" ht="12.75" hidden="false" customHeight="false" outlineLevel="0" collapsed="false">
      <c r="A4" s="6" t="s">
        <v>28</v>
      </c>
      <c r="B4" s="19" t="s">
        <v>29</v>
      </c>
      <c r="C4" s="20" t="n">
        <v>27377</v>
      </c>
      <c r="D4" s="21" t="n">
        <v>10000</v>
      </c>
      <c r="E4" s="22"/>
      <c r="F4" s="23" t="n">
        <v>36951</v>
      </c>
      <c r="G4" s="23" t="n">
        <v>37315</v>
      </c>
      <c r="H4" s="24" t="n">
        <v>0</v>
      </c>
      <c r="I4" s="24" t="n">
        <f aca="false">"1/01/02"-F4</f>
        <v>306</v>
      </c>
      <c r="J4" s="24" t="n">
        <f aca="false">+G4-"12/31/01"</f>
        <v>59</v>
      </c>
      <c r="K4" s="24" t="n">
        <v>0</v>
      </c>
      <c r="L4" s="24" t="n">
        <v>0</v>
      </c>
      <c r="M4" s="24" t="n">
        <v>0</v>
      </c>
      <c r="N4" s="24" t="n">
        <v>0</v>
      </c>
      <c r="O4" s="24" t="n">
        <v>0</v>
      </c>
      <c r="P4" s="24" t="n">
        <v>0</v>
      </c>
      <c r="Q4" s="24" t="n">
        <v>0</v>
      </c>
      <c r="R4" s="24" t="n">
        <v>0</v>
      </c>
      <c r="U4" s="24" t="n">
        <f aca="false">+H4*$D4</f>
        <v>0</v>
      </c>
      <c r="V4" s="24" t="n">
        <f aca="false">+I4*$D4</f>
        <v>3060000</v>
      </c>
      <c r="W4" s="24" t="n">
        <f aca="false">+J4*$D4</f>
        <v>590000</v>
      </c>
      <c r="X4" s="24" t="n">
        <f aca="false">+K4*$D4</f>
        <v>0</v>
      </c>
      <c r="Y4" s="24" t="n">
        <f aca="false">+L4*$D4</f>
        <v>0</v>
      </c>
      <c r="Z4" s="24" t="n">
        <f aca="false">+M4*$D4</f>
        <v>0</v>
      </c>
      <c r="AA4" s="24" t="n">
        <f aca="false">+N4*$D4</f>
        <v>0</v>
      </c>
      <c r="AB4" s="24" t="n">
        <f aca="false">+O4*$D4</f>
        <v>0</v>
      </c>
      <c r="AC4" s="24" t="n">
        <f aca="false">+P4*$D4</f>
        <v>0</v>
      </c>
      <c r="AD4" s="24" t="n">
        <f aca="false">+Q4*$D4</f>
        <v>0</v>
      </c>
      <c r="AE4" s="24" t="n">
        <f aca="false">+R4*$D4</f>
        <v>0</v>
      </c>
    </row>
    <row r="5" customFormat="false" ht="12.75" hidden="false" customHeight="false" outlineLevel="0" collapsed="false">
      <c r="A5" s="6" t="s">
        <v>28</v>
      </c>
      <c r="B5" s="19" t="s">
        <v>29</v>
      </c>
      <c r="C5" s="20" t="s">
        <v>30</v>
      </c>
      <c r="D5" s="21" t="n">
        <v>40000</v>
      </c>
      <c r="E5" s="22"/>
      <c r="F5" s="23" t="n">
        <v>36100</v>
      </c>
      <c r="G5" s="23" t="n">
        <v>37925</v>
      </c>
      <c r="H5" s="24" t="n">
        <v>366</v>
      </c>
      <c r="I5" s="24" t="n">
        <v>365</v>
      </c>
      <c r="J5" s="24" t="n">
        <v>365</v>
      </c>
      <c r="K5" s="24" t="n">
        <f aca="false">+G5-"12/31/02"</f>
        <v>304</v>
      </c>
      <c r="L5" s="24" t="n">
        <v>0</v>
      </c>
      <c r="M5" s="24" t="n">
        <v>0</v>
      </c>
      <c r="N5" s="24" t="n">
        <v>0</v>
      </c>
      <c r="O5" s="24" t="n">
        <v>0</v>
      </c>
      <c r="P5" s="24" t="n">
        <v>0</v>
      </c>
      <c r="Q5" s="24" t="n">
        <v>0</v>
      </c>
      <c r="R5" s="24" t="n">
        <v>0</v>
      </c>
      <c r="U5" s="24" t="n">
        <f aca="false">+H5*$D5</f>
        <v>14640000</v>
      </c>
      <c r="V5" s="24" t="n">
        <f aca="false">+I5*$D5</f>
        <v>14600000</v>
      </c>
      <c r="W5" s="24" t="n">
        <f aca="false">+J5*$D5</f>
        <v>14600000</v>
      </c>
      <c r="X5" s="24" t="n">
        <f aca="false">+K5*$D5</f>
        <v>12160000</v>
      </c>
      <c r="Y5" s="24" t="n">
        <f aca="false">+L5*$D5</f>
        <v>0</v>
      </c>
      <c r="Z5" s="24" t="n">
        <f aca="false">+M5*$D5</f>
        <v>0</v>
      </c>
      <c r="AA5" s="24" t="n">
        <f aca="false">+N5*$D5</f>
        <v>0</v>
      </c>
      <c r="AB5" s="24" t="n">
        <f aca="false">+O5*$D5</f>
        <v>0</v>
      </c>
      <c r="AC5" s="24" t="n">
        <f aca="false">+P5*$D5</f>
        <v>0</v>
      </c>
      <c r="AD5" s="24" t="n">
        <f aca="false">+Q5*$D5</f>
        <v>0</v>
      </c>
      <c r="AE5" s="24" t="n">
        <f aca="false">+R5*$D5</f>
        <v>0</v>
      </c>
    </row>
    <row r="6" customFormat="false" ht="12.75" hidden="false" customHeight="false" outlineLevel="0" collapsed="false">
      <c r="A6" s="6" t="s">
        <v>28</v>
      </c>
      <c r="B6" s="19" t="s">
        <v>31</v>
      </c>
      <c r="C6" s="20" t="n">
        <v>27495</v>
      </c>
      <c r="D6" s="21" t="n">
        <v>50000</v>
      </c>
      <c r="E6" s="22"/>
      <c r="F6" s="23" t="n">
        <v>36951</v>
      </c>
      <c r="G6" s="23" t="n">
        <v>37711</v>
      </c>
      <c r="H6" s="24" t="n">
        <v>0</v>
      </c>
      <c r="I6" s="24" t="n">
        <f aca="false">"1/01/02"-F6</f>
        <v>306</v>
      </c>
      <c r="J6" s="24" t="n">
        <v>365</v>
      </c>
      <c r="K6" s="24" t="n">
        <f aca="false">+G6-"12/31/02"</f>
        <v>90</v>
      </c>
      <c r="L6" s="24" t="n">
        <v>0</v>
      </c>
      <c r="M6" s="24" t="n">
        <v>0</v>
      </c>
      <c r="N6" s="24" t="n">
        <v>0</v>
      </c>
      <c r="O6" s="24" t="n">
        <v>0</v>
      </c>
      <c r="P6" s="24" t="n">
        <v>0</v>
      </c>
      <c r="Q6" s="24" t="n">
        <v>0</v>
      </c>
      <c r="R6" s="24" t="n">
        <v>0</v>
      </c>
      <c r="U6" s="24" t="n">
        <f aca="false">+H6*$D6</f>
        <v>0</v>
      </c>
      <c r="V6" s="24" t="n">
        <f aca="false">+I6*$D6</f>
        <v>15300000</v>
      </c>
      <c r="W6" s="24" t="n">
        <f aca="false">+J6*$D6</f>
        <v>18250000</v>
      </c>
      <c r="X6" s="24" t="n">
        <f aca="false">+K6*$D6</f>
        <v>4500000</v>
      </c>
      <c r="Y6" s="24" t="n">
        <f aca="false">+L6*$D6</f>
        <v>0</v>
      </c>
      <c r="Z6" s="24" t="n">
        <f aca="false">+M6*$D6</f>
        <v>0</v>
      </c>
      <c r="AA6" s="24" t="n">
        <f aca="false">+N6*$D6</f>
        <v>0</v>
      </c>
      <c r="AB6" s="24" t="n">
        <f aca="false">+O6*$D6</f>
        <v>0</v>
      </c>
      <c r="AC6" s="24" t="n">
        <f aca="false">+P6*$D6</f>
        <v>0</v>
      </c>
      <c r="AD6" s="24" t="n">
        <f aca="false">+Q6*$D6</f>
        <v>0</v>
      </c>
      <c r="AE6" s="24" t="n">
        <f aca="false">+R6*$D6</f>
        <v>0</v>
      </c>
    </row>
    <row r="7" customFormat="false" ht="12.75" hidden="false" customHeight="false" outlineLevel="0" collapsed="false">
      <c r="A7" s="6" t="s">
        <v>28</v>
      </c>
      <c r="B7" s="19" t="s">
        <v>32</v>
      </c>
      <c r="C7" s="20" t="n">
        <v>27600</v>
      </c>
      <c r="D7" s="21" t="n">
        <v>2500</v>
      </c>
      <c r="E7" s="22"/>
      <c r="F7" s="23" t="n">
        <v>37043</v>
      </c>
      <c r="G7" s="23" t="n">
        <v>37407</v>
      </c>
      <c r="H7" s="24" t="n">
        <v>0</v>
      </c>
      <c r="I7" s="24" t="n">
        <f aca="false">"1/01/02"-F7</f>
        <v>214</v>
      </c>
      <c r="J7" s="24" t="n">
        <f aca="false">+G7-"12/31/01"</f>
        <v>151</v>
      </c>
      <c r="K7" s="24" t="n">
        <v>0</v>
      </c>
      <c r="L7" s="24" t="n">
        <v>0</v>
      </c>
      <c r="M7" s="24" t="n">
        <v>0</v>
      </c>
      <c r="N7" s="24" t="n">
        <v>0</v>
      </c>
      <c r="O7" s="24" t="n">
        <v>0</v>
      </c>
      <c r="P7" s="24" t="n">
        <v>0</v>
      </c>
      <c r="Q7" s="24" t="n">
        <v>0</v>
      </c>
      <c r="R7" s="24" t="n">
        <v>0</v>
      </c>
      <c r="U7" s="24" t="n">
        <f aca="false">+H7*$D7</f>
        <v>0</v>
      </c>
      <c r="V7" s="24" t="n">
        <f aca="false">+I7*$D7</f>
        <v>535000</v>
      </c>
      <c r="W7" s="24" t="n">
        <f aca="false">+J7*$D7</f>
        <v>377500</v>
      </c>
      <c r="X7" s="24" t="n">
        <f aca="false">+K7*$D7</f>
        <v>0</v>
      </c>
      <c r="Y7" s="24" t="n">
        <f aca="false">+L7*$D7</f>
        <v>0</v>
      </c>
      <c r="Z7" s="24" t="n">
        <f aca="false">+M7*$D7</f>
        <v>0</v>
      </c>
      <c r="AA7" s="24" t="n">
        <f aca="false">+N7*$D7</f>
        <v>0</v>
      </c>
      <c r="AB7" s="24" t="n">
        <f aca="false">+O7*$D7</f>
        <v>0</v>
      </c>
      <c r="AC7" s="24" t="n">
        <f aca="false">+P7*$D7</f>
        <v>0</v>
      </c>
      <c r="AD7" s="24" t="n">
        <f aca="false">+Q7*$D7</f>
        <v>0</v>
      </c>
      <c r="AE7" s="24" t="n">
        <f aca="false">+R7*$D7</f>
        <v>0</v>
      </c>
    </row>
    <row r="8" customFormat="false" ht="12.75" hidden="false" customHeight="false" outlineLevel="0" collapsed="false">
      <c r="A8" s="6" t="s">
        <v>28</v>
      </c>
      <c r="B8" s="19" t="s">
        <v>33</v>
      </c>
      <c r="C8" s="20" t="n">
        <v>25025</v>
      </c>
      <c r="D8" s="21" t="n">
        <v>80000</v>
      </c>
      <c r="G8" s="23" t="n">
        <v>39051</v>
      </c>
      <c r="H8" s="24" t="n">
        <v>366</v>
      </c>
      <c r="I8" s="0" t="n">
        <v>365</v>
      </c>
      <c r="J8" s="0" t="n">
        <v>365</v>
      </c>
      <c r="K8" s="0" t="n">
        <v>365</v>
      </c>
      <c r="L8" s="0" t="n">
        <v>366</v>
      </c>
      <c r="M8" s="0" t="n">
        <v>365</v>
      </c>
      <c r="N8" s="25" t="n">
        <f aca="false">+G8-"12/31/05"</f>
        <v>334</v>
      </c>
      <c r="U8" s="24" t="n">
        <f aca="false">+H8*$D8</f>
        <v>29280000</v>
      </c>
    </row>
    <row r="9" customFormat="false" ht="12.75" hidden="false" customHeight="false" outlineLevel="0" collapsed="false">
      <c r="A9" s="6" t="s">
        <v>28</v>
      </c>
      <c r="B9" s="26" t="s">
        <v>33</v>
      </c>
      <c r="C9" s="20" t="n">
        <v>25031</v>
      </c>
      <c r="D9" s="21" t="n">
        <v>0</v>
      </c>
      <c r="E9" s="22"/>
      <c r="F9" s="23" t="n">
        <v>35400</v>
      </c>
      <c r="G9" s="23" t="n">
        <v>39051</v>
      </c>
      <c r="H9" s="24" t="n">
        <v>366</v>
      </c>
      <c r="I9" s="24" t="n">
        <v>365</v>
      </c>
      <c r="J9" s="24" t="n">
        <v>365</v>
      </c>
      <c r="K9" s="24" t="n">
        <v>365</v>
      </c>
      <c r="L9" s="24" t="n">
        <v>366</v>
      </c>
      <c r="M9" s="24" t="n">
        <v>365</v>
      </c>
      <c r="N9" s="24" t="n">
        <f aca="false">+G9-"12/31/05"</f>
        <v>334</v>
      </c>
      <c r="O9" s="24" t="n">
        <v>0</v>
      </c>
      <c r="P9" s="24" t="n">
        <v>0</v>
      </c>
      <c r="Q9" s="24" t="n">
        <v>0</v>
      </c>
      <c r="R9" s="24" t="n">
        <v>0</v>
      </c>
      <c r="S9" s="27"/>
      <c r="T9" s="28"/>
      <c r="U9" s="24" t="n">
        <f aca="false">+H9*$D9</f>
        <v>0</v>
      </c>
      <c r="V9" s="24" t="n">
        <f aca="false">+I9*$D9</f>
        <v>0</v>
      </c>
      <c r="W9" s="24" t="n">
        <f aca="false">+J9*$D9</f>
        <v>0</v>
      </c>
      <c r="X9" s="24" t="n">
        <f aca="false">+K9*$D9</f>
        <v>0</v>
      </c>
      <c r="Y9" s="24" t="n">
        <f aca="false">+L9*$D9</f>
        <v>0</v>
      </c>
      <c r="Z9" s="24" t="n">
        <f aca="false">+M9*$D9</f>
        <v>0</v>
      </c>
      <c r="AA9" s="24" t="n">
        <f aca="false">+N9*$D9</f>
        <v>0</v>
      </c>
      <c r="AB9" s="24" t="n">
        <f aca="false">+O9*$D9</f>
        <v>0</v>
      </c>
      <c r="AC9" s="24" t="n">
        <f aca="false">+P9*$D9</f>
        <v>0</v>
      </c>
      <c r="AD9" s="24" t="n">
        <f aca="false">+Q9*$D9</f>
        <v>0</v>
      </c>
      <c r="AE9" s="24" t="n">
        <f aca="false">+R9*$D9</f>
        <v>0</v>
      </c>
    </row>
    <row r="10" customFormat="false" ht="12.75" hidden="false" customHeight="false" outlineLevel="0" collapsed="false">
      <c r="A10" s="6" t="s">
        <v>28</v>
      </c>
      <c r="B10" s="26" t="s">
        <v>34</v>
      </c>
      <c r="C10" s="20" t="n">
        <v>27291</v>
      </c>
      <c r="D10" s="21" t="n">
        <v>20000</v>
      </c>
      <c r="E10" s="22"/>
      <c r="F10" s="23" t="n">
        <v>36739</v>
      </c>
      <c r="G10" s="23" t="n">
        <v>37468</v>
      </c>
      <c r="H10" s="24" t="n">
        <f aca="false">"1/01/01"-F10</f>
        <v>153</v>
      </c>
      <c r="I10" s="24" t="n">
        <v>365</v>
      </c>
      <c r="J10" s="24" t="n">
        <f aca="false">+G10-"12/31/01"</f>
        <v>212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U10" s="24" t="n">
        <f aca="false">+H10*$D10</f>
        <v>3060000</v>
      </c>
      <c r="V10" s="24" t="n">
        <f aca="false">+I10*$D10</f>
        <v>7300000</v>
      </c>
      <c r="W10" s="24" t="n">
        <f aca="false">+J10*$D10</f>
        <v>4240000</v>
      </c>
      <c r="X10" s="24" t="n">
        <f aca="false">+K10*$D10</f>
        <v>0</v>
      </c>
      <c r="Y10" s="24" t="n">
        <f aca="false">+L10*$D10</f>
        <v>0</v>
      </c>
      <c r="Z10" s="24" t="n">
        <f aca="false">+M10*$D10</f>
        <v>0</v>
      </c>
      <c r="AA10" s="24" t="n">
        <f aca="false">+N10*$D10</f>
        <v>0</v>
      </c>
      <c r="AB10" s="24" t="n">
        <f aca="false">+O10*$D10</f>
        <v>0</v>
      </c>
      <c r="AC10" s="24" t="n">
        <f aca="false">+P10*$D10</f>
        <v>0</v>
      </c>
      <c r="AD10" s="24" t="n">
        <f aca="false">+Q10*$D10</f>
        <v>0</v>
      </c>
      <c r="AE10" s="24" t="n">
        <f aca="false">+R10*$D10</f>
        <v>0</v>
      </c>
    </row>
    <row r="11" customFormat="false" ht="12.75" hidden="false" customHeight="false" outlineLevel="0" collapsed="false">
      <c r="A11" s="6" t="s">
        <v>28</v>
      </c>
      <c r="B11" s="19" t="s">
        <v>35</v>
      </c>
      <c r="C11" s="20" t="n">
        <v>27349</v>
      </c>
      <c r="D11" s="21" t="n">
        <v>20000</v>
      </c>
      <c r="E11" s="22"/>
      <c r="F11" s="23" t="n">
        <v>36892</v>
      </c>
      <c r="G11" s="23" t="n">
        <v>38717</v>
      </c>
      <c r="H11" s="24" t="n">
        <v>0</v>
      </c>
      <c r="I11" s="24" t="n">
        <v>365</v>
      </c>
      <c r="J11" s="24" t="n">
        <v>365</v>
      </c>
      <c r="K11" s="24" t="n">
        <v>365</v>
      </c>
      <c r="L11" s="24" t="n">
        <v>366</v>
      </c>
      <c r="M11" s="24" t="n">
        <f aca="false">+G11-"12/31/04"</f>
        <v>365</v>
      </c>
      <c r="N11" s="24" t="n">
        <f aca="false">+G11-"12/31/05"</f>
        <v>0</v>
      </c>
      <c r="O11" s="24" t="n">
        <v>0</v>
      </c>
      <c r="P11" s="24" t="n">
        <v>0</v>
      </c>
      <c r="Q11" s="24" t="n">
        <v>0</v>
      </c>
      <c r="R11" s="24" t="n">
        <v>0</v>
      </c>
      <c r="U11" s="24" t="n">
        <f aca="false">+H11*$D11</f>
        <v>0</v>
      </c>
      <c r="V11" s="24" t="n">
        <f aca="false">+I11*$D11</f>
        <v>7300000</v>
      </c>
      <c r="W11" s="24" t="n">
        <f aca="false">+J11*$D11</f>
        <v>7300000</v>
      </c>
      <c r="X11" s="24" t="n">
        <f aca="false">+K11*$D11</f>
        <v>7300000</v>
      </c>
      <c r="Y11" s="24" t="n">
        <f aca="false">+L11*$D11</f>
        <v>7320000</v>
      </c>
      <c r="Z11" s="24" t="n">
        <f aca="false">+M11*$D11</f>
        <v>7300000</v>
      </c>
      <c r="AA11" s="24" t="n">
        <f aca="false">+N11*$D11</f>
        <v>0</v>
      </c>
      <c r="AB11" s="24" t="n">
        <f aca="false">+O11*$D11</f>
        <v>0</v>
      </c>
      <c r="AC11" s="24" t="n">
        <f aca="false">+P11*$D11</f>
        <v>0</v>
      </c>
      <c r="AD11" s="24" t="n">
        <f aca="false">+Q11*$D11</f>
        <v>0</v>
      </c>
      <c r="AE11" s="24" t="n">
        <f aca="false">+R11*$D11</f>
        <v>0</v>
      </c>
    </row>
    <row r="12" customFormat="false" ht="12.75" hidden="false" customHeight="false" outlineLevel="0" collapsed="false">
      <c r="A12" s="6" t="s">
        <v>28</v>
      </c>
      <c r="B12" s="19" t="s">
        <v>35</v>
      </c>
      <c r="C12" s="20" t="n">
        <v>27579</v>
      </c>
      <c r="D12" s="21" t="n">
        <v>20000</v>
      </c>
      <c r="E12" s="22"/>
      <c r="F12" s="23" t="n">
        <v>37012</v>
      </c>
      <c r="G12" s="23" t="n">
        <v>37407</v>
      </c>
      <c r="H12" s="24" t="n">
        <v>0</v>
      </c>
      <c r="I12" s="24" t="n">
        <f aca="false">"1/01/02"-F12</f>
        <v>245</v>
      </c>
      <c r="J12" s="24" t="n">
        <f aca="false">+G12-"12/31/01"</f>
        <v>151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4" t="n">
        <v>0</v>
      </c>
      <c r="U12" s="24" t="n">
        <f aca="false">+H12*$D12</f>
        <v>0</v>
      </c>
      <c r="V12" s="24" t="n">
        <f aca="false">+I12*$D12</f>
        <v>4900000</v>
      </c>
      <c r="W12" s="24" t="n">
        <f aca="false">+J12*$D12</f>
        <v>3020000</v>
      </c>
      <c r="X12" s="24" t="n">
        <f aca="false">+K12*$D12</f>
        <v>0</v>
      </c>
      <c r="Y12" s="24" t="n">
        <f aca="false">+L12*$D12</f>
        <v>0</v>
      </c>
      <c r="Z12" s="24" t="n">
        <f aca="false">+M12*$D12</f>
        <v>0</v>
      </c>
      <c r="AA12" s="24" t="n">
        <f aca="false">+N12*$D12</f>
        <v>0</v>
      </c>
      <c r="AB12" s="24" t="n">
        <f aca="false">+O12*$D12</f>
        <v>0</v>
      </c>
      <c r="AC12" s="24" t="n">
        <f aca="false">+P12*$D12</f>
        <v>0</v>
      </c>
      <c r="AD12" s="24" t="n">
        <f aca="false">+Q12*$D12</f>
        <v>0</v>
      </c>
      <c r="AE12" s="24" t="n">
        <f aca="false">+R12*$D12</f>
        <v>0</v>
      </c>
    </row>
    <row r="13" customFormat="false" ht="12.75" hidden="false" customHeight="false" outlineLevel="0" collapsed="false">
      <c r="A13" s="6" t="s">
        <v>28</v>
      </c>
      <c r="B13" s="26" t="s">
        <v>36</v>
      </c>
      <c r="C13" s="20" t="n">
        <v>24754</v>
      </c>
      <c r="D13" s="21" t="n">
        <v>1000</v>
      </c>
      <c r="E13" s="22"/>
      <c r="F13" s="23" t="s">
        <v>37</v>
      </c>
      <c r="G13" s="29" t="n">
        <v>38472</v>
      </c>
      <c r="H13" s="24" t="n">
        <v>366</v>
      </c>
      <c r="I13" s="24" t="n">
        <v>365</v>
      </c>
      <c r="J13" s="24" t="n">
        <v>365</v>
      </c>
      <c r="K13" s="24" t="n">
        <v>365</v>
      </c>
      <c r="L13" s="24" t="n">
        <v>366</v>
      </c>
      <c r="M13" s="24" t="n">
        <f aca="false">+G13-"12/31/04"</f>
        <v>120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7"/>
      <c r="T13" s="28"/>
      <c r="U13" s="24" t="n">
        <f aca="false">+H13*$D13</f>
        <v>366000</v>
      </c>
      <c r="V13" s="24" t="n">
        <f aca="false">+I13*$D13</f>
        <v>365000</v>
      </c>
      <c r="W13" s="24" t="n">
        <f aca="false">+J13*$D13</f>
        <v>365000</v>
      </c>
      <c r="X13" s="24" t="n">
        <f aca="false">+K13*$D13</f>
        <v>365000</v>
      </c>
      <c r="Y13" s="24" t="n">
        <f aca="false">+L13*$D13</f>
        <v>366000</v>
      </c>
      <c r="Z13" s="24" t="n">
        <f aca="false">+M13*$D13</f>
        <v>120000</v>
      </c>
      <c r="AA13" s="24" t="n">
        <f aca="false">+N13*$D13</f>
        <v>0</v>
      </c>
      <c r="AB13" s="24" t="n">
        <f aca="false">+O13*$D13</f>
        <v>0</v>
      </c>
      <c r="AC13" s="24" t="n">
        <f aca="false">+P13*$D13</f>
        <v>0</v>
      </c>
      <c r="AD13" s="24" t="n">
        <f aca="false">+Q13*$D13</f>
        <v>0</v>
      </c>
      <c r="AE13" s="24" t="n">
        <f aca="false">+R13*$D13</f>
        <v>0</v>
      </c>
    </row>
    <row r="14" customFormat="false" ht="12.75" hidden="false" customHeight="false" outlineLevel="0" collapsed="false">
      <c r="A14" s="6" t="s">
        <v>28</v>
      </c>
      <c r="B14" s="19" t="s">
        <v>38</v>
      </c>
      <c r="C14" s="20" t="n">
        <v>24654</v>
      </c>
      <c r="D14" s="21" t="n">
        <v>8000</v>
      </c>
      <c r="G14" s="23" t="n">
        <v>37256</v>
      </c>
      <c r="H14" s="24" t="n">
        <v>366</v>
      </c>
      <c r="I14" s="0" t="n">
        <v>365</v>
      </c>
      <c r="U14" s="24" t="n">
        <f aca="false">+H14*$D14</f>
        <v>2928000</v>
      </c>
    </row>
    <row r="15" customFormat="false" ht="12.75" hidden="false" customHeight="false" outlineLevel="0" collapsed="false">
      <c r="A15" s="6" t="s">
        <v>28</v>
      </c>
      <c r="B15" s="26" t="s">
        <v>38</v>
      </c>
      <c r="C15" s="20" t="n">
        <v>26740</v>
      </c>
      <c r="D15" s="21" t="n">
        <v>8000</v>
      </c>
      <c r="E15" s="22"/>
      <c r="F15" s="23" t="n">
        <v>36312</v>
      </c>
      <c r="G15" s="23" t="n">
        <v>39113</v>
      </c>
      <c r="H15" s="24" t="n">
        <v>366</v>
      </c>
      <c r="I15" s="24" t="n">
        <v>365</v>
      </c>
      <c r="J15" s="24" t="n">
        <v>365</v>
      </c>
      <c r="K15" s="24" t="n">
        <v>365</v>
      </c>
      <c r="L15" s="24" t="n">
        <v>366</v>
      </c>
      <c r="M15" s="24" t="n">
        <v>365</v>
      </c>
      <c r="N15" s="24" t="n">
        <v>365</v>
      </c>
      <c r="O15" s="24" t="n">
        <f aca="false">+G15-"12/31/06"</f>
        <v>31</v>
      </c>
      <c r="P15" s="24" t="n">
        <v>0</v>
      </c>
      <c r="Q15" s="24" t="n">
        <v>0</v>
      </c>
      <c r="R15" s="24" t="n">
        <v>0</v>
      </c>
      <c r="U15" s="24" t="n">
        <f aca="false">+H15*$D15</f>
        <v>2928000</v>
      </c>
      <c r="V15" s="24" t="n">
        <f aca="false">+I15*$D15</f>
        <v>2920000</v>
      </c>
      <c r="W15" s="24" t="n">
        <f aca="false">+J15*$D15</f>
        <v>2920000</v>
      </c>
      <c r="X15" s="24" t="n">
        <f aca="false">+K15*$D15</f>
        <v>2920000</v>
      </c>
      <c r="Y15" s="24" t="n">
        <f aca="false">+L15*$D15</f>
        <v>2928000</v>
      </c>
      <c r="Z15" s="24" t="n">
        <f aca="false">+M15*$D15</f>
        <v>2920000</v>
      </c>
      <c r="AA15" s="24" t="n">
        <f aca="false">+N15*$D15</f>
        <v>2920000</v>
      </c>
      <c r="AB15" s="24" t="n">
        <f aca="false">+O15*$D15</f>
        <v>248000</v>
      </c>
      <c r="AC15" s="24" t="n">
        <f aca="false">+P15*$D15</f>
        <v>0</v>
      </c>
      <c r="AD15" s="24" t="n">
        <f aca="false">+Q15*$D15</f>
        <v>0</v>
      </c>
      <c r="AE15" s="24" t="n">
        <f aca="false">+R15*$D15</f>
        <v>0</v>
      </c>
    </row>
    <row r="16" customFormat="false" ht="12.75" hidden="false" customHeight="false" outlineLevel="0" collapsed="false">
      <c r="A16" s="6" t="s">
        <v>28</v>
      </c>
      <c r="B16" s="19" t="s">
        <v>39</v>
      </c>
      <c r="C16" s="20" t="n">
        <v>24568</v>
      </c>
      <c r="D16" s="21" t="n">
        <v>32000</v>
      </c>
      <c r="G16" s="23" t="n">
        <v>37256</v>
      </c>
      <c r="H16" s="24" t="n">
        <v>366</v>
      </c>
      <c r="I16" s="0" t="n">
        <v>365</v>
      </c>
      <c r="U16" s="24" t="n">
        <f aca="false">+H16*$D16</f>
        <v>11712000</v>
      </c>
    </row>
    <row r="17" customFormat="false" ht="12.75" hidden="false" customHeight="false" outlineLevel="0" collapsed="false">
      <c r="A17" s="6" t="s">
        <v>28</v>
      </c>
      <c r="B17" s="19" t="s">
        <v>40</v>
      </c>
      <c r="C17" s="20" t="n">
        <v>25374</v>
      </c>
      <c r="D17" s="21" t="n">
        <v>23000</v>
      </c>
      <c r="E17" s="22"/>
      <c r="F17" s="23" t="n">
        <v>35947</v>
      </c>
      <c r="G17" s="23" t="n">
        <v>37103</v>
      </c>
      <c r="H17" s="24" t="n">
        <v>366</v>
      </c>
      <c r="I17" s="24" t="n">
        <f aca="false">+G17-"12/31/00"</f>
        <v>212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7"/>
      <c r="T17" s="28"/>
      <c r="U17" s="24" t="n">
        <f aca="false">+H17*$D17</f>
        <v>8418000</v>
      </c>
      <c r="V17" s="24" t="n">
        <f aca="false">+I17*$D17</f>
        <v>4876000</v>
      </c>
      <c r="W17" s="24" t="n">
        <f aca="false">+J17*$D17</f>
        <v>0</v>
      </c>
      <c r="X17" s="24" t="n">
        <f aca="false">+K17*$D17</f>
        <v>0</v>
      </c>
      <c r="Y17" s="24" t="n">
        <f aca="false">+L17*$D17</f>
        <v>0</v>
      </c>
      <c r="Z17" s="24" t="n">
        <f aca="false">+M17*$D17</f>
        <v>0</v>
      </c>
      <c r="AA17" s="24" t="n">
        <f aca="false">+N17*$D17</f>
        <v>0</v>
      </c>
      <c r="AB17" s="24" t="n">
        <f aca="false">+O17*$D17</f>
        <v>0</v>
      </c>
      <c r="AC17" s="24" t="n">
        <f aca="false">+P17*$D17</f>
        <v>0</v>
      </c>
      <c r="AD17" s="24" t="n">
        <f aca="false">+Q17*$D17</f>
        <v>0</v>
      </c>
      <c r="AE17" s="24" t="n">
        <f aca="false">+R17*$D17</f>
        <v>0</v>
      </c>
    </row>
    <row r="18" customFormat="false" ht="12.75" hidden="false" customHeight="false" outlineLevel="0" collapsed="false">
      <c r="A18" s="6" t="s">
        <v>28</v>
      </c>
      <c r="B18" s="26" t="s">
        <v>41</v>
      </c>
      <c r="C18" s="20" t="n">
        <v>27104</v>
      </c>
      <c r="D18" s="21" t="n">
        <v>14032</v>
      </c>
      <c r="E18" s="22"/>
      <c r="F18" s="23" t="n">
        <v>36557</v>
      </c>
      <c r="G18" s="23" t="n">
        <v>38383</v>
      </c>
      <c r="H18" s="24" t="n">
        <f aca="false">"1/01/01"-F18</f>
        <v>335</v>
      </c>
      <c r="I18" s="24" t="n">
        <v>365</v>
      </c>
      <c r="J18" s="24" t="n">
        <v>365</v>
      </c>
      <c r="K18" s="24" t="n">
        <v>365</v>
      </c>
      <c r="L18" s="24" t="n">
        <v>366</v>
      </c>
      <c r="M18" s="24" t="n">
        <f aca="false">+G18-"12/31/04"</f>
        <v>31</v>
      </c>
      <c r="N18" s="24" t="n">
        <v>0</v>
      </c>
      <c r="O18" s="24" t="n">
        <v>0</v>
      </c>
      <c r="P18" s="24" t="n">
        <v>0</v>
      </c>
      <c r="Q18" s="24" t="n">
        <v>0</v>
      </c>
      <c r="R18" s="24" t="n">
        <v>0</v>
      </c>
      <c r="U18" s="24" t="n">
        <f aca="false">+H18*$D18</f>
        <v>4700720</v>
      </c>
      <c r="V18" s="24" t="n">
        <f aca="false">+I18*$D18</f>
        <v>5121680</v>
      </c>
      <c r="W18" s="24" t="n">
        <f aca="false">+J18*$D18</f>
        <v>5121680</v>
      </c>
      <c r="X18" s="24" t="n">
        <f aca="false">+K18*$D18</f>
        <v>5121680</v>
      </c>
      <c r="Y18" s="24" t="n">
        <f aca="false">+L18*$D18</f>
        <v>5135712</v>
      </c>
      <c r="Z18" s="24" t="n">
        <f aca="false">+M18*$D18</f>
        <v>434992</v>
      </c>
      <c r="AA18" s="24" t="n">
        <f aca="false">+N18*$D18</f>
        <v>0</v>
      </c>
      <c r="AB18" s="24" t="n">
        <f aca="false">+O18*$D18</f>
        <v>0</v>
      </c>
      <c r="AC18" s="24" t="n">
        <f aca="false">+P18*$D18</f>
        <v>0</v>
      </c>
      <c r="AD18" s="24" t="n">
        <f aca="false">+Q18*$D18</f>
        <v>0</v>
      </c>
      <c r="AE18" s="24" t="n">
        <f aca="false">+R18*$D18</f>
        <v>0</v>
      </c>
    </row>
    <row r="19" customFormat="false" ht="12.75" hidden="false" customHeight="false" outlineLevel="0" collapsed="false">
      <c r="A19" s="6" t="s">
        <v>28</v>
      </c>
      <c r="B19" s="30" t="s">
        <v>42</v>
      </c>
      <c r="C19" s="31" t="n">
        <v>24194</v>
      </c>
      <c r="D19" s="32" t="n">
        <v>10000</v>
      </c>
      <c r="E19" s="22"/>
      <c r="F19" s="29" t="s">
        <v>43</v>
      </c>
      <c r="G19" s="29" t="n">
        <v>37164</v>
      </c>
      <c r="H19" s="24" t="n">
        <v>366</v>
      </c>
      <c r="I19" s="24" t="n">
        <f aca="false">+G19-"12/31/00"</f>
        <v>273</v>
      </c>
      <c r="J19" s="24" t="n">
        <v>0</v>
      </c>
      <c r="K19" s="24" t="n">
        <v>0</v>
      </c>
      <c r="L19" s="24" t="n">
        <v>0</v>
      </c>
      <c r="M19" s="24" t="n">
        <v>0</v>
      </c>
      <c r="N19" s="24" t="n">
        <v>0</v>
      </c>
      <c r="O19" s="24" t="n">
        <v>0</v>
      </c>
      <c r="P19" s="24" t="n">
        <v>0</v>
      </c>
      <c r="Q19" s="24" t="n">
        <v>0</v>
      </c>
      <c r="R19" s="24" t="n">
        <v>0</v>
      </c>
      <c r="S19" s="27"/>
      <c r="T19" s="28"/>
      <c r="U19" s="24" t="n">
        <f aca="false">+H19*$D19</f>
        <v>3660000</v>
      </c>
      <c r="V19" s="24" t="n">
        <f aca="false">+I19*$D19</f>
        <v>2730000</v>
      </c>
      <c r="W19" s="24" t="n">
        <f aca="false">+J19*$D19</f>
        <v>0</v>
      </c>
      <c r="X19" s="24" t="n">
        <f aca="false">+K19*$D19</f>
        <v>0</v>
      </c>
      <c r="Y19" s="24" t="n">
        <f aca="false">+L19*$D19</f>
        <v>0</v>
      </c>
      <c r="Z19" s="24" t="n">
        <f aca="false">+M19*$D19</f>
        <v>0</v>
      </c>
      <c r="AA19" s="24" t="n">
        <f aca="false">+N19*$D19</f>
        <v>0</v>
      </c>
      <c r="AB19" s="24" t="n">
        <f aca="false">+O19*$D19</f>
        <v>0</v>
      </c>
      <c r="AC19" s="24" t="n">
        <f aca="false">+P19*$D19</f>
        <v>0</v>
      </c>
      <c r="AD19" s="24" t="n">
        <f aca="false">+Q19*$D19</f>
        <v>0</v>
      </c>
      <c r="AE19" s="24" t="n">
        <f aca="false">+R19*$D19</f>
        <v>0</v>
      </c>
    </row>
    <row r="20" customFormat="false" ht="12.75" hidden="false" customHeight="false" outlineLevel="0" collapsed="false">
      <c r="A20" s="6" t="s">
        <v>28</v>
      </c>
      <c r="B20" s="30" t="s">
        <v>44</v>
      </c>
      <c r="C20" s="31" t="s">
        <v>45</v>
      </c>
      <c r="D20" s="32" t="n">
        <v>35714</v>
      </c>
      <c r="E20" s="22"/>
      <c r="F20" s="29" t="n">
        <v>34851</v>
      </c>
      <c r="G20" s="29" t="n">
        <v>37407</v>
      </c>
      <c r="H20" s="24" t="n">
        <v>366</v>
      </c>
      <c r="I20" s="24" t="n">
        <v>365</v>
      </c>
      <c r="J20" s="24" t="n">
        <f aca="false">+G20-"12/31/01"</f>
        <v>151</v>
      </c>
      <c r="K20" s="24" t="n">
        <v>0</v>
      </c>
      <c r="L20" s="24" t="n">
        <v>0</v>
      </c>
      <c r="M20" s="24" t="n">
        <v>0</v>
      </c>
      <c r="N20" s="24" t="n">
        <v>0</v>
      </c>
      <c r="O20" s="24" t="n">
        <v>0</v>
      </c>
      <c r="P20" s="24" t="n">
        <v>0</v>
      </c>
      <c r="Q20" s="24" t="n">
        <v>0</v>
      </c>
      <c r="R20" s="24" t="n">
        <v>0</v>
      </c>
      <c r="S20" s="27"/>
      <c r="T20" s="28"/>
      <c r="U20" s="24" t="n">
        <f aca="false">+H20*$D20</f>
        <v>13071324</v>
      </c>
      <c r="V20" s="24" t="n">
        <f aca="false">+I20*$D20</f>
        <v>13035610</v>
      </c>
      <c r="W20" s="24" t="n">
        <f aca="false">+J20*$D20</f>
        <v>5392814</v>
      </c>
      <c r="X20" s="24" t="n">
        <f aca="false">+K20*$D20</f>
        <v>0</v>
      </c>
      <c r="Y20" s="24" t="n">
        <f aca="false">+L20*$D20</f>
        <v>0</v>
      </c>
      <c r="Z20" s="24" t="n">
        <f aca="false">+M20*$D20</f>
        <v>0</v>
      </c>
      <c r="AA20" s="24" t="n">
        <f aca="false">+N20*$D20</f>
        <v>0</v>
      </c>
      <c r="AB20" s="24" t="n">
        <f aca="false">+O20*$D20</f>
        <v>0</v>
      </c>
      <c r="AC20" s="24" t="n">
        <f aca="false">+P20*$D20</f>
        <v>0</v>
      </c>
      <c r="AD20" s="24" t="n">
        <f aca="false">+Q20*$D20</f>
        <v>0</v>
      </c>
      <c r="AE20" s="24" t="n">
        <f aca="false">+R20*$D20</f>
        <v>0</v>
      </c>
    </row>
    <row r="21" customFormat="false" ht="12.75" hidden="false" customHeight="false" outlineLevel="0" collapsed="false">
      <c r="A21" s="6" t="s">
        <v>28</v>
      </c>
      <c r="B21" s="26" t="s">
        <v>46</v>
      </c>
      <c r="C21" s="20" t="n">
        <v>27161</v>
      </c>
      <c r="D21" s="21" t="n">
        <v>400000</v>
      </c>
      <c r="E21" s="22"/>
      <c r="F21" s="23" t="n">
        <v>36617</v>
      </c>
      <c r="G21" s="23" t="n">
        <v>37711</v>
      </c>
      <c r="H21" s="24" t="n">
        <f aca="false">"1/01/01"-F21</f>
        <v>275</v>
      </c>
      <c r="I21" s="24" t="n">
        <v>365</v>
      </c>
      <c r="J21" s="24" t="n">
        <v>365</v>
      </c>
      <c r="K21" s="24" t="n">
        <f aca="false">+G21-"12/31/02"</f>
        <v>90</v>
      </c>
      <c r="L21" s="24" t="n">
        <v>0</v>
      </c>
      <c r="M21" s="24" t="n">
        <v>0</v>
      </c>
      <c r="N21" s="24" t="n">
        <v>0</v>
      </c>
      <c r="O21" s="24" t="n">
        <v>0</v>
      </c>
      <c r="P21" s="24" t="n">
        <v>0</v>
      </c>
      <c r="Q21" s="24" t="n">
        <v>0</v>
      </c>
      <c r="R21" s="24" t="n">
        <v>0</v>
      </c>
      <c r="U21" s="24" t="n">
        <f aca="false">+H21*$D21</f>
        <v>110000000</v>
      </c>
      <c r="V21" s="24" t="n">
        <f aca="false">+I21*$D21</f>
        <v>146000000</v>
      </c>
      <c r="W21" s="24" t="n">
        <f aca="false">+J21*$D21</f>
        <v>146000000</v>
      </c>
      <c r="X21" s="24" t="n">
        <f aca="false">+K21*$D21</f>
        <v>36000000</v>
      </c>
      <c r="Y21" s="24" t="n">
        <f aca="false">+L21*$D21</f>
        <v>0</v>
      </c>
      <c r="Z21" s="24" t="n">
        <f aca="false">+M21*$D21</f>
        <v>0</v>
      </c>
      <c r="AA21" s="24" t="n">
        <f aca="false">+N21*$D21</f>
        <v>0</v>
      </c>
      <c r="AB21" s="24" t="n">
        <f aca="false">+O21*$D21</f>
        <v>0</v>
      </c>
      <c r="AC21" s="24" t="n">
        <f aca="false">+P21*$D21</f>
        <v>0</v>
      </c>
      <c r="AD21" s="24" t="n">
        <f aca="false">+Q21*$D21</f>
        <v>0</v>
      </c>
      <c r="AE21" s="24" t="n">
        <f aca="false">+R21*$D21</f>
        <v>0</v>
      </c>
    </row>
    <row r="22" customFormat="false" ht="12.75" hidden="false" customHeight="false" outlineLevel="0" collapsed="false">
      <c r="A22" s="6" t="s">
        <v>28</v>
      </c>
      <c r="B22" s="19" t="s">
        <v>47</v>
      </c>
      <c r="C22" s="20" t="n">
        <v>24809</v>
      </c>
      <c r="D22" s="21" t="n">
        <v>20000</v>
      </c>
      <c r="G22" s="23" t="n">
        <v>37225</v>
      </c>
      <c r="H22" s="24" t="n">
        <v>366</v>
      </c>
      <c r="I22" s="25" t="n">
        <f aca="false">+G22-"12/31/00"</f>
        <v>334</v>
      </c>
      <c r="U22" s="24" t="n">
        <f aca="false">+H22*$D22</f>
        <v>7320000</v>
      </c>
    </row>
    <row r="23" customFormat="false" ht="12.75" hidden="false" customHeight="false" outlineLevel="0" collapsed="false">
      <c r="A23" s="6" t="s">
        <v>28</v>
      </c>
      <c r="B23" s="19" t="s">
        <v>48</v>
      </c>
      <c r="C23" s="20" t="n">
        <v>27420</v>
      </c>
      <c r="D23" s="21" t="n">
        <v>2500</v>
      </c>
      <c r="E23" s="22"/>
      <c r="F23" s="23" t="n">
        <v>36861</v>
      </c>
      <c r="G23" s="23" t="n">
        <v>37225</v>
      </c>
      <c r="H23" s="24" t="n">
        <v>31</v>
      </c>
      <c r="I23" s="24" t="n">
        <f aca="false">+G23-"12/31/00"</f>
        <v>334</v>
      </c>
      <c r="J23" s="24" t="n">
        <v>0</v>
      </c>
      <c r="K23" s="24" t="n">
        <v>0</v>
      </c>
      <c r="L23" s="24" t="n">
        <v>0</v>
      </c>
      <c r="M23" s="24" t="n">
        <v>0</v>
      </c>
      <c r="N23" s="24" t="n">
        <v>0</v>
      </c>
      <c r="O23" s="24" t="n">
        <v>0</v>
      </c>
      <c r="P23" s="24" t="n">
        <v>0</v>
      </c>
      <c r="Q23" s="24" t="n">
        <v>0</v>
      </c>
      <c r="R23" s="24" t="n">
        <v>0</v>
      </c>
      <c r="U23" s="24" t="n">
        <f aca="false">+H23*$D23</f>
        <v>77500</v>
      </c>
      <c r="V23" s="24" t="n">
        <f aca="false">+I23*$D23</f>
        <v>835000</v>
      </c>
      <c r="W23" s="24" t="n">
        <f aca="false">+J23*$D23</f>
        <v>0</v>
      </c>
      <c r="X23" s="24" t="n">
        <f aca="false">+K23*$D23</f>
        <v>0</v>
      </c>
      <c r="Y23" s="24" t="n">
        <f aca="false">+L23*$D23</f>
        <v>0</v>
      </c>
      <c r="Z23" s="24" t="n">
        <f aca="false">+M23*$D23</f>
        <v>0</v>
      </c>
      <c r="AA23" s="24" t="n">
        <f aca="false">+N23*$D23</f>
        <v>0</v>
      </c>
      <c r="AB23" s="24" t="n">
        <f aca="false">+O23*$D23</f>
        <v>0</v>
      </c>
      <c r="AC23" s="24" t="n">
        <f aca="false">+P23*$D23</f>
        <v>0</v>
      </c>
      <c r="AD23" s="24" t="n">
        <f aca="false">+Q23*$D23</f>
        <v>0</v>
      </c>
      <c r="AE23" s="24" t="n">
        <f aca="false">+R23*$D23</f>
        <v>0</v>
      </c>
    </row>
    <row r="24" customFormat="false" ht="12.75" hidden="false" customHeight="false" outlineLevel="0" collapsed="false">
      <c r="A24" s="6"/>
      <c r="B24" s="19"/>
      <c r="C24" s="20"/>
      <c r="D24" s="21"/>
      <c r="E24" s="22"/>
      <c r="F24" s="23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customFormat="false" ht="12.75" hidden="false" customHeight="false" outlineLevel="0" collapsed="false">
      <c r="A25" s="6"/>
      <c r="B25" s="19"/>
      <c r="C25" s="20"/>
      <c r="D25" s="21"/>
      <c r="E25" s="22"/>
      <c r="F25" s="23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customFormat="false" ht="12.75" hidden="false" customHeight="false" outlineLevel="0" collapsed="false">
      <c r="A26" s="6" t="s">
        <v>49</v>
      </c>
      <c r="B26" s="22" t="s">
        <v>29</v>
      </c>
      <c r="C26" s="33" t="n">
        <v>26490</v>
      </c>
      <c r="D26" s="0" t="n">
        <v>70000</v>
      </c>
      <c r="E26" s="2" t="n">
        <v>0.14</v>
      </c>
      <c r="F26" s="34" t="n">
        <v>36100</v>
      </c>
      <c r="G26" s="35" t="n">
        <v>37925</v>
      </c>
      <c r="H26" s="36" t="n">
        <v>366</v>
      </c>
      <c r="I26" s="36" t="n">
        <v>365</v>
      </c>
      <c r="J26" s="36" t="n">
        <v>365</v>
      </c>
      <c r="K26" s="36" t="n">
        <f aca="false">+G26-"12/31/02"</f>
        <v>304</v>
      </c>
      <c r="L26" s="36" t="n">
        <v>0</v>
      </c>
      <c r="M26" s="36" t="n">
        <v>0</v>
      </c>
      <c r="N26" s="36" t="n">
        <v>0</v>
      </c>
      <c r="O26" s="36" t="n">
        <v>0</v>
      </c>
      <c r="P26" s="36" t="n">
        <v>0</v>
      </c>
      <c r="Q26" s="36" t="n">
        <v>0</v>
      </c>
      <c r="R26" s="36" t="n">
        <v>0</v>
      </c>
      <c r="S26" s="24"/>
      <c r="T26" s="28"/>
      <c r="U26" s="24" t="n">
        <f aca="false">+H26*$D26</f>
        <v>25620000</v>
      </c>
      <c r="V26" s="24" t="n">
        <f aca="false">+I26*$D26</f>
        <v>25550000</v>
      </c>
      <c r="W26" s="24" t="n">
        <f aca="false">+J26*$D26</f>
        <v>25550000</v>
      </c>
      <c r="X26" s="24" t="n">
        <f aca="false">+K26*$D26</f>
        <v>21280000</v>
      </c>
      <c r="Y26" s="24" t="n">
        <f aca="false">+L26*$D26</f>
        <v>0</v>
      </c>
      <c r="Z26" s="24" t="n">
        <f aca="false">+M26*$D26</f>
        <v>0</v>
      </c>
      <c r="AA26" s="24" t="n">
        <f aca="false">+N26*$D26</f>
        <v>0</v>
      </c>
      <c r="AB26" s="24" t="n">
        <f aca="false">+O26*$D26</f>
        <v>0</v>
      </c>
      <c r="AC26" s="24" t="n">
        <f aca="false">+P26*$D26</f>
        <v>0</v>
      </c>
      <c r="AD26" s="24" t="n">
        <f aca="false">+Q26*$D26</f>
        <v>0</v>
      </c>
      <c r="AE26" s="24" t="n">
        <f aca="false">+R26*$D26</f>
        <v>0</v>
      </c>
      <c r="AG26" s="27" t="n">
        <f aca="false">+U26*$E26</f>
        <v>3586800</v>
      </c>
      <c r="AH26" s="27" t="n">
        <f aca="false">+V26*$E26</f>
        <v>3577000</v>
      </c>
      <c r="AI26" s="27" t="n">
        <f aca="false">+W26*$E26</f>
        <v>3577000</v>
      </c>
      <c r="AJ26" s="27" t="n">
        <f aca="false">+X26*$E26</f>
        <v>2979200</v>
      </c>
      <c r="AK26" s="27" t="n">
        <f aca="false">+Y26*$E26</f>
        <v>0</v>
      </c>
      <c r="AL26" s="27" t="n">
        <f aca="false">+Z26*$E26</f>
        <v>0</v>
      </c>
      <c r="AM26" s="27" t="n">
        <f aca="false">+AA26*$E26</f>
        <v>0</v>
      </c>
      <c r="AN26" s="27" t="n">
        <f aca="false">+AB26*$E26</f>
        <v>0</v>
      </c>
      <c r="AO26" s="27" t="n">
        <f aca="false">+AC26*$E26</f>
        <v>0</v>
      </c>
      <c r="AP26" s="27" t="n">
        <f aca="false">+AD26*$E26</f>
        <v>0</v>
      </c>
      <c r="AQ26" s="27" t="n">
        <f aca="false">+AE26*$E26</f>
        <v>0</v>
      </c>
    </row>
    <row r="27" customFormat="false" ht="12.75" hidden="false" customHeight="false" outlineLevel="0" collapsed="false">
      <c r="A27" s="6" t="s">
        <v>49</v>
      </c>
      <c r="B27" s="22" t="s">
        <v>50</v>
      </c>
      <c r="C27" s="37" t="n">
        <v>27334</v>
      </c>
      <c r="D27" s="0" t="n">
        <v>14000</v>
      </c>
      <c r="E27" s="2"/>
      <c r="F27" s="34" t="n">
        <v>36982</v>
      </c>
      <c r="G27" s="35" t="n">
        <v>37195</v>
      </c>
      <c r="H27" s="36" t="n">
        <v>0</v>
      </c>
      <c r="I27" s="36" t="n">
        <f aca="false">"11/1/01"-F27</f>
        <v>214</v>
      </c>
      <c r="J27" s="36" t="n">
        <v>0</v>
      </c>
      <c r="K27" s="36" t="n">
        <v>0</v>
      </c>
      <c r="L27" s="36" t="n">
        <v>0</v>
      </c>
      <c r="M27" s="36" t="n">
        <v>0</v>
      </c>
      <c r="N27" s="36" t="n">
        <v>0</v>
      </c>
      <c r="O27" s="36" t="n">
        <v>0</v>
      </c>
      <c r="P27" s="36" t="n">
        <v>0</v>
      </c>
      <c r="Q27" s="36" t="n">
        <v>0</v>
      </c>
      <c r="R27" s="36" t="n">
        <v>0</v>
      </c>
      <c r="S27" s="38"/>
      <c r="T27" s="28"/>
      <c r="U27" s="24" t="n">
        <f aca="false">+H27*$D27</f>
        <v>0</v>
      </c>
      <c r="V27" s="24" t="n">
        <f aca="false">+I27*$D27</f>
        <v>2996000</v>
      </c>
      <c r="W27" s="24" t="n">
        <f aca="false">+J27*$D27</f>
        <v>0</v>
      </c>
      <c r="X27" s="24" t="n">
        <f aca="false">+K27*$D27</f>
        <v>0</v>
      </c>
      <c r="Y27" s="24" t="n">
        <f aca="false">+L27*$D27</f>
        <v>0</v>
      </c>
      <c r="Z27" s="24" t="n">
        <f aca="false">+M27*$D27</f>
        <v>0</v>
      </c>
      <c r="AA27" s="24" t="n">
        <f aca="false">+N27*$D27</f>
        <v>0</v>
      </c>
      <c r="AB27" s="24" t="n">
        <f aca="false">+O27*$D27</f>
        <v>0</v>
      </c>
      <c r="AC27" s="24" t="n">
        <f aca="false">+P27*$D27</f>
        <v>0</v>
      </c>
      <c r="AD27" s="24" t="n">
        <f aca="false">+Q27*$D27</f>
        <v>0</v>
      </c>
      <c r="AE27" s="24" t="n">
        <f aca="false">+R27*$D27</f>
        <v>0</v>
      </c>
      <c r="AG27" s="27" t="n">
        <f aca="false">+U27*$E27</f>
        <v>0</v>
      </c>
      <c r="AH27" s="27" t="n">
        <f aca="false">+V27*$E27</f>
        <v>0</v>
      </c>
      <c r="AI27" s="27" t="n">
        <f aca="false">+W27*$E27</f>
        <v>0</v>
      </c>
      <c r="AJ27" s="27" t="n">
        <f aca="false">+X27*$E27</f>
        <v>0</v>
      </c>
      <c r="AK27" s="27" t="n">
        <f aca="false">+Y27*$E27</f>
        <v>0</v>
      </c>
      <c r="AL27" s="27" t="n">
        <f aca="false">+Z27*$E27</f>
        <v>0</v>
      </c>
      <c r="AM27" s="27" t="n">
        <f aca="false">+AA27*$E27</f>
        <v>0</v>
      </c>
      <c r="AN27" s="27" t="n">
        <f aca="false">+AB27*$E27</f>
        <v>0</v>
      </c>
      <c r="AO27" s="27" t="n">
        <f aca="false">+AC27*$E27</f>
        <v>0</v>
      </c>
      <c r="AP27" s="27" t="n">
        <f aca="false">+AD27*$E27</f>
        <v>0</v>
      </c>
      <c r="AQ27" s="27" t="n">
        <f aca="false">+AE27*$E27</f>
        <v>0</v>
      </c>
    </row>
    <row r="28" customFormat="false" ht="12.75" hidden="false" customHeight="false" outlineLevel="0" collapsed="false">
      <c r="A28" s="6" t="s">
        <v>49</v>
      </c>
      <c r="B28" s="22" t="s">
        <v>51</v>
      </c>
      <c r="C28" s="33" t="n">
        <v>26683</v>
      </c>
      <c r="D28" s="0" t="n">
        <v>8000</v>
      </c>
      <c r="E28" s="2" t="n">
        <v>0.152</v>
      </c>
      <c r="F28" s="34" t="n">
        <v>36220</v>
      </c>
      <c r="G28" s="35" t="n">
        <v>37346</v>
      </c>
      <c r="H28" s="36" t="n">
        <v>366</v>
      </c>
      <c r="I28" s="36" t="n">
        <v>365</v>
      </c>
      <c r="J28" s="36" t="n">
        <f aca="false">+G28-"12/31/01"</f>
        <v>90</v>
      </c>
      <c r="K28" s="36" t="n">
        <v>0</v>
      </c>
      <c r="L28" s="36" t="n">
        <v>0</v>
      </c>
      <c r="M28" s="36" t="n">
        <v>0</v>
      </c>
      <c r="N28" s="36" t="n">
        <v>0</v>
      </c>
      <c r="O28" s="36" t="n">
        <v>0</v>
      </c>
      <c r="P28" s="36" t="n">
        <v>0</v>
      </c>
      <c r="Q28" s="36" t="n">
        <v>0</v>
      </c>
      <c r="R28" s="36" t="n">
        <v>0</v>
      </c>
      <c r="S28" s="24"/>
      <c r="T28" s="28"/>
      <c r="U28" s="24" t="n">
        <f aca="false">+H28*$D28</f>
        <v>2928000</v>
      </c>
      <c r="V28" s="24" t="n">
        <f aca="false">+I28*$D28</f>
        <v>2920000</v>
      </c>
      <c r="W28" s="24" t="n">
        <f aca="false">+J28*$D28</f>
        <v>720000</v>
      </c>
      <c r="X28" s="24" t="n">
        <f aca="false">+K28*$D28</f>
        <v>0</v>
      </c>
      <c r="Y28" s="24" t="n">
        <f aca="false">+L28*$D28</f>
        <v>0</v>
      </c>
      <c r="Z28" s="24" t="n">
        <f aca="false">+M28*$D28</f>
        <v>0</v>
      </c>
      <c r="AA28" s="24" t="n">
        <f aca="false">+N28*$D28</f>
        <v>0</v>
      </c>
      <c r="AB28" s="24" t="n">
        <f aca="false">+O28*$D28</f>
        <v>0</v>
      </c>
      <c r="AC28" s="24" t="n">
        <f aca="false">+P28*$D28</f>
        <v>0</v>
      </c>
      <c r="AD28" s="24" t="n">
        <f aca="false">+Q28*$D28</f>
        <v>0</v>
      </c>
      <c r="AE28" s="24" t="n">
        <f aca="false">+R28*$D28</f>
        <v>0</v>
      </c>
      <c r="AG28" s="27" t="n">
        <f aca="false">+U28*$E28</f>
        <v>445056</v>
      </c>
      <c r="AH28" s="27" t="n">
        <f aca="false">+V28*$E28</f>
        <v>443840</v>
      </c>
      <c r="AI28" s="27" t="n">
        <f aca="false">+W28*$E28</f>
        <v>109440</v>
      </c>
      <c r="AJ28" s="27" t="n">
        <f aca="false">+X28*$E28</f>
        <v>0</v>
      </c>
      <c r="AK28" s="27" t="n">
        <f aca="false">+Y28*$E28</f>
        <v>0</v>
      </c>
      <c r="AL28" s="27" t="n">
        <f aca="false">+Z28*$E28</f>
        <v>0</v>
      </c>
      <c r="AM28" s="27" t="n">
        <f aca="false">+AA28*$E28</f>
        <v>0</v>
      </c>
      <c r="AN28" s="27" t="n">
        <f aca="false">+AB28*$E28</f>
        <v>0</v>
      </c>
      <c r="AO28" s="27" t="n">
        <f aca="false">+AC28*$E28</f>
        <v>0</v>
      </c>
      <c r="AP28" s="27" t="n">
        <f aca="false">+AD28*$E28</f>
        <v>0</v>
      </c>
      <c r="AQ28" s="27" t="n">
        <f aca="false">+AE28*$E28</f>
        <v>0</v>
      </c>
    </row>
    <row r="29" customFormat="false" ht="12.75" hidden="false" customHeight="false" outlineLevel="0" collapsed="false">
      <c r="A29" s="6" t="s">
        <v>49</v>
      </c>
      <c r="B29" s="22" t="s">
        <v>35</v>
      </c>
      <c r="C29" s="0" t="n">
        <v>25838</v>
      </c>
      <c r="D29" s="0" t="n">
        <v>10475</v>
      </c>
      <c r="E29" s="2" t="n">
        <v>0.085</v>
      </c>
      <c r="F29" s="34"/>
      <c r="G29" s="35" t="n">
        <v>36556</v>
      </c>
      <c r="H29" s="36" t="n">
        <f aca="false">G29-"12/31/99"</f>
        <v>31</v>
      </c>
      <c r="I29" s="36" t="n">
        <v>0</v>
      </c>
      <c r="J29" s="36" t="n">
        <v>0</v>
      </c>
      <c r="K29" s="36" t="n">
        <v>0</v>
      </c>
      <c r="L29" s="36" t="n">
        <v>0</v>
      </c>
      <c r="M29" s="36" t="n">
        <v>0</v>
      </c>
      <c r="N29" s="36" t="n">
        <v>0</v>
      </c>
      <c r="O29" s="36" t="n">
        <v>0</v>
      </c>
      <c r="P29" s="36" t="n">
        <v>0</v>
      </c>
      <c r="Q29" s="36" t="n">
        <v>0</v>
      </c>
      <c r="R29" s="36" t="n">
        <v>0</v>
      </c>
      <c r="S29" s="24"/>
      <c r="T29" s="28"/>
      <c r="U29" s="24" t="n">
        <f aca="false">+H29*$D29</f>
        <v>324725</v>
      </c>
      <c r="V29" s="24" t="n">
        <f aca="false">+I29*$D29</f>
        <v>0</v>
      </c>
      <c r="W29" s="24" t="n">
        <f aca="false">+J29*$D29</f>
        <v>0</v>
      </c>
      <c r="X29" s="24" t="n">
        <f aca="false">+K29*$D29</f>
        <v>0</v>
      </c>
      <c r="Y29" s="24" t="n">
        <f aca="false">+L29*$D29</f>
        <v>0</v>
      </c>
      <c r="Z29" s="24" t="n">
        <f aca="false">+M29*$D29</f>
        <v>0</v>
      </c>
      <c r="AA29" s="24" t="n">
        <f aca="false">+N29*$D29</f>
        <v>0</v>
      </c>
      <c r="AB29" s="24" t="n">
        <f aca="false">+O29*$D29</f>
        <v>0</v>
      </c>
      <c r="AC29" s="24" t="n">
        <f aca="false">+P29*$D29</f>
        <v>0</v>
      </c>
      <c r="AD29" s="24" t="n">
        <f aca="false">+Q29*$D29</f>
        <v>0</v>
      </c>
      <c r="AE29" s="24" t="n">
        <f aca="false">+R29*$D29</f>
        <v>0</v>
      </c>
      <c r="AG29" s="27" t="n">
        <f aca="false">+U29*$E29</f>
        <v>27601.625</v>
      </c>
      <c r="AH29" s="27" t="n">
        <f aca="false">+V29*$E29</f>
        <v>0</v>
      </c>
      <c r="AI29" s="27" t="n">
        <f aca="false">+W29*$E29</f>
        <v>0</v>
      </c>
      <c r="AJ29" s="27" t="n">
        <f aca="false">+X29*$E29</f>
        <v>0</v>
      </c>
      <c r="AK29" s="27" t="n">
        <f aca="false">+Y29*$E29</f>
        <v>0</v>
      </c>
      <c r="AL29" s="27" t="n">
        <f aca="false">+Z29*$E29</f>
        <v>0</v>
      </c>
      <c r="AM29" s="27" t="n">
        <f aca="false">+AA29*$E29</f>
        <v>0</v>
      </c>
      <c r="AN29" s="27" t="n">
        <f aca="false">+AB29*$E29</f>
        <v>0</v>
      </c>
      <c r="AO29" s="27" t="n">
        <f aca="false">+AC29*$E29</f>
        <v>0</v>
      </c>
      <c r="AP29" s="27" t="n">
        <f aca="false">+AD29*$E29</f>
        <v>0</v>
      </c>
      <c r="AQ29" s="27" t="n">
        <f aca="false">+AE29*$E29</f>
        <v>0</v>
      </c>
    </row>
    <row r="30" customFormat="false" ht="12.75" hidden="false" customHeight="false" outlineLevel="0" collapsed="false">
      <c r="A30" s="6" t="s">
        <v>49</v>
      </c>
      <c r="B30" s="22" t="s">
        <v>35</v>
      </c>
      <c r="C30" s="37" t="n">
        <v>26758</v>
      </c>
      <c r="D30" s="0" t="n">
        <v>40000</v>
      </c>
      <c r="E30" s="2"/>
      <c r="F30" s="34" t="n">
        <v>36647</v>
      </c>
      <c r="G30" s="35" t="n">
        <v>38472</v>
      </c>
      <c r="H30" s="36" t="n">
        <f aca="false">"1/01/01"-F30</f>
        <v>245</v>
      </c>
      <c r="I30" s="36" t="n">
        <v>365</v>
      </c>
      <c r="J30" s="36" t="n">
        <v>365</v>
      </c>
      <c r="K30" s="36" t="n">
        <v>365</v>
      </c>
      <c r="L30" s="36" t="n">
        <f aca="false">G30-"12/31/04"</f>
        <v>120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24"/>
      <c r="T30" s="28"/>
      <c r="U30" s="24"/>
      <c r="V30" s="24" t="n">
        <f aca="false">+I30*$D30</f>
        <v>14600000</v>
      </c>
      <c r="W30" s="24"/>
      <c r="X30" s="24"/>
      <c r="Y30" s="24"/>
      <c r="Z30" s="24"/>
      <c r="AA30" s="24"/>
      <c r="AB30" s="24"/>
      <c r="AC30" s="24"/>
      <c r="AD30" s="24"/>
      <c r="AE30" s="24"/>
      <c r="AG30" s="27" t="n">
        <f aca="false">+U30*$E30</f>
        <v>0</v>
      </c>
      <c r="AH30" s="27" t="n">
        <f aca="false">+V30*$E30</f>
        <v>0</v>
      </c>
      <c r="AI30" s="27" t="n">
        <f aca="false">+W30*$E30</f>
        <v>0</v>
      </c>
      <c r="AJ30" s="27" t="n">
        <f aca="false">+X30*$E30</f>
        <v>0</v>
      </c>
      <c r="AK30" s="27" t="n">
        <f aca="false">+Y30*$E30</f>
        <v>0</v>
      </c>
      <c r="AL30" s="27" t="n">
        <f aca="false">+Z30*$E30</f>
        <v>0</v>
      </c>
      <c r="AM30" s="27" t="n">
        <f aca="false">+AA30*$E30</f>
        <v>0</v>
      </c>
      <c r="AN30" s="27" t="n">
        <f aca="false">+AB30*$E30</f>
        <v>0</v>
      </c>
      <c r="AO30" s="27" t="n">
        <f aca="false">+AC30*$E30</f>
        <v>0</v>
      </c>
      <c r="AP30" s="27" t="n">
        <f aca="false">+AD30*$E30</f>
        <v>0</v>
      </c>
      <c r="AQ30" s="27" t="n">
        <f aca="false">+AE30*$E30</f>
        <v>0</v>
      </c>
    </row>
    <row r="31" customFormat="false" ht="12.75" hidden="false" customHeight="false" outlineLevel="0" collapsed="false">
      <c r="A31" s="6" t="s">
        <v>49</v>
      </c>
      <c r="B31" s="22" t="s">
        <v>52</v>
      </c>
      <c r="C31" s="0" t="n">
        <v>25847</v>
      </c>
      <c r="D31" s="0" t="n">
        <v>20000</v>
      </c>
      <c r="E31" s="2" t="n">
        <v>0.126</v>
      </c>
      <c r="F31" s="34"/>
      <c r="G31" s="35" t="n">
        <v>36556</v>
      </c>
      <c r="H31" s="36" t="n">
        <f aca="false">G31-"12/31/99"</f>
        <v>31</v>
      </c>
      <c r="I31" s="36" t="n">
        <v>0</v>
      </c>
      <c r="J31" s="36" t="n">
        <v>0</v>
      </c>
      <c r="K31" s="36" t="n">
        <v>0</v>
      </c>
      <c r="L31" s="36" t="n">
        <v>0</v>
      </c>
      <c r="M31" s="36" t="n">
        <v>0</v>
      </c>
      <c r="N31" s="36" t="n">
        <v>0</v>
      </c>
      <c r="O31" s="36" t="n">
        <v>0</v>
      </c>
      <c r="P31" s="36" t="n">
        <v>0</v>
      </c>
      <c r="Q31" s="36" t="n">
        <v>0</v>
      </c>
      <c r="R31" s="36" t="n">
        <v>0</v>
      </c>
      <c r="S31" s="24"/>
      <c r="T31" s="28"/>
      <c r="U31" s="24" t="n">
        <f aca="false">+H31*$D31</f>
        <v>620000</v>
      </c>
      <c r="V31" s="24" t="n">
        <f aca="false">+I31*$D31</f>
        <v>0</v>
      </c>
      <c r="W31" s="24" t="n">
        <f aca="false">+J31*$D31</f>
        <v>0</v>
      </c>
      <c r="X31" s="24" t="n">
        <f aca="false">+K31*$D31</f>
        <v>0</v>
      </c>
      <c r="Y31" s="24" t="n">
        <f aca="false">+L31*$D31</f>
        <v>0</v>
      </c>
      <c r="Z31" s="24" t="n">
        <f aca="false">+M31*$D31</f>
        <v>0</v>
      </c>
      <c r="AA31" s="24" t="n">
        <f aca="false">+N31*$D31</f>
        <v>0</v>
      </c>
      <c r="AB31" s="24" t="n">
        <f aca="false">+O31*$D31</f>
        <v>0</v>
      </c>
      <c r="AC31" s="24" t="n">
        <f aca="false">+P31*$D31</f>
        <v>0</v>
      </c>
      <c r="AD31" s="24" t="n">
        <f aca="false">+Q31*$D31</f>
        <v>0</v>
      </c>
      <c r="AE31" s="24" t="n">
        <f aca="false">+R31*$D31</f>
        <v>0</v>
      </c>
      <c r="AG31" s="27" t="n">
        <f aca="false">+U31*$E31</f>
        <v>78120</v>
      </c>
      <c r="AH31" s="27" t="n">
        <f aca="false">+V31*$E31</f>
        <v>0</v>
      </c>
      <c r="AI31" s="27" t="n">
        <f aca="false">+W31*$E31</f>
        <v>0</v>
      </c>
      <c r="AJ31" s="27" t="n">
        <f aca="false">+X31*$E31</f>
        <v>0</v>
      </c>
      <c r="AK31" s="27" t="n">
        <f aca="false">+Y31*$E31</f>
        <v>0</v>
      </c>
      <c r="AL31" s="27" t="n">
        <f aca="false">+Z31*$E31</f>
        <v>0</v>
      </c>
      <c r="AM31" s="27" t="n">
        <f aca="false">+AA31*$E31</f>
        <v>0</v>
      </c>
      <c r="AN31" s="27" t="n">
        <f aca="false">+AB31*$E31</f>
        <v>0</v>
      </c>
      <c r="AO31" s="27" t="n">
        <f aca="false">+AC31*$E31</f>
        <v>0</v>
      </c>
      <c r="AP31" s="27" t="n">
        <f aca="false">+AD31*$E31</f>
        <v>0</v>
      </c>
      <c r="AQ31" s="27" t="n">
        <f aca="false">+AE31*$E31</f>
        <v>0</v>
      </c>
    </row>
    <row r="32" customFormat="false" ht="12.75" hidden="false" customHeight="false" outlineLevel="0" collapsed="false">
      <c r="A32" s="6" t="s">
        <v>49</v>
      </c>
      <c r="B32" s="22" t="s">
        <v>53</v>
      </c>
      <c r="C32" s="0" t="n">
        <v>26635</v>
      </c>
      <c r="D32" s="0" t="n">
        <v>500</v>
      </c>
      <c r="E32" s="2"/>
      <c r="F32" s="34" t="n">
        <v>36192</v>
      </c>
      <c r="G32" s="35" t="n">
        <v>37256</v>
      </c>
      <c r="H32" s="36" t="n">
        <f aca="false">"1/01/00"-F32</f>
        <v>334</v>
      </c>
      <c r="I32" s="39" t="n">
        <f aca="false">+G32-"12/31/00"</f>
        <v>365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24"/>
      <c r="T32" s="28"/>
      <c r="U32" s="24" t="n">
        <f aca="false">+H32*$D32</f>
        <v>167000</v>
      </c>
      <c r="V32" s="24"/>
      <c r="W32" s="24" t="n">
        <f aca="false">+J32*$D32</f>
        <v>0</v>
      </c>
      <c r="X32" s="24" t="n">
        <f aca="false">+K32*$D32</f>
        <v>0</v>
      </c>
      <c r="Y32" s="24" t="n">
        <f aca="false">+L32*$D32</f>
        <v>0</v>
      </c>
      <c r="Z32" s="24" t="n">
        <f aca="false">+M32*$D32</f>
        <v>0</v>
      </c>
      <c r="AA32" s="24" t="n">
        <f aca="false">+N32*$D32</f>
        <v>0</v>
      </c>
      <c r="AB32" s="24" t="n">
        <f aca="false">+O32*$D32</f>
        <v>0</v>
      </c>
      <c r="AC32" s="24" t="n">
        <f aca="false">+P32*$D32</f>
        <v>0</v>
      </c>
      <c r="AD32" s="24" t="n">
        <f aca="false">+Q32*$D32</f>
        <v>0</v>
      </c>
      <c r="AE32" s="24" t="n">
        <f aca="false">+R32*$D32</f>
        <v>0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customFormat="false" ht="12.75" hidden="false" customHeight="false" outlineLevel="0" collapsed="false">
      <c r="A33" s="6" t="s">
        <v>49</v>
      </c>
      <c r="B33" s="22" t="s">
        <v>54</v>
      </c>
      <c r="C33" s="0" t="n">
        <v>26123</v>
      </c>
      <c r="D33" s="0" t="n">
        <v>2900</v>
      </c>
      <c r="E33" s="2" t="n">
        <v>0.15</v>
      </c>
      <c r="F33" s="34"/>
      <c r="G33" s="35" t="n">
        <v>36616</v>
      </c>
      <c r="H33" s="36" t="n">
        <f aca="false">G33-"12/31/99"</f>
        <v>91</v>
      </c>
      <c r="I33" s="36" t="n">
        <v>0</v>
      </c>
      <c r="J33" s="36" t="n">
        <v>0</v>
      </c>
      <c r="K33" s="36" t="n">
        <v>0</v>
      </c>
      <c r="L33" s="36" t="n">
        <v>0</v>
      </c>
      <c r="M33" s="36" t="n">
        <v>0</v>
      </c>
      <c r="N33" s="36" t="n">
        <v>0</v>
      </c>
      <c r="O33" s="36" t="n">
        <v>0</v>
      </c>
      <c r="P33" s="36" t="n">
        <v>0</v>
      </c>
      <c r="Q33" s="36" t="n">
        <v>0</v>
      </c>
      <c r="R33" s="36" t="n">
        <v>0</v>
      </c>
      <c r="S33" s="24"/>
      <c r="T33" s="28"/>
      <c r="U33" s="24" t="n">
        <f aca="false">+H33*$D33</f>
        <v>263900</v>
      </c>
      <c r="V33" s="24" t="n">
        <f aca="false">+I33*$D33</f>
        <v>0</v>
      </c>
      <c r="W33" s="24" t="n">
        <f aca="false">+J33*$D33</f>
        <v>0</v>
      </c>
      <c r="X33" s="24" t="n">
        <f aca="false">+K33*$D33</f>
        <v>0</v>
      </c>
      <c r="Y33" s="24" t="n">
        <f aca="false">+L33*$D33</f>
        <v>0</v>
      </c>
      <c r="Z33" s="24" t="n">
        <f aca="false">+M33*$D33</f>
        <v>0</v>
      </c>
      <c r="AA33" s="24" t="n">
        <f aca="false">+N33*$D33</f>
        <v>0</v>
      </c>
      <c r="AB33" s="24" t="n">
        <f aca="false">+O33*$D33</f>
        <v>0</v>
      </c>
      <c r="AC33" s="24" t="n">
        <f aca="false">+P33*$D33</f>
        <v>0</v>
      </c>
      <c r="AD33" s="24" t="n">
        <f aca="false">+Q33*$D33</f>
        <v>0</v>
      </c>
      <c r="AE33" s="24" t="n">
        <f aca="false">+R33*$D33</f>
        <v>0</v>
      </c>
      <c r="AG33" s="27" t="n">
        <f aca="false">+U33*$E33</f>
        <v>39585</v>
      </c>
      <c r="AH33" s="27" t="n">
        <f aca="false">+V33*$E33</f>
        <v>0</v>
      </c>
      <c r="AI33" s="27" t="n">
        <f aca="false">+W33*$E33</f>
        <v>0</v>
      </c>
      <c r="AJ33" s="27" t="n">
        <f aca="false">+X33*$E33</f>
        <v>0</v>
      </c>
      <c r="AK33" s="27" t="n">
        <f aca="false">+Y33*$E33</f>
        <v>0</v>
      </c>
      <c r="AL33" s="27" t="n">
        <f aca="false">+Z33*$E33</f>
        <v>0</v>
      </c>
      <c r="AM33" s="27" t="n">
        <f aca="false">+AA33*$E33</f>
        <v>0</v>
      </c>
      <c r="AN33" s="27" t="n">
        <f aca="false">+AB33*$E33</f>
        <v>0</v>
      </c>
      <c r="AO33" s="27" t="n">
        <f aca="false">+AC33*$E33</f>
        <v>0</v>
      </c>
      <c r="AP33" s="27" t="n">
        <f aca="false">+AD33*$E33</f>
        <v>0</v>
      </c>
      <c r="AQ33" s="27" t="n">
        <f aca="false">+AE33*$E33</f>
        <v>0</v>
      </c>
    </row>
    <row r="34" customFormat="false" ht="12.75" hidden="false" customHeight="false" outlineLevel="0" collapsed="false">
      <c r="A34" s="6" t="s">
        <v>49</v>
      </c>
      <c r="B34" s="22" t="s">
        <v>55</v>
      </c>
      <c r="C34" s="37" t="n">
        <v>27340</v>
      </c>
      <c r="D34" s="0" t="n">
        <v>20000</v>
      </c>
      <c r="E34" s="2"/>
      <c r="F34" s="34" t="n">
        <v>36923</v>
      </c>
      <c r="G34" s="35" t="n">
        <v>37287</v>
      </c>
      <c r="H34" s="36" t="n">
        <v>0</v>
      </c>
      <c r="I34" s="36" t="n">
        <f aca="false">"1/1/02"-F34</f>
        <v>334</v>
      </c>
      <c r="J34" s="36" t="n">
        <f aca="false">+G34-"12/31/01"</f>
        <v>31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8"/>
      <c r="T34" s="28"/>
      <c r="U34" s="24" t="n">
        <f aca="false">+H34*$D34</f>
        <v>0</v>
      </c>
      <c r="V34" s="24" t="n">
        <f aca="false">+I34*$D34</f>
        <v>6680000</v>
      </c>
      <c r="W34" s="24" t="n">
        <f aca="false">+J34*$D34</f>
        <v>620000</v>
      </c>
      <c r="X34" s="24" t="n">
        <f aca="false">+K34*$D34</f>
        <v>0</v>
      </c>
      <c r="Y34" s="24" t="n">
        <f aca="false">+L34*$D34</f>
        <v>0</v>
      </c>
      <c r="Z34" s="24" t="n">
        <f aca="false">+M34*$D34</f>
        <v>0</v>
      </c>
      <c r="AA34" s="24" t="n">
        <f aca="false">+N34*$D34</f>
        <v>0</v>
      </c>
      <c r="AB34" s="24" t="n">
        <f aca="false">+O34*$D34</f>
        <v>0</v>
      </c>
      <c r="AC34" s="24" t="n">
        <f aca="false">+P34*$D34</f>
        <v>0</v>
      </c>
      <c r="AD34" s="24" t="n">
        <f aca="false">+Q34*$D34</f>
        <v>0</v>
      </c>
      <c r="AE34" s="24" t="n">
        <f aca="false">+R34*$D34</f>
        <v>0</v>
      </c>
      <c r="AG34" s="27" t="n">
        <f aca="false">+U34*$E34</f>
        <v>0</v>
      </c>
      <c r="AH34" s="27" t="n">
        <f aca="false">+V34*$E34</f>
        <v>0</v>
      </c>
      <c r="AI34" s="27" t="n">
        <f aca="false">+W34*$E34</f>
        <v>0</v>
      </c>
      <c r="AJ34" s="27" t="n">
        <f aca="false">+X34*$E34</f>
        <v>0</v>
      </c>
      <c r="AK34" s="27" t="n">
        <f aca="false">+Y34*$E34</f>
        <v>0</v>
      </c>
      <c r="AL34" s="27" t="n">
        <f aca="false">+Z34*$E34</f>
        <v>0</v>
      </c>
      <c r="AM34" s="27" t="n">
        <f aca="false">+AA34*$E34</f>
        <v>0</v>
      </c>
      <c r="AN34" s="27" t="n">
        <f aca="false">+AB34*$E34</f>
        <v>0</v>
      </c>
      <c r="AO34" s="27" t="n">
        <f aca="false">+AC34*$E34</f>
        <v>0</v>
      </c>
      <c r="AP34" s="27" t="n">
        <f aca="false">+AD34*$E34</f>
        <v>0</v>
      </c>
      <c r="AQ34" s="27" t="n">
        <f aca="false">+AE34*$E34</f>
        <v>0</v>
      </c>
    </row>
    <row r="35" customFormat="false" ht="12.75" hidden="false" customHeight="false" outlineLevel="0" collapsed="false">
      <c r="A35" s="6" t="s">
        <v>49</v>
      </c>
      <c r="B35" s="22" t="s">
        <v>56</v>
      </c>
      <c r="C35" s="33" t="n">
        <v>25841</v>
      </c>
      <c r="D35" s="0" t="n">
        <v>40000</v>
      </c>
      <c r="E35" s="2" t="n">
        <v>0.0875</v>
      </c>
      <c r="F35" s="34" t="n">
        <v>35827</v>
      </c>
      <c r="G35" s="35" t="n">
        <v>37560</v>
      </c>
      <c r="H35" s="36" t="n">
        <v>366</v>
      </c>
      <c r="I35" s="36" t="n">
        <v>365</v>
      </c>
      <c r="J35" s="36" t="n">
        <f aca="false">+G35-"12/31/01"</f>
        <v>304</v>
      </c>
      <c r="K35" s="36" t="n">
        <v>0</v>
      </c>
      <c r="L35" s="36" t="n">
        <v>0</v>
      </c>
      <c r="M35" s="36" t="n">
        <v>0</v>
      </c>
      <c r="N35" s="36" t="n">
        <v>0</v>
      </c>
      <c r="O35" s="36" t="n">
        <v>0</v>
      </c>
      <c r="P35" s="36" t="n">
        <v>0</v>
      </c>
      <c r="Q35" s="36" t="n">
        <v>0</v>
      </c>
      <c r="R35" s="36" t="n">
        <v>0</v>
      </c>
      <c r="S35" s="24"/>
      <c r="T35" s="28"/>
      <c r="U35" s="24" t="n">
        <f aca="false">+H35*$D35</f>
        <v>14640000</v>
      </c>
      <c r="V35" s="24" t="n">
        <f aca="false">+I35*$D35</f>
        <v>14600000</v>
      </c>
      <c r="W35" s="24" t="n">
        <f aca="false">+J35*$D35</f>
        <v>12160000</v>
      </c>
      <c r="X35" s="24" t="n">
        <f aca="false">+K35*$D35</f>
        <v>0</v>
      </c>
      <c r="Y35" s="24" t="n">
        <f aca="false">+L35*$D35</f>
        <v>0</v>
      </c>
      <c r="Z35" s="24" t="n">
        <f aca="false">+M35*$D35</f>
        <v>0</v>
      </c>
      <c r="AA35" s="24" t="n">
        <f aca="false">+N35*$D35</f>
        <v>0</v>
      </c>
      <c r="AB35" s="24" t="n">
        <f aca="false">+O35*$D35</f>
        <v>0</v>
      </c>
      <c r="AC35" s="24" t="n">
        <f aca="false">+P35*$D35</f>
        <v>0</v>
      </c>
      <c r="AD35" s="24" t="n">
        <f aca="false">+Q35*$D35</f>
        <v>0</v>
      </c>
      <c r="AE35" s="24" t="n">
        <f aca="false">+R35*$D35</f>
        <v>0</v>
      </c>
      <c r="AG35" s="27" t="n">
        <f aca="false">+U35*$E35</f>
        <v>1281000</v>
      </c>
      <c r="AH35" s="27" t="n">
        <f aca="false">+V35*$E35</f>
        <v>1277500</v>
      </c>
      <c r="AI35" s="27" t="n">
        <f aca="false">+W35*$E35</f>
        <v>1064000</v>
      </c>
      <c r="AJ35" s="27" t="n">
        <f aca="false">+X35*$E35</f>
        <v>0</v>
      </c>
      <c r="AK35" s="27" t="n">
        <f aca="false">+Y35*$E35</f>
        <v>0</v>
      </c>
      <c r="AL35" s="27" t="n">
        <f aca="false">+Z35*$E35</f>
        <v>0</v>
      </c>
      <c r="AM35" s="27" t="n">
        <f aca="false">+AA35*$E35</f>
        <v>0</v>
      </c>
      <c r="AN35" s="27" t="n">
        <f aca="false">+AB35*$E35</f>
        <v>0</v>
      </c>
      <c r="AO35" s="27" t="n">
        <f aca="false">+AC35*$E35</f>
        <v>0</v>
      </c>
      <c r="AP35" s="27" t="n">
        <f aca="false">+AD35*$E35</f>
        <v>0</v>
      </c>
      <c r="AQ35" s="27" t="n">
        <f aca="false">+AE35*$E35</f>
        <v>0</v>
      </c>
    </row>
    <row r="36" customFormat="false" ht="12.75" hidden="false" customHeight="false" outlineLevel="0" collapsed="false">
      <c r="A36" s="6" t="s">
        <v>49</v>
      </c>
      <c r="B36" s="22" t="s">
        <v>56</v>
      </c>
      <c r="C36" s="33" t="n">
        <v>26511</v>
      </c>
      <c r="D36" s="0" t="n">
        <v>21000</v>
      </c>
      <c r="E36" s="2"/>
      <c r="F36" s="34" t="n">
        <v>36100</v>
      </c>
      <c r="G36" s="35" t="n">
        <v>37560</v>
      </c>
      <c r="H36" s="36" t="n">
        <v>366</v>
      </c>
      <c r="I36" s="36" t="n">
        <v>365</v>
      </c>
      <c r="J36" s="36" t="n">
        <f aca="false">+G36-"12/31/01"</f>
        <v>304</v>
      </c>
      <c r="K36" s="36" t="n">
        <v>0</v>
      </c>
      <c r="L36" s="36" t="n">
        <v>0</v>
      </c>
      <c r="M36" s="36" t="n">
        <v>0</v>
      </c>
      <c r="N36" s="36" t="n">
        <v>0</v>
      </c>
      <c r="O36" s="36" t="n">
        <v>0</v>
      </c>
      <c r="P36" s="36" t="n">
        <v>0</v>
      </c>
      <c r="Q36" s="36" t="n">
        <v>0</v>
      </c>
      <c r="R36" s="36" t="n">
        <v>0</v>
      </c>
      <c r="S36" s="24"/>
      <c r="T36" s="28"/>
      <c r="U36" s="24" t="n">
        <f aca="false">+H36*$D36</f>
        <v>7686000</v>
      </c>
      <c r="V36" s="24" t="n">
        <f aca="false">+I36*$D36</f>
        <v>7665000</v>
      </c>
      <c r="W36" s="24"/>
      <c r="X36" s="24"/>
      <c r="Y36" s="24"/>
      <c r="Z36" s="24"/>
      <c r="AA36" s="24"/>
      <c r="AB36" s="24"/>
      <c r="AC36" s="24"/>
      <c r="AD36" s="24"/>
      <c r="AE36" s="24"/>
      <c r="AG36" s="27" t="n">
        <f aca="false">+U36*'CSF Rates'!C17</f>
        <v>0</v>
      </c>
      <c r="AH36" s="27" t="n">
        <f aca="false">+V36*'CSF Rates'!D17</f>
        <v>0</v>
      </c>
      <c r="AI36" s="27"/>
      <c r="AJ36" s="27"/>
      <c r="AK36" s="27"/>
      <c r="AL36" s="27"/>
      <c r="AM36" s="27"/>
      <c r="AN36" s="27"/>
      <c r="AO36" s="27"/>
      <c r="AP36" s="27"/>
      <c r="AQ36" s="27"/>
    </row>
    <row r="37" customFormat="false" ht="12.75" hidden="false" customHeight="false" outlineLevel="0" collapsed="false">
      <c r="A37" s="6" t="s">
        <v>49</v>
      </c>
      <c r="B37" s="22" t="s">
        <v>57</v>
      </c>
      <c r="C37" s="37" t="n">
        <v>26819</v>
      </c>
      <c r="D37" s="0" t="n">
        <v>10000</v>
      </c>
      <c r="E37" s="2"/>
      <c r="F37" s="34" t="n">
        <v>36647</v>
      </c>
      <c r="G37" s="35" t="n">
        <v>38472</v>
      </c>
      <c r="H37" s="36" t="n">
        <f aca="false">"1/01/01"-F37</f>
        <v>245</v>
      </c>
      <c r="I37" s="36" t="n">
        <v>365</v>
      </c>
      <c r="J37" s="36" t="n">
        <v>365</v>
      </c>
      <c r="K37" s="36" t="n">
        <v>365</v>
      </c>
      <c r="L37" s="36" t="n">
        <f aca="false">G37-"12/31/04"</f>
        <v>120</v>
      </c>
      <c r="M37" s="36" t="n">
        <v>0</v>
      </c>
      <c r="N37" s="36" t="n">
        <v>0</v>
      </c>
      <c r="O37" s="36" t="n">
        <v>0</v>
      </c>
      <c r="P37" s="36" t="n">
        <v>0</v>
      </c>
      <c r="Q37" s="36" t="n">
        <v>0</v>
      </c>
      <c r="R37" s="36" t="n">
        <v>0</v>
      </c>
      <c r="S37" s="24"/>
      <c r="T37" s="28"/>
      <c r="U37" s="24" t="n">
        <f aca="false">+H37*$D37</f>
        <v>2450000</v>
      </c>
      <c r="V37" s="24" t="n">
        <f aca="false">+I37*$D37</f>
        <v>3650000</v>
      </c>
      <c r="W37" s="24" t="n">
        <f aca="false">+J37*$D37</f>
        <v>3650000</v>
      </c>
      <c r="X37" s="24" t="n">
        <f aca="false">+K37*$D37</f>
        <v>3650000</v>
      </c>
      <c r="Y37" s="24" t="n">
        <f aca="false">+L37*$D37</f>
        <v>1200000</v>
      </c>
      <c r="Z37" s="24" t="n">
        <f aca="false">+M37*$D37</f>
        <v>0</v>
      </c>
      <c r="AA37" s="24" t="n">
        <f aca="false">+N37*$D37</f>
        <v>0</v>
      </c>
      <c r="AB37" s="24" t="n">
        <f aca="false">+O37*$D37</f>
        <v>0</v>
      </c>
      <c r="AC37" s="24" t="n">
        <f aca="false">+P37*$D37</f>
        <v>0</v>
      </c>
      <c r="AD37" s="24" t="n">
        <f aca="false">+Q37*$D37</f>
        <v>0</v>
      </c>
      <c r="AE37" s="24" t="n">
        <f aca="false">+R37*$D37</f>
        <v>0</v>
      </c>
      <c r="AG37" s="27" t="n">
        <f aca="false">+U37*$E37</f>
        <v>0</v>
      </c>
      <c r="AH37" s="27" t="n">
        <f aca="false">+V37*$E37</f>
        <v>0</v>
      </c>
      <c r="AI37" s="27" t="n">
        <f aca="false">+W37*$E37</f>
        <v>0</v>
      </c>
      <c r="AJ37" s="27" t="n">
        <f aca="false">+X37*$E37</f>
        <v>0</v>
      </c>
      <c r="AK37" s="27" t="n">
        <f aca="false">+Y37*$E37</f>
        <v>0</v>
      </c>
      <c r="AL37" s="27" t="n">
        <f aca="false">+Z37*$E37</f>
        <v>0</v>
      </c>
      <c r="AM37" s="27" t="n">
        <f aca="false">+AA37*$E37</f>
        <v>0</v>
      </c>
      <c r="AN37" s="27" t="n">
        <f aca="false">+AB37*$E37</f>
        <v>0</v>
      </c>
      <c r="AO37" s="27" t="n">
        <f aca="false">+AC37*$E37</f>
        <v>0</v>
      </c>
      <c r="AP37" s="27" t="n">
        <f aca="false">+AD37*$E37</f>
        <v>0</v>
      </c>
      <c r="AQ37" s="27" t="n">
        <f aca="false">+AE37*$E37</f>
        <v>0</v>
      </c>
    </row>
    <row r="38" customFormat="false" ht="12.75" hidden="false" customHeight="false" outlineLevel="0" collapsed="false">
      <c r="A38" s="6" t="s">
        <v>49</v>
      </c>
      <c r="B38" s="22" t="s">
        <v>58</v>
      </c>
      <c r="C38" s="37" t="n">
        <v>27293</v>
      </c>
      <c r="D38" s="0" t="n">
        <v>49000</v>
      </c>
      <c r="E38" s="2"/>
      <c r="F38" s="34" t="n">
        <v>36831</v>
      </c>
      <c r="G38" s="35" t="n">
        <v>37195</v>
      </c>
      <c r="H38" s="36" t="n">
        <f aca="false">"1/01/01"-F38</f>
        <v>61</v>
      </c>
      <c r="I38" s="39" t="n">
        <f aca="false">+G38-"12/31/00"</f>
        <v>304</v>
      </c>
      <c r="J38" s="36" t="n">
        <v>0</v>
      </c>
      <c r="K38" s="36" t="n">
        <v>0</v>
      </c>
      <c r="L38" s="36" t="n">
        <v>0</v>
      </c>
      <c r="M38" s="36" t="n">
        <v>0</v>
      </c>
      <c r="N38" s="36" t="n">
        <v>0</v>
      </c>
      <c r="O38" s="36" t="n">
        <v>0</v>
      </c>
      <c r="P38" s="36" t="n">
        <v>0</v>
      </c>
      <c r="Q38" s="36" t="n">
        <v>0</v>
      </c>
      <c r="R38" s="36" t="n">
        <v>0</v>
      </c>
      <c r="S38" s="24"/>
      <c r="T38" s="28"/>
      <c r="U38" s="24" t="n">
        <f aca="false">+H38*$D38</f>
        <v>2989000</v>
      </c>
      <c r="V38" s="24" t="n">
        <f aca="false">+I38*$D38</f>
        <v>14896000</v>
      </c>
      <c r="W38" s="24" t="n">
        <f aca="false">+J38*$D38</f>
        <v>0</v>
      </c>
      <c r="X38" s="24" t="n">
        <f aca="false">+K38*$D38</f>
        <v>0</v>
      </c>
      <c r="Y38" s="24" t="n">
        <f aca="false">+L38*$D38</f>
        <v>0</v>
      </c>
      <c r="Z38" s="24" t="n">
        <f aca="false">+M38*$D38</f>
        <v>0</v>
      </c>
      <c r="AA38" s="24" t="n">
        <f aca="false">+N38*$D38</f>
        <v>0</v>
      </c>
      <c r="AB38" s="24" t="n">
        <f aca="false">+O38*$D38</f>
        <v>0</v>
      </c>
      <c r="AC38" s="24" t="n">
        <f aca="false">+P38*$D38</f>
        <v>0</v>
      </c>
      <c r="AD38" s="24" t="n">
        <f aca="false">+Q38*$D38</f>
        <v>0</v>
      </c>
      <c r="AE38" s="24" t="n">
        <f aca="false">+R38*$D38</f>
        <v>0</v>
      </c>
      <c r="AG38" s="27" t="n">
        <f aca="false">+U38*$E38</f>
        <v>0</v>
      </c>
      <c r="AH38" s="27" t="n">
        <f aca="false">+V38*$E38</f>
        <v>0</v>
      </c>
      <c r="AI38" s="27" t="n">
        <f aca="false">+W38*$E38</f>
        <v>0</v>
      </c>
      <c r="AJ38" s="27" t="n">
        <f aca="false">+X38*$E38</f>
        <v>0</v>
      </c>
      <c r="AK38" s="27" t="n">
        <f aca="false">+Y38*$E38</f>
        <v>0</v>
      </c>
      <c r="AL38" s="27" t="n">
        <f aca="false">+Z38*$E38</f>
        <v>0</v>
      </c>
      <c r="AM38" s="27" t="n">
        <f aca="false">+AA38*$E38</f>
        <v>0</v>
      </c>
      <c r="AN38" s="27" t="n">
        <f aca="false">+AB38*$E38</f>
        <v>0</v>
      </c>
      <c r="AO38" s="27" t="n">
        <f aca="false">+AC38*$E38</f>
        <v>0</v>
      </c>
      <c r="AP38" s="27" t="n">
        <f aca="false">+AD38*$E38</f>
        <v>0</v>
      </c>
      <c r="AQ38" s="27" t="n">
        <f aca="false">+AE38*$E38</f>
        <v>0</v>
      </c>
    </row>
    <row r="39" customFormat="false" ht="12.75" hidden="false" customHeight="false" outlineLevel="0" collapsed="false">
      <c r="A39" s="6" t="s">
        <v>49</v>
      </c>
      <c r="B39" s="22" t="s">
        <v>58</v>
      </c>
      <c r="C39" s="37" t="n">
        <v>27352</v>
      </c>
      <c r="D39" s="0" t="n">
        <v>21500</v>
      </c>
      <c r="E39" s="2"/>
      <c r="F39" s="34" t="n">
        <v>37196</v>
      </c>
      <c r="G39" s="35" t="n">
        <v>37560</v>
      </c>
      <c r="H39" s="36" t="n">
        <v>0</v>
      </c>
      <c r="I39" s="36" t="n">
        <f aca="false">"1/01/02"-F39</f>
        <v>61</v>
      </c>
      <c r="J39" s="39" t="n">
        <f aca="false">+G39-"12/31/01"</f>
        <v>304</v>
      </c>
      <c r="K39" s="36" t="n">
        <v>0</v>
      </c>
      <c r="L39" s="36" t="n">
        <v>0</v>
      </c>
      <c r="M39" s="36" t="n">
        <v>0</v>
      </c>
      <c r="N39" s="36" t="n">
        <v>0</v>
      </c>
      <c r="O39" s="36" t="n">
        <v>0</v>
      </c>
      <c r="P39" s="36" t="n">
        <v>0</v>
      </c>
      <c r="Q39" s="36" t="n">
        <v>0</v>
      </c>
      <c r="R39" s="36" t="n">
        <v>0</v>
      </c>
      <c r="S39" s="38"/>
      <c r="T39" s="28"/>
      <c r="U39" s="24" t="n">
        <f aca="false">+H39*$D39</f>
        <v>0</v>
      </c>
      <c r="V39" s="24" t="n">
        <f aca="false">+I39*$D39</f>
        <v>1311500</v>
      </c>
      <c r="W39" s="24" t="n">
        <f aca="false">+J39*$D39</f>
        <v>6536000</v>
      </c>
      <c r="X39" s="24" t="n">
        <f aca="false">+K39*$D39</f>
        <v>0</v>
      </c>
      <c r="Y39" s="24" t="n">
        <f aca="false">+L39*$D39</f>
        <v>0</v>
      </c>
      <c r="Z39" s="24" t="n">
        <f aca="false">+M39*$D39</f>
        <v>0</v>
      </c>
      <c r="AA39" s="24" t="n">
        <f aca="false">+N39*$D39</f>
        <v>0</v>
      </c>
      <c r="AB39" s="24" t="n">
        <f aca="false">+O39*$D39</f>
        <v>0</v>
      </c>
      <c r="AC39" s="24" t="n">
        <f aca="false">+P39*$D39</f>
        <v>0</v>
      </c>
      <c r="AD39" s="24" t="n">
        <f aca="false">+Q39*$D39</f>
        <v>0</v>
      </c>
      <c r="AE39" s="24" t="n">
        <f aca="false">+R39*$D39</f>
        <v>0</v>
      </c>
      <c r="AG39" s="27" t="n">
        <f aca="false">+U39*$E39</f>
        <v>0</v>
      </c>
      <c r="AH39" s="27" t="n">
        <f aca="false">+V39*$E39</f>
        <v>0</v>
      </c>
      <c r="AI39" s="27" t="n">
        <f aca="false">+W39*$E39</f>
        <v>0</v>
      </c>
      <c r="AJ39" s="27" t="n">
        <f aca="false">+X39*$E39</f>
        <v>0</v>
      </c>
      <c r="AK39" s="27" t="n">
        <f aca="false">+Y39*$E39</f>
        <v>0</v>
      </c>
      <c r="AL39" s="27" t="n">
        <f aca="false">+Z39*$E39</f>
        <v>0</v>
      </c>
      <c r="AM39" s="27" t="n">
        <f aca="false">+AA39*$E39</f>
        <v>0</v>
      </c>
      <c r="AN39" s="27" t="n">
        <f aca="false">+AB39*$E39</f>
        <v>0</v>
      </c>
      <c r="AO39" s="27" t="n">
        <f aca="false">+AC39*$E39</f>
        <v>0</v>
      </c>
      <c r="AP39" s="27" t="n">
        <f aca="false">+AD39*$E39</f>
        <v>0</v>
      </c>
      <c r="AQ39" s="27" t="n">
        <f aca="false">+AE39*$E39</f>
        <v>0</v>
      </c>
    </row>
    <row r="40" customFormat="false" ht="12.75" hidden="false" customHeight="false" outlineLevel="0" collapsed="false">
      <c r="A40" s="6" t="s">
        <v>49</v>
      </c>
      <c r="B40" s="22" t="s">
        <v>59</v>
      </c>
      <c r="C40" s="33" t="n">
        <v>8255</v>
      </c>
      <c r="D40" s="0" t="n">
        <v>306000</v>
      </c>
      <c r="E40" s="2" t="s">
        <v>60</v>
      </c>
      <c r="F40" s="34" t="n">
        <v>32782</v>
      </c>
      <c r="G40" s="35" t="n">
        <v>38656</v>
      </c>
      <c r="H40" s="36" t="n">
        <v>366</v>
      </c>
      <c r="I40" s="36" t="n">
        <v>365</v>
      </c>
      <c r="J40" s="36" t="n">
        <v>365</v>
      </c>
      <c r="K40" s="36" t="n">
        <v>365</v>
      </c>
      <c r="L40" s="36" t="n">
        <v>366</v>
      </c>
      <c r="M40" s="36" t="n">
        <f aca="false">G40-"12/31/04"</f>
        <v>304</v>
      </c>
      <c r="N40" s="36" t="n">
        <v>0</v>
      </c>
      <c r="O40" s="36" t="n">
        <v>0</v>
      </c>
      <c r="P40" s="36" t="n">
        <v>0</v>
      </c>
      <c r="Q40" s="36" t="n">
        <v>0</v>
      </c>
      <c r="R40" s="36" t="n">
        <v>0</v>
      </c>
      <c r="S40" s="24"/>
      <c r="T40" s="28"/>
      <c r="U40" s="24" t="n">
        <f aca="false">+H40*$D40</f>
        <v>111996000</v>
      </c>
      <c r="V40" s="24" t="n">
        <f aca="false">+I40*$D40</f>
        <v>111690000</v>
      </c>
      <c r="W40" s="24" t="n">
        <f aca="false">+J40*$D40</f>
        <v>111690000</v>
      </c>
      <c r="X40" s="24" t="n">
        <f aca="false">+K40*$D40</f>
        <v>111690000</v>
      </c>
      <c r="Y40" s="24" t="n">
        <f aca="false">+L40*$D40</f>
        <v>111996000</v>
      </c>
      <c r="Z40" s="24" t="n">
        <f aca="false">+M40*$D40</f>
        <v>93024000</v>
      </c>
      <c r="AA40" s="24" t="n">
        <f aca="false">+N40*$D40</f>
        <v>0</v>
      </c>
      <c r="AB40" s="24" t="n">
        <f aca="false">+O40*$D40</f>
        <v>0</v>
      </c>
      <c r="AC40" s="24" t="n">
        <f aca="false">+P40*$D40</f>
        <v>0</v>
      </c>
      <c r="AD40" s="24" t="n">
        <f aca="false">+Q40*$D40</f>
        <v>0</v>
      </c>
      <c r="AE40" s="24" t="n">
        <f aca="false">+R40*$D40</f>
        <v>0</v>
      </c>
      <c r="AG40" s="27" t="n">
        <f aca="false">+U40*'CSF Rates'!C16</f>
        <v>0</v>
      </c>
      <c r="AH40" s="27" t="n">
        <f aca="false">+V40*'CSF Rates'!D16</f>
        <v>0</v>
      </c>
      <c r="AI40" s="27" t="n">
        <f aca="false">+W40*'CSF Rates'!E16</f>
        <v>0</v>
      </c>
      <c r="AJ40" s="27" t="n">
        <f aca="false">+X40*'CSF Rates'!F16</f>
        <v>0</v>
      </c>
      <c r="AK40" s="27" t="n">
        <f aca="false">+Y40*'CSF Rates'!G16</f>
        <v>0</v>
      </c>
      <c r="AL40" s="27" t="n">
        <f aca="false">+Z40*'CSF Rates'!H16</f>
        <v>0</v>
      </c>
      <c r="AM40" s="27" t="n">
        <f aca="false">+AA40*'CSF Rates'!I16</f>
        <v>0</v>
      </c>
      <c r="AN40" s="27" t="n">
        <f aca="false">+AB40*'CSF Rates'!J16</f>
        <v>0</v>
      </c>
      <c r="AO40" s="27" t="n">
        <f aca="false">+AC40*'CSF Rates'!K16</f>
        <v>0</v>
      </c>
      <c r="AP40" s="27" t="n">
        <f aca="false">+AD40*'CSF Rates'!L16</f>
        <v>0</v>
      </c>
      <c r="AQ40" s="27" t="n">
        <f aca="false">+AE40*'CSF Rates'!M16</f>
        <v>0</v>
      </c>
    </row>
    <row r="41" customFormat="false" ht="12.75" hidden="false" customHeight="false" outlineLevel="0" collapsed="false">
      <c r="A41" s="6" t="s">
        <v>49</v>
      </c>
      <c r="B41" s="22" t="s">
        <v>61</v>
      </c>
      <c r="C41" s="37" t="n">
        <v>27252</v>
      </c>
      <c r="D41" s="0" t="n">
        <v>14000</v>
      </c>
      <c r="E41" s="2"/>
      <c r="F41" s="34" t="n">
        <v>36831</v>
      </c>
      <c r="G41" s="35" t="n">
        <v>40482</v>
      </c>
      <c r="H41" s="36" t="n">
        <f aca="false">"1/01/01"-F41</f>
        <v>61</v>
      </c>
      <c r="I41" s="36" t="n">
        <v>365</v>
      </c>
      <c r="J41" s="36" t="n">
        <v>365</v>
      </c>
      <c r="K41" s="36" t="n">
        <v>365</v>
      </c>
      <c r="L41" s="36" t="n">
        <v>366</v>
      </c>
      <c r="M41" s="36" t="n">
        <v>365</v>
      </c>
      <c r="N41" s="36" t="n">
        <v>365</v>
      </c>
      <c r="O41" s="36" t="n">
        <v>365</v>
      </c>
      <c r="P41" s="36" t="n">
        <v>366</v>
      </c>
      <c r="Q41" s="36" t="n">
        <v>365</v>
      </c>
      <c r="R41" s="36" t="n">
        <f aca="false">+G41-"12/31/09"</f>
        <v>304</v>
      </c>
      <c r="S41" s="24"/>
      <c r="T41" s="28"/>
      <c r="U41" s="24" t="n">
        <f aca="false">+H41*$D41</f>
        <v>854000</v>
      </c>
      <c r="V41" s="24" t="n">
        <f aca="false">+I41*$D41</f>
        <v>5110000</v>
      </c>
      <c r="W41" s="24" t="n">
        <f aca="false">+J41*$D41</f>
        <v>5110000</v>
      </c>
      <c r="X41" s="24" t="n">
        <f aca="false">+K41*$D41</f>
        <v>5110000</v>
      </c>
      <c r="Y41" s="24" t="n">
        <f aca="false">+L41*$D41</f>
        <v>5124000</v>
      </c>
      <c r="Z41" s="24" t="n">
        <f aca="false">+M41*$D41</f>
        <v>5110000</v>
      </c>
      <c r="AA41" s="24" t="n">
        <f aca="false">+N41*$D41</f>
        <v>5110000</v>
      </c>
      <c r="AB41" s="24" t="n">
        <f aca="false">+O41*$D41</f>
        <v>5110000</v>
      </c>
      <c r="AC41" s="24" t="n">
        <f aca="false">+P41*$D41</f>
        <v>5124000</v>
      </c>
      <c r="AD41" s="24" t="n">
        <f aca="false">+Q41*$D41</f>
        <v>5110000</v>
      </c>
      <c r="AE41" s="24" t="n">
        <f aca="false">+R41*$D41</f>
        <v>4256000</v>
      </c>
      <c r="AG41" s="27" t="n">
        <f aca="false">+U41*$E41</f>
        <v>0</v>
      </c>
      <c r="AH41" s="27" t="n">
        <f aca="false">+V41*$E41</f>
        <v>0</v>
      </c>
      <c r="AI41" s="27" t="n">
        <f aca="false">+W41*$E41</f>
        <v>0</v>
      </c>
      <c r="AJ41" s="27" t="n">
        <f aca="false">+X41*$E41</f>
        <v>0</v>
      </c>
      <c r="AK41" s="27" t="n">
        <f aca="false">+Y41*$E41</f>
        <v>0</v>
      </c>
      <c r="AL41" s="27" t="n">
        <f aca="false">+Z41*$E41</f>
        <v>0</v>
      </c>
      <c r="AM41" s="27" t="n">
        <f aca="false">+AA41*$E41</f>
        <v>0</v>
      </c>
      <c r="AN41" s="27" t="n">
        <f aca="false">+AB41*$E41</f>
        <v>0</v>
      </c>
      <c r="AO41" s="27" t="n">
        <f aca="false">+AC41*$E41</f>
        <v>0</v>
      </c>
      <c r="AP41" s="27" t="n">
        <f aca="false">+AD41*$E41</f>
        <v>0</v>
      </c>
      <c r="AQ41" s="27" t="n">
        <f aca="false">+AE41*$E41</f>
        <v>0</v>
      </c>
    </row>
    <row r="42" customFormat="false" ht="12.75" hidden="false" customHeight="false" outlineLevel="0" collapsed="false">
      <c r="A42" s="6" t="s">
        <v>49</v>
      </c>
      <c r="B42" s="22" t="s">
        <v>62</v>
      </c>
      <c r="C42" s="0" t="n">
        <v>25850</v>
      </c>
      <c r="D42" s="0" t="n">
        <v>30000</v>
      </c>
      <c r="E42" s="2" t="n">
        <v>0.1354</v>
      </c>
      <c r="F42" s="34"/>
      <c r="G42" s="35" t="n">
        <v>36556</v>
      </c>
      <c r="H42" s="36" t="n">
        <f aca="false">G42-"12/31/99"</f>
        <v>31</v>
      </c>
      <c r="I42" s="36" t="n">
        <v>0</v>
      </c>
      <c r="J42" s="36" t="n">
        <v>0</v>
      </c>
      <c r="K42" s="36" t="n">
        <v>0</v>
      </c>
      <c r="L42" s="36" t="n">
        <v>0</v>
      </c>
      <c r="M42" s="36" t="n">
        <v>0</v>
      </c>
      <c r="N42" s="36" t="n">
        <v>0</v>
      </c>
      <c r="O42" s="36" t="n">
        <v>0</v>
      </c>
      <c r="P42" s="36" t="n">
        <v>0</v>
      </c>
      <c r="Q42" s="36" t="n">
        <v>0</v>
      </c>
      <c r="R42" s="36" t="n">
        <v>0</v>
      </c>
      <c r="S42" s="24"/>
      <c r="T42" s="28"/>
      <c r="U42" s="24" t="n">
        <f aca="false">+H42*$D42</f>
        <v>930000</v>
      </c>
      <c r="V42" s="24" t="n">
        <f aca="false">+I42*$D42</f>
        <v>0</v>
      </c>
      <c r="W42" s="24" t="n">
        <f aca="false">+J42*$D42</f>
        <v>0</v>
      </c>
      <c r="X42" s="24" t="n">
        <f aca="false">+K42*$D42</f>
        <v>0</v>
      </c>
      <c r="Y42" s="24" t="n">
        <f aca="false">+L42*$D42</f>
        <v>0</v>
      </c>
      <c r="Z42" s="24" t="n">
        <f aca="false">+M42*$D42</f>
        <v>0</v>
      </c>
      <c r="AA42" s="24" t="n">
        <f aca="false">+N42*$D42</f>
        <v>0</v>
      </c>
      <c r="AB42" s="24" t="n">
        <f aca="false">+O42*$D42</f>
        <v>0</v>
      </c>
      <c r="AC42" s="24" t="n">
        <f aca="false">+P42*$D42</f>
        <v>0</v>
      </c>
      <c r="AD42" s="24" t="n">
        <f aca="false">+Q42*$D42</f>
        <v>0</v>
      </c>
      <c r="AE42" s="24" t="n">
        <f aca="false">+R42*$D42</f>
        <v>0</v>
      </c>
      <c r="AG42" s="27" t="n">
        <f aca="false">+U42*$E42</f>
        <v>125922</v>
      </c>
      <c r="AH42" s="27" t="n">
        <f aca="false">+V42*$E42</f>
        <v>0</v>
      </c>
      <c r="AI42" s="27" t="n">
        <f aca="false">+W42*$E42</f>
        <v>0</v>
      </c>
      <c r="AJ42" s="27" t="n">
        <f aca="false">+X42*$E42</f>
        <v>0</v>
      </c>
      <c r="AK42" s="27" t="n">
        <f aca="false">+Y42*$E42</f>
        <v>0</v>
      </c>
      <c r="AL42" s="27" t="n">
        <f aca="false">+Z42*$E42</f>
        <v>0</v>
      </c>
      <c r="AM42" s="27" t="n">
        <f aca="false">+AA42*$E42</f>
        <v>0</v>
      </c>
      <c r="AN42" s="27" t="n">
        <f aca="false">+AB42*$E42</f>
        <v>0</v>
      </c>
      <c r="AO42" s="27" t="n">
        <f aca="false">+AC42*$E42</f>
        <v>0</v>
      </c>
      <c r="AP42" s="27" t="n">
        <f aca="false">+AD42*$E42</f>
        <v>0</v>
      </c>
      <c r="AQ42" s="27" t="n">
        <f aca="false">+AE42*$E42</f>
        <v>0</v>
      </c>
    </row>
    <row r="43" customFormat="false" ht="12.75" hidden="false" customHeight="false" outlineLevel="0" collapsed="false">
      <c r="A43" s="6" t="s">
        <v>49</v>
      </c>
      <c r="B43" s="22" t="s">
        <v>46</v>
      </c>
      <c r="C43" s="0" t="n">
        <v>26393</v>
      </c>
      <c r="D43" s="0" t="n">
        <v>30000</v>
      </c>
      <c r="E43" s="2" t="n">
        <v>0.113</v>
      </c>
      <c r="F43" s="34"/>
      <c r="G43" s="35" t="n">
        <v>36616</v>
      </c>
      <c r="H43" s="36" t="n">
        <f aca="false">G43-"12/31/99"</f>
        <v>91</v>
      </c>
      <c r="I43" s="36" t="n">
        <v>0</v>
      </c>
      <c r="J43" s="36" t="n">
        <v>0</v>
      </c>
      <c r="K43" s="36" t="n">
        <v>0</v>
      </c>
      <c r="L43" s="36" t="n">
        <v>0</v>
      </c>
      <c r="M43" s="36" t="n">
        <v>0</v>
      </c>
      <c r="N43" s="36" t="n">
        <v>0</v>
      </c>
      <c r="O43" s="36" t="n">
        <v>0</v>
      </c>
      <c r="P43" s="36" t="n">
        <v>0</v>
      </c>
      <c r="Q43" s="36" t="n">
        <v>0</v>
      </c>
      <c r="R43" s="36" t="n">
        <v>0</v>
      </c>
      <c r="S43" s="24"/>
      <c r="T43" s="28"/>
      <c r="U43" s="24" t="n">
        <f aca="false">+H43*$D43</f>
        <v>2730000</v>
      </c>
      <c r="V43" s="24" t="n">
        <f aca="false">+I43*$D43</f>
        <v>0</v>
      </c>
      <c r="W43" s="24" t="n">
        <f aca="false">+J43*$D43</f>
        <v>0</v>
      </c>
      <c r="X43" s="24" t="n">
        <f aca="false">+K43*$D43</f>
        <v>0</v>
      </c>
      <c r="Y43" s="24" t="n">
        <f aca="false">+L43*$D43</f>
        <v>0</v>
      </c>
      <c r="Z43" s="24" t="n">
        <f aca="false">+M43*$D43</f>
        <v>0</v>
      </c>
      <c r="AA43" s="24" t="n">
        <f aca="false">+N43*$D43</f>
        <v>0</v>
      </c>
      <c r="AB43" s="24" t="n">
        <f aca="false">+O43*$D43</f>
        <v>0</v>
      </c>
      <c r="AC43" s="24" t="n">
        <f aca="false">+P43*$D43</f>
        <v>0</v>
      </c>
      <c r="AD43" s="24" t="n">
        <f aca="false">+Q43*$D43</f>
        <v>0</v>
      </c>
      <c r="AE43" s="24" t="n">
        <f aca="false">+R43*$D43</f>
        <v>0</v>
      </c>
      <c r="AG43" s="27" t="n">
        <f aca="false">+U43*$E43</f>
        <v>308490</v>
      </c>
      <c r="AH43" s="27" t="n">
        <f aca="false">+V43*$E43</f>
        <v>0</v>
      </c>
      <c r="AI43" s="27" t="n">
        <f aca="false">+W43*$E43</f>
        <v>0</v>
      </c>
      <c r="AJ43" s="27" t="n">
        <f aca="false">+X43*$E43</f>
        <v>0</v>
      </c>
      <c r="AK43" s="27" t="n">
        <f aca="false">+Y43*$E43</f>
        <v>0</v>
      </c>
      <c r="AL43" s="27" t="n">
        <f aca="false">+Z43*$E43</f>
        <v>0</v>
      </c>
      <c r="AM43" s="27" t="n">
        <f aca="false">+AA43*$E43</f>
        <v>0</v>
      </c>
      <c r="AN43" s="27" t="n">
        <f aca="false">+AB43*$E43</f>
        <v>0</v>
      </c>
      <c r="AO43" s="27" t="n">
        <f aca="false">+AC43*$E43</f>
        <v>0</v>
      </c>
      <c r="AP43" s="27" t="n">
        <f aca="false">+AD43*$E43</f>
        <v>0</v>
      </c>
      <c r="AQ43" s="27" t="n">
        <f aca="false">+AE43*$E43</f>
        <v>0</v>
      </c>
    </row>
    <row r="44" customFormat="false" ht="12.75" hidden="false" customHeight="false" outlineLevel="0" collapsed="false">
      <c r="A44" s="6" t="s">
        <v>63</v>
      </c>
      <c r="B44" s="19" t="s">
        <v>64</v>
      </c>
      <c r="C44" s="20" t="n">
        <v>27370</v>
      </c>
      <c r="D44" s="21" t="n">
        <v>22000</v>
      </c>
      <c r="F44" s="23" t="n">
        <v>36892</v>
      </c>
      <c r="G44" s="23" t="n">
        <v>37256</v>
      </c>
      <c r="H44" s="25" t="n">
        <v>0</v>
      </c>
      <c r="I44" s="25" t="n">
        <f aca="false">+G44-"12/31/00"</f>
        <v>365</v>
      </c>
      <c r="J44" s="25" t="n">
        <v>0</v>
      </c>
      <c r="K44" s="25" t="n">
        <v>0</v>
      </c>
      <c r="L44" s="25" t="n">
        <v>0</v>
      </c>
      <c r="M44" s="25" t="n">
        <v>0</v>
      </c>
      <c r="N44" s="25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U44" s="24" t="n">
        <f aca="false">+H44*$D44</f>
        <v>0</v>
      </c>
      <c r="V44" s="24" t="n">
        <f aca="false">+I44*$D44</f>
        <v>8030000</v>
      </c>
      <c r="W44" s="24" t="n">
        <f aca="false">+J44*$D44</f>
        <v>0</v>
      </c>
      <c r="X44" s="24" t="n">
        <f aca="false">+K44*$D44</f>
        <v>0</v>
      </c>
      <c r="Y44" s="24" t="n">
        <f aca="false">+L44*$D44</f>
        <v>0</v>
      </c>
      <c r="Z44" s="24" t="n">
        <f aca="false">+M44*$D44</f>
        <v>0</v>
      </c>
      <c r="AA44" s="24" t="n">
        <f aca="false">+N44*$D44</f>
        <v>0</v>
      </c>
      <c r="AB44" s="24" t="n">
        <f aca="false">+O44*$D44</f>
        <v>0</v>
      </c>
      <c r="AC44" s="24" t="n">
        <f aca="false">+P44*$D44</f>
        <v>0</v>
      </c>
      <c r="AD44" s="24" t="n">
        <f aca="false">+Q44*$D44</f>
        <v>0</v>
      </c>
    </row>
    <row r="45" customFormat="false" ht="12.75" hidden="false" customHeight="false" outlineLevel="0" collapsed="false">
      <c r="A45" s="6" t="s">
        <v>63</v>
      </c>
      <c r="B45" s="40" t="s">
        <v>64</v>
      </c>
      <c r="C45" s="41" t="n">
        <v>27371</v>
      </c>
      <c r="D45" s="42" t="n">
        <v>21200</v>
      </c>
      <c r="F45" s="43" t="n">
        <v>36923</v>
      </c>
      <c r="G45" s="43" t="n">
        <v>37256</v>
      </c>
      <c r="H45" s="25" t="n">
        <v>0</v>
      </c>
      <c r="I45" s="25" t="n">
        <v>334</v>
      </c>
      <c r="J45" s="25" t="n">
        <v>0</v>
      </c>
      <c r="K45" s="25" t="n">
        <v>0</v>
      </c>
      <c r="L45" s="25" t="n">
        <v>0</v>
      </c>
      <c r="M45" s="25" t="n">
        <v>0</v>
      </c>
      <c r="N45" s="25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U45" s="24" t="n">
        <f aca="false">+H45*$D45</f>
        <v>0</v>
      </c>
      <c r="V45" s="24" t="n">
        <f aca="false">+I45*$D45</f>
        <v>7080800</v>
      </c>
      <c r="W45" s="24" t="n">
        <f aca="false">+J45*$D45</f>
        <v>0</v>
      </c>
      <c r="X45" s="24" t="n">
        <f aca="false">+K45*$D45</f>
        <v>0</v>
      </c>
      <c r="Y45" s="24" t="n">
        <f aca="false">+L45*$D45</f>
        <v>0</v>
      </c>
      <c r="Z45" s="24" t="n">
        <f aca="false">+M45*$D45</f>
        <v>0</v>
      </c>
      <c r="AA45" s="24" t="n">
        <f aca="false">+N45*$D45</f>
        <v>0</v>
      </c>
      <c r="AB45" s="24" t="n">
        <f aca="false">+O45*$D45</f>
        <v>0</v>
      </c>
      <c r="AC45" s="24" t="n">
        <f aca="false">+P45*$D45</f>
        <v>0</v>
      </c>
      <c r="AD45" s="24" t="n">
        <f aca="false">+Q45*$D45</f>
        <v>0</v>
      </c>
    </row>
    <row r="46" customFormat="false" ht="12.75" hidden="false" customHeight="false" outlineLevel="0" collapsed="false">
      <c r="A46" s="6" t="s">
        <v>63</v>
      </c>
      <c r="B46" s="40" t="s">
        <v>65</v>
      </c>
      <c r="C46" s="20" t="n">
        <v>25071</v>
      </c>
      <c r="D46" s="21" t="n">
        <v>60000</v>
      </c>
      <c r="F46" s="43" t="n">
        <v>35400</v>
      </c>
      <c r="G46" s="43" t="n">
        <v>39782</v>
      </c>
      <c r="H46" s="25" t="n">
        <v>366</v>
      </c>
      <c r="I46" s="0" t="n">
        <v>365</v>
      </c>
      <c r="J46" s="25" t="n">
        <v>365</v>
      </c>
      <c r="K46" s="25" t="n">
        <v>365</v>
      </c>
      <c r="L46" s="25" t="n">
        <v>366</v>
      </c>
      <c r="M46" s="25" t="n">
        <v>365</v>
      </c>
      <c r="N46" s="25" t="n">
        <v>365</v>
      </c>
      <c r="O46" s="25" t="n">
        <v>365</v>
      </c>
      <c r="P46" s="25" t="n">
        <f aca="false">+G46-"12/31/07"</f>
        <v>335</v>
      </c>
      <c r="Q46" s="0" t="n">
        <v>0</v>
      </c>
      <c r="R46" s="0" t="n">
        <v>0</v>
      </c>
      <c r="U46" s="24" t="n">
        <f aca="false">+H46*$D46</f>
        <v>21960000</v>
      </c>
      <c r="V46" s="24" t="n">
        <f aca="false">+I46*$D46</f>
        <v>21900000</v>
      </c>
      <c r="W46" s="24" t="n">
        <f aca="false">+J46*$D46</f>
        <v>21900000</v>
      </c>
      <c r="X46" s="24" t="n">
        <f aca="false">+K46*$D46</f>
        <v>21900000</v>
      </c>
      <c r="Y46" s="24" t="n">
        <f aca="false">+L46*$D46</f>
        <v>21960000</v>
      </c>
      <c r="Z46" s="24" t="n">
        <f aca="false">+M46*$D46</f>
        <v>21900000</v>
      </c>
      <c r="AA46" s="24" t="n">
        <f aca="false">+N46*$D46</f>
        <v>21900000</v>
      </c>
      <c r="AB46" s="24" t="n">
        <f aca="false">+O46*$D46</f>
        <v>21900000</v>
      </c>
      <c r="AC46" s="24" t="n">
        <f aca="false">+P46*$D46</f>
        <v>20100000</v>
      </c>
      <c r="AD46" s="24" t="n">
        <f aca="false">+Q46*$D46</f>
        <v>0</v>
      </c>
    </row>
    <row r="47" customFormat="false" ht="13.5" hidden="false" customHeight="false" outlineLevel="0" collapsed="false">
      <c r="A47" s="6" t="s">
        <v>63</v>
      </c>
      <c r="B47" s="44" t="s">
        <v>65</v>
      </c>
      <c r="C47" s="45" t="n">
        <v>27460</v>
      </c>
      <c r="D47" s="46" t="n">
        <v>55000</v>
      </c>
      <c r="E47" s="12"/>
      <c r="F47" s="47" t="n">
        <v>37257</v>
      </c>
      <c r="G47" s="47" t="n">
        <v>37986</v>
      </c>
      <c r="H47" s="48" t="n">
        <v>0</v>
      </c>
      <c r="I47" s="12" t="n">
        <v>0</v>
      </c>
      <c r="J47" s="48" t="n">
        <v>365</v>
      </c>
      <c r="K47" s="48" t="n">
        <f aca="false">+G47-"12/31/02"</f>
        <v>365</v>
      </c>
      <c r="L47" s="48" t="n">
        <v>0</v>
      </c>
      <c r="M47" s="48" t="n">
        <v>0</v>
      </c>
      <c r="N47" s="48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U47" s="49" t="n">
        <f aca="false">+H47*$D47</f>
        <v>0</v>
      </c>
      <c r="V47" s="49" t="n">
        <f aca="false">+I47*$D47</f>
        <v>0</v>
      </c>
      <c r="W47" s="49" t="n">
        <f aca="false">+J47*$D47</f>
        <v>20075000</v>
      </c>
      <c r="X47" s="49" t="n">
        <f aca="false">+K47*$D47</f>
        <v>20075000</v>
      </c>
      <c r="Y47" s="49" t="n">
        <f aca="false">+L47*$D47</f>
        <v>0</v>
      </c>
      <c r="Z47" s="49" t="n">
        <f aca="false">+M47*$D47</f>
        <v>0</v>
      </c>
      <c r="AA47" s="49" t="n">
        <f aca="false">+N47*$D47</f>
        <v>0</v>
      </c>
      <c r="AB47" s="49" t="n">
        <f aca="false">+O47*$D47</f>
        <v>0</v>
      </c>
      <c r="AC47" s="49" t="n">
        <f aca="false">+P47*$D47</f>
        <v>0</v>
      </c>
      <c r="AD47" s="49" t="n">
        <f aca="false">+Q47*$D47</f>
        <v>0</v>
      </c>
      <c r="AE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customFormat="false" ht="12.75" hidden="false" customHeight="false" outlineLevel="0" collapsed="false">
      <c r="A48" s="6" t="s">
        <v>63</v>
      </c>
      <c r="B48" s="19" t="s">
        <v>33</v>
      </c>
      <c r="C48" s="20" t="n">
        <v>25067</v>
      </c>
      <c r="D48" s="21" t="n">
        <v>15000</v>
      </c>
      <c r="F48" s="29" t="n">
        <v>35309</v>
      </c>
      <c r="G48" s="23" t="n">
        <v>37225</v>
      </c>
      <c r="H48" s="0" t="n">
        <v>366</v>
      </c>
      <c r="I48" s="25" t="n">
        <f aca="false">+G48-"12/31/00"</f>
        <v>334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U48" s="24" t="n">
        <f aca="false">+H48*$D48</f>
        <v>5490000</v>
      </c>
      <c r="V48" s="24" t="n">
        <f aca="false">+I48*$D48</f>
        <v>5010000</v>
      </c>
      <c r="W48" s="24" t="n">
        <f aca="false">+J48*$D48</f>
        <v>0</v>
      </c>
      <c r="X48" s="24" t="n">
        <f aca="false">+K48*$D48</f>
        <v>0</v>
      </c>
      <c r="Y48" s="24" t="n">
        <f aca="false">+L48*$D48</f>
        <v>0</v>
      </c>
      <c r="Z48" s="24" t="n">
        <f aca="false">+M48*$D48</f>
        <v>0</v>
      </c>
      <c r="AA48" s="24" t="n">
        <f aca="false">+N48*$D48</f>
        <v>0</v>
      </c>
      <c r="AB48" s="24" t="n">
        <f aca="false">+O48*$D48</f>
        <v>0</v>
      </c>
      <c r="AC48" s="24" t="n">
        <f aca="false">+P48*$D48</f>
        <v>0</v>
      </c>
      <c r="AD48" s="24" t="n">
        <f aca="false">+Q48*$D48</f>
        <v>0</v>
      </c>
    </row>
    <row r="49" customFormat="false" ht="12.75" hidden="false" customHeight="false" outlineLevel="0" collapsed="false">
      <c r="A49" s="6" t="s">
        <v>63</v>
      </c>
      <c r="B49" s="19" t="s">
        <v>33</v>
      </c>
      <c r="C49" s="20" t="n">
        <v>27651</v>
      </c>
      <c r="D49" s="21" t="n">
        <v>33000</v>
      </c>
      <c r="E49" s="22"/>
      <c r="F49" s="23" t="n">
        <v>37073</v>
      </c>
      <c r="G49" s="23" t="n">
        <v>37134</v>
      </c>
      <c r="H49" s="0" t="n">
        <v>0</v>
      </c>
      <c r="I49" s="25" t="n">
        <f aca="false">+G49-"12/31/00"</f>
        <v>243</v>
      </c>
      <c r="J49" s="25" t="n">
        <v>0</v>
      </c>
      <c r="K49" s="25" t="n">
        <v>0</v>
      </c>
      <c r="L49" s="25" t="n">
        <v>0</v>
      </c>
      <c r="M49" s="25" t="n">
        <v>0</v>
      </c>
      <c r="N49" s="25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U49" s="24" t="n">
        <f aca="false">+H49*$D49</f>
        <v>0</v>
      </c>
      <c r="V49" s="24" t="n">
        <f aca="false">+I49*$D49</f>
        <v>8019000</v>
      </c>
      <c r="W49" s="24" t="n">
        <f aca="false">+J49*$D49</f>
        <v>0</v>
      </c>
      <c r="X49" s="24" t="n">
        <f aca="false">+K49*$D49</f>
        <v>0</v>
      </c>
      <c r="Y49" s="24" t="n">
        <f aca="false">+L49*$D49</f>
        <v>0</v>
      </c>
      <c r="Z49" s="24" t="n">
        <f aca="false">+M49*$D49</f>
        <v>0</v>
      </c>
      <c r="AA49" s="24" t="n">
        <f aca="false">+N49*$D49</f>
        <v>0</v>
      </c>
      <c r="AB49" s="24" t="n">
        <f aca="false">+O49*$D49</f>
        <v>0</v>
      </c>
      <c r="AC49" s="24" t="n">
        <f aca="false">+P49*$D49</f>
        <v>0</v>
      </c>
      <c r="AD49" s="24" t="n">
        <f aca="false">+Q49*$D49</f>
        <v>0</v>
      </c>
    </row>
    <row r="50" customFormat="false" ht="12.75" hidden="false" customHeight="false" outlineLevel="0" collapsed="false">
      <c r="A50" s="6" t="s">
        <v>63</v>
      </c>
      <c r="B50" s="19" t="s">
        <v>38</v>
      </c>
      <c r="C50" s="20" t="n">
        <v>24654</v>
      </c>
      <c r="D50" s="21" t="n">
        <v>8000</v>
      </c>
      <c r="F50" s="29" t="n">
        <v>35400</v>
      </c>
      <c r="G50" s="23" t="n">
        <v>37256</v>
      </c>
      <c r="H50" s="0" t="n">
        <v>366</v>
      </c>
      <c r="I50" s="0" t="n">
        <v>365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U50" s="24" t="n">
        <f aca="false">+H50*$D50</f>
        <v>2928000</v>
      </c>
      <c r="V50" s="24" t="n">
        <f aca="false">+I50*$D50</f>
        <v>2920000</v>
      </c>
      <c r="W50" s="24" t="n">
        <f aca="false">+J50*$D50</f>
        <v>0</v>
      </c>
      <c r="X50" s="24" t="n">
        <f aca="false">+K50*$D50</f>
        <v>0</v>
      </c>
      <c r="Y50" s="24" t="n">
        <f aca="false">+L50*$D50</f>
        <v>0</v>
      </c>
      <c r="Z50" s="24" t="n">
        <f aca="false">+M50*$D50</f>
        <v>0</v>
      </c>
      <c r="AA50" s="24" t="n">
        <f aca="false">+N50*$D50</f>
        <v>0</v>
      </c>
      <c r="AB50" s="24" t="n">
        <f aca="false">+O50*$D50</f>
        <v>0</v>
      </c>
      <c r="AC50" s="24" t="n">
        <f aca="false">+P50*$D50</f>
        <v>0</v>
      </c>
      <c r="AD50" s="24" t="n">
        <f aca="false">+Q50*$D50</f>
        <v>0</v>
      </c>
    </row>
    <row r="51" customFormat="false" ht="12.75" hidden="false" customHeight="false" outlineLevel="0" collapsed="false">
      <c r="A51" s="6" t="s">
        <v>63</v>
      </c>
      <c r="B51" s="30" t="s">
        <v>38</v>
      </c>
      <c r="C51" s="31" t="n">
        <v>24924</v>
      </c>
      <c r="D51" s="21" t="n">
        <v>25000</v>
      </c>
      <c r="F51" s="29" t="n">
        <v>35309</v>
      </c>
      <c r="G51" s="29" t="n">
        <v>38017</v>
      </c>
      <c r="H51" s="0" t="n">
        <v>366</v>
      </c>
      <c r="I51" s="0" t="n">
        <v>365</v>
      </c>
      <c r="J51" s="0" t="n">
        <v>365</v>
      </c>
      <c r="K51" s="0" t="n">
        <v>365</v>
      </c>
      <c r="L51" s="25" t="n">
        <f aca="false">+G51-"12/31/03"</f>
        <v>31</v>
      </c>
      <c r="M51" s="25" t="n">
        <v>0</v>
      </c>
      <c r="N51" s="25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U51" s="24" t="n">
        <f aca="false">+H51*$D51</f>
        <v>9150000</v>
      </c>
      <c r="V51" s="24" t="n">
        <f aca="false">+I51*$D51</f>
        <v>9125000</v>
      </c>
      <c r="W51" s="24" t="n">
        <f aca="false">+J51*$D51</f>
        <v>9125000</v>
      </c>
      <c r="X51" s="24" t="n">
        <f aca="false">+K51*$D51</f>
        <v>9125000</v>
      </c>
      <c r="Y51" s="24" t="n">
        <f aca="false">+L51*$D51</f>
        <v>775000</v>
      </c>
      <c r="Z51" s="24" t="n">
        <f aca="false">+M51*$D51</f>
        <v>0</v>
      </c>
      <c r="AA51" s="24" t="n">
        <f aca="false">+N51*$D51</f>
        <v>0</v>
      </c>
      <c r="AB51" s="24" t="n">
        <f aca="false">+O51*$D51</f>
        <v>0</v>
      </c>
      <c r="AC51" s="24" t="n">
        <f aca="false">+P51*$D51</f>
        <v>0</v>
      </c>
      <c r="AD51" s="24" t="n">
        <f aca="false">+Q51*$D51</f>
        <v>0</v>
      </c>
    </row>
    <row r="52" customFormat="false" ht="12.75" hidden="false" customHeight="false" outlineLevel="0" collapsed="false">
      <c r="A52" s="6" t="s">
        <v>63</v>
      </c>
      <c r="B52" s="30" t="s">
        <v>39</v>
      </c>
      <c r="C52" s="31" t="n">
        <v>24568</v>
      </c>
      <c r="D52" s="32" t="n">
        <v>32000</v>
      </c>
      <c r="F52" s="29" t="n">
        <v>35400</v>
      </c>
      <c r="G52" s="29" t="n">
        <v>37256</v>
      </c>
      <c r="H52" s="0" t="n">
        <v>366</v>
      </c>
      <c r="I52" s="0" t="n">
        <v>365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U52" s="24" t="n">
        <f aca="false">+H52*$D52</f>
        <v>11712000</v>
      </c>
      <c r="V52" s="24" t="n">
        <f aca="false">+I52*$D52</f>
        <v>11680000</v>
      </c>
      <c r="W52" s="24" t="n">
        <f aca="false">+J52*$D52</f>
        <v>0</v>
      </c>
      <c r="X52" s="24" t="n">
        <f aca="false">+K52*$D52</f>
        <v>0</v>
      </c>
      <c r="Y52" s="24" t="n">
        <f aca="false">+L52*$D52</f>
        <v>0</v>
      </c>
      <c r="Z52" s="24" t="n">
        <f aca="false">+M52*$D52</f>
        <v>0</v>
      </c>
      <c r="AA52" s="24" t="n">
        <f aca="false">+N52*$D52</f>
        <v>0</v>
      </c>
      <c r="AB52" s="24" t="n">
        <f aca="false">+O52*$D52</f>
        <v>0</v>
      </c>
      <c r="AC52" s="24" t="n">
        <f aca="false">+P52*$D52</f>
        <v>0</v>
      </c>
      <c r="AD52" s="24" t="n">
        <f aca="false">+Q52*$D52</f>
        <v>0</v>
      </c>
    </row>
    <row r="53" customFormat="false" ht="12.75" hidden="false" customHeight="false" outlineLevel="0" collapsed="false">
      <c r="A53" s="6" t="s">
        <v>63</v>
      </c>
      <c r="B53" s="19" t="s">
        <v>66</v>
      </c>
      <c r="C53" s="20" t="n">
        <v>24927</v>
      </c>
      <c r="D53" s="21" t="n">
        <v>30000</v>
      </c>
      <c r="F53" s="29" t="n">
        <v>35309</v>
      </c>
      <c r="G53" s="23" t="n">
        <v>38748</v>
      </c>
      <c r="H53" s="0" t="n">
        <v>366</v>
      </c>
      <c r="I53" s="0" t="n">
        <v>365</v>
      </c>
      <c r="J53" s="25" t="n">
        <v>365</v>
      </c>
      <c r="K53" s="25" t="n">
        <v>365</v>
      </c>
      <c r="L53" s="25" t="n">
        <v>366</v>
      </c>
      <c r="M53" s="25" t="n">
        <v>365</v>
      </c>
      <c r="N53" s="25" t="n">
        <f aca="false">+G53-"12/31/05"</f>
        <v>31</v>
      </c>
      <c r="O53" s="0" t="n">
        <v>0</v>
      </c>
      <c r="P53" s="0" t="n">
        <v>0</v>
      </c>
      <c r="Q53" s="0" t="n">
        <v>0</v>
      </c>
      <c r="R53" s="0" t="n">
        <v>0</v>
      </c>
      <c r="U53" s="24" t="n">
        <f aca="false">+H53*$D53</f>
        <v>10980000</v>
      </c>
      <c r="V53" s="24" t="n">
        <f aca="false">+I53*$D53</f>
        <v>10950000</v>
      </c>
      <c r="W53" s="24" t="n">
        <f aca="false">+J53*$D53</f>
        <v>10950000</v>
      </c>
      <c r="X53" s="24" t="n">
        <f aca="false">+K53*$D53</f>
        <v>10950000</v>
      </c>
      <c r="Y53" s="24" t="n">
        <f aca="false">+L53*$D53</f>
        <v>10980000</v>
      </c>
      <c r="Z53" s="24" t="n">
        <f aca="false">+M53*$D53</f>
        <v>10950000</v>
      </c>
      <c r="AA53" s="24" t="n">
        <f aca="false">+N53*$D53</f>
        <v>930000</v>
      </c>
      <c r="AB53" s="24" t="n">
        <f aca="false">+O53*$D53</f>
        <v>0</v>
      </c>
      <c r="AC53" s="24" t="n">
        <f aca="false">+P53*$D53</f>
        <v>0</v>
      </c>
      <c r="AD53" s="24" t="n">
        <f aca="false">+Q53*$D53</f>
        <v>0</v>
      </c>
    </row>
    <row r="54" customFormat="false" ht="12.75" hidden="false" customHeight="false" outlineLevel="0" collapsed="false">
      <c r="A54" s="6" t="s">
        <v>63</v>
      </c>
      <c r="B54" s="19" t="s">
        <v>67</v>
      </c>
      <c r="C54" s="20" t="n">
        <v>25397</v>
      </c>
      <c r="D54" s="21" t="n">
        <v>10000</v>
      </c>
      <c r="F54" s="23" t="n">
        <v>35886</v>
      </c>
      <c r="G54" s="23" t="n">
        <v>37711</v>
      </c>
      <c r="H54" s="0" t="n">
        <v>366</v>
      </c>
      <c r="I54" s="25" t="n">
        <v>365</v>
      </c>
      <c r="J54" s="25" t="n">
        <v>365</v>
      </c>
      <c r="K54" s="25" t="n">
        <f aca="false">+G54-"12/31/02"</f>
        <v>90</v>
      </c>
      <c r="L54" s="25" t="n">
        <v>0</v>
      </c>
      <c r="M54" s="25" t="n">
        <v>0</v>
      </c>
      <c r="N54" s="25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U54" s="24" t="n">
        <f aca="false">+H54*$D54</f>
        <v>3660000</v>
      </c>
      <c r="V54" s="24" t="n">
        <f aca="false">+I54*$D54</f>
        <v>3650000</v>
      </c>
      <c r="W54" s="24" t="n">
        <f aca="false">+J54*$D54</f>
        <v>3650000</v>
      </c>
      <c r="X54" s="24" t="n">
        <f aca="false">+K54*$D54</f>
        <v>900000</v>
      </c>
      <c r="Y54" s="24" t="n">
        <f aca="false">+L54*$D54</f>
        <v>0</v>
      </c>
      <c r="Z54" s="24" t="n">
        <f aca="false">+M54*$D54</f>
        <v>0</v>
      </c>
      <c r="AA54" s="24" t="n">
        <f aca="false">+N54*$D54</f>
        <v>0</v>
      </c>
      <c r="AB54" s="24" t="n">
        <f aca="false">+O54*$D54</f>
        <v>0</v>
      </c>
      <c r="AC54" s="24" t="n">
        <f aca="false">+P54*$D54</f>
        <v>0</v>
      </c>
      <c r="AD54" s="24" t="n">
        <f aca="false">+Q54*$D54</f>
        <v>0</v>
      </c>
    </row>
    <row r="55" customFormat="false" ht="12.75" hidden="false" customHeight="false" outlineLevel="0" collapsed="false">
      <c r="A55" s="6" t="s">
        <v>63</v>
      </c>
      <c r="B55" s="19" t="s">
        <v>68</v>
      </c>
      <c r="C55" s="20" t="n">
        <v>27047</v>
      </c>
      <c r="D55" s="21" t="n">
        <v>125000</v>
      </c>
      <c r="F55" s="23" t="n">
        <v>36557</v>
      </c>
      <c r="G55" s="23" t="n">
        <v>38717</v>
      </c>
      <c r="H55" s="25" t="n">
        <f aca="false">"1/01/01"-F55</f>
        <v>335</v>
      </c>
      <c r="I55" s="0" t="n">
        <v>365</v>
      </c>
      <c r="J55" s="25" t="n">
        <v>365</v>
      </c>
      <c r="K55" s="25" t="n">
        <v>365</v>
      </c>
      <c r="L55" s="25" t="n">
        <v>366</v>
      </c>
      <c r="M55" s="25" t="n">
        <v>365</v>
      </c>
      <c r="N55" s="25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U55" s="24" t="n">
        <f aca="false">+H55*$D55</f>
        <v>41875000</v>
      </c>
      <c r="V55" s="24" t="n">
        <f aca="false">+I55*$D55</f>
        <v>45625000</v>
      </c>
      <c r="W55" s="24" t="n">
        <f aca="false">+J55*$D55</f>
        <v>45625000</v>
      </c>
      <c r="X55" s="24" t="n">
        <f aca="false">+K55*$D55</f>
        <v>45625000</v>
      </c>
      <c r="Y55" s="24" t="n">
        <f aca="false">+L55*$D55</f>
        <v>45750000</v>
      </c>
      <c r="Z55" s="24" t="n">
        <f aca="false">+M55*$D55</f>
        <v>45625000</v>
      </c>
      <c r="AA55" s="24" t="n">
        <f aca="false">+N55*$D55</f>
        <v>0</v>
      </c>
      <c r="AB55" s="24" t="n">
        <f aca="false">+O55*$D55</f>
        <v>0</v>
      </c>
      <c r="AC55" s="24" t="n">
        <f aca="false">+P55*$D55</f>
        <v>0</v>
      </c>
      <c r="AD55" s="24" t="n">
        <f aca="false">+Q55*$D55</f>
        <v>0</v>
      </c>
    </row>
    <row r="56" customFormat="false" ht="12.75" hidden="false" customHeight="false" outlineLevel="0" collapsed="false">
      <c r="A56" s="6" t="s">
        <v>63</v>
      </c>
      <c r="B56" s="19" t="s">
        <v>69</v>
      </c>
      <c r="C56" s="20" t="n">
        <v>27342</v>
      </c>
      <c r="D56" s="21" t="n">
        <v>30000</v>
      </c>
      <c r="F56" s="23" t="n">
        <v>36892</v>
      </c>
      <c r="G56" s="23" t="n">
        <v>37256</v>
      </c>
      <c r="H56" s="0" t="n">
        <v>0</v>
      </c>
      <c r="I56" s="25" t="n">
        <v>365</v>
      </c>
      <c r="J56" s="25" t="n">
        <v>0</v>
      </c>
      <c r="K56" s="25" t="n">
        <v>0</v>
      </c>
      <c r="L56" s="25" t="n">
        <v>0</v>
      </c>
      <c r="M56" s="25" t="n">
        <v>0</v>
      </c>
      <c r="N56" s="25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U56" s="24" t="n">
        <f aca="false">+H56*$D56</f>
        <v>0</v>
      </c>
      <c r="V56" s="24" t="n">
        <f aca="false">+I56*$D56</f>
        <v>10950000</v>
      </c>
      <c r="W56" s="24" t="n">
        <f aca="false">+J56*$D56</f>
        <v>0</v>
      </c>
      <c r="X56" s="24" t="n">
        <f aca="false">+K56*$D56</f>
        <v>0</v>
      </c>
      <c r="Y56" s="24" t="n">
        <f aca="false">+L56*$D56</f>
        <v>0</v>
      </c>
      <c r="Z56" s="24" t="n">
        <f aca="false">+M56*$D56</f>
        <v>0</v>
      </c>
      <c r="AA56" s="24" t="n">
        <f aca="false">+N56*$D56</f>
        <v>0</v>
      </c>
      <c r="AB56" s="24" t="n">
        <f aca="false">+O56*$D56</f>
        <v>0</v>
      </c>
      <c r="AC56" s="24" t="n">
        <f aca="false">+P56*$D56</f>
        <v>0</v>
      </c>
      <c r="AD56" s="24" t="n">
        <f aca="false">+Q56*$D56</f>
        <v>0</v>
      </c>
    </row>
    <row r="57" customFormat="false" ht="12.75" hidden="false" customHeight="false" outlineLevel="0" collapsed="false">
      <c r="A57" s="6" t="s">
        <v>63</v>
      </c>
      <c r="B57" s="19" t="s">
        <v>70</v>
      </c>
      <c r="C57" s="20" t="n">
        <v>26044</v>
      </c>
      <c r="D57" s="21" t="n">
        <v>85000</v>
      </c>
      <c r="F57" s="23" t="n">
        <v>35886</v>
      </c>
      <c r="G57" s="23" t="n">
        <v>37925</v>
      </c>
      <c r="H57" s="0" t="n">
        <v>366</v>
      </c>
      <c r="I57" s="25" t="n">
        <v>365</v>
      </c>
      <c r="J57" s="25" t="n">
        <v>365</v>
      </c>
      <c r="K57" s="25" t="n">
        <f aca="false">+G57-"12/31/02"</f>
        <v>304</v>
      </c>
      <c r="L57" s="25" t="n">
        <v>0</v>
      </c>
      <c r="M57" s="25" t="n">
        <v>0</v>
      </c>
      <c r="N57" s="25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U57" s="24" t="n">
        <f aca="false">+H57*$D57</f>
        <v>31110000</v>
      </c>
      <c r="V57" s="24" t="n">
        <f aca="false">+I57*$D57</f>
        <v>31025000</v>
      </c>
      <c r="W57" s="24" t="n">
        <f aca="false">+J57*$D57</f>
        <v>31025000</v>
      </c>
      <c r="X57" s="24" t="n">
        <f aca="false">+K57*$D57</f>
        <v>25840000</v>
      </c>
      <c r="Y57" s="24" t="n">
        <f aca="false">+L57*$D57</f>
        <v>0</v>
      </c>
      <c r="Z57" s="24" t="n">
        <f aca="false">+M57*$D57</f>
        <v>0</v>
      </c>
      <c r="AA57" s="24" t="n">
        <f aca="false">+N57*$D57</f>
        <v>0</v>
      </c>
      <c r="AB57" s="24" t="n">
        <f aca="false">+O57*$D57</f>
        <v>0</v>
      </c>
      <c r="AC57" s="24" t="n">
        <f aca="false">+P57*$D57</f>
        <v>0</v>
      </c>
      <c r="AD57" s="24" t="n">
        <f aca="false">+Q57*$D57</f>
        <v>0</v>
      </c>
    </row>
    <row r="58" customFormat="false" ht="12.75" hidden="false" customHeight="false" outlineLevel="0" collapsed="false">
      <c r="A58" s="6" t="s">
        <v>63</v>
      </c>
      <c r="B58" s="19" t="s">
        <v>70</v>
      </c>
      <c r="C58" s="20" t="n">
        <v>26436</v>
      </c>
      <c r="D58" s="21" t="n">
        <v>59000</v>
      </c>
      <c r="F58" s="23" t="n">
        <v>36100</v>
      </c>
      <c r="G58" s="23" t="n">
        <v>37925</v>
      </c>
      <c r="H58" s="0" t="n">
        <v>366</v>
      </c>
      <c r="I58" s="25" t="n">
        <v>365</v>
      </c>
      <c r="J58" s="25" t="n">
        <v>365</v>
      </c>
      <c r="K58" s="25" t="n">
        <f aca="false">+G58-"12/31/02"</f>
        <v>304</v>
      </c>
      <c r="L58" s="25" t="n">
        <v>0</v>
      </c>
      <c r="M58" s="25" t="n">
        <v>0</v>
      </c>
      <c r="N58" s="25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U58" s="24" t="n">
        <f aca="false">+H58*$D58</f>
        <v>21594000</v>
      </c>
      <c r="V58" s="24" t="n">
        <f aca="false">+I58*$D58</f>
        <v>21535000</v>
      </c>
      <c r="W58" s="24" t="n">
        <f aca="false">+J58*$D58</f>
        <v>21535000</v>
      </c>
      <c r="X58" s="24" t="n">
        <f aca="false">+K58*$D58</f>
        <v>17936000</v>
      </c>
      <c r="Y58" s="24" t="n">
        <f aca="false">+L58*$D58</f>
        <v>0</v>
      </c>
      <c r="Z58" s="24" t="n">
        <f aca="false">+M58*$D58</f>
        <v>0</v>
      </c>
      <c r="AA58" s="24" t="n">
        <f aca="false">+N58*$D58</f>
        <v>0</v>
      </c>
      <c r="AB58" s="24" t="n">
        <f aca="false">+O58*$D58</f>
        <v>0</v>
      </c>
      <c r="AC58" s="24" t="n">
        <f aca="false">+P58*$D58</f>
        <v>0</v>
      </c>
      <c r="AD58" s="24" t="n">
        <f aca="false">+Q58*$D58</f>
        <v>0</v>
      </c>
    </row>
    <row r="59" customFormat="false" ht="12.75" hidden="false" customHeight="false" outlineLevel="0" collapsed="false">
      <c r="A59" s="6" t="s">
        <v>63</v>
      </c>
      <c r="B59" s="19" t="s">
        <v>71</v>
      </c>
      <c r="C59" s="20" t="n">
        <v>24669</v>
      </c>
      <c r="D59" s="21" t="n">
        <v>12500</v>
      </c>
      <c r="F59" s="29" t="n">
        <v>35309</v>
      </c>
      <c r="G59" s="23" t="n">
        <v>38748</v>
      </c>
      <c r="H59" s="0" t="n">
        <v>366</v>
      </c>
      <c r="I59" s="25" t="n">
        <v>365</v>
      </c>
      <c r="J59" s="25" t="n">
        <v>365</v>
      </c>
      <c r="K59" s="25" t="n">
        <v>365</v>
      </c>
      <c r="L59" s="25" t="n">
        <v>366</v>
      </c>
      <c r="M59" s="25" t="n">
        <v>365</v>
      </c>
      <c r="N59" s="25" t="n">
        <f aca="false">+G59-"12/31/05"</f>
        <v>31</v>
      </c>
      <c r="O59" s="0" t="n">
        <v>0</v>
      </c>
      <c r="P59" s="0" t="n">
        <v>0</v>
      </c>
      <c r="Q59" s="0" t="n">
        <v>0</v>
      </c>
      <c r="R59" s="0" t="n">
        <v>0</v>
      </c>
      <c r="U59" s="24" t="n">
        <f aca="false">+H59*$D59</f>
        <v>4575000</v>
      </c>
      <c r="V59" s="24" t="n">
        <f aca="false">+I59*$D59</f>
        <v>4562500</v>
      </c>
      <c r="W59" s="24" t="n">
        <f aca="false">+J59*$D59</f>
        <v>4562500</v>
      </c>
      <c r="X59" s="24" t="n">
        <f aca="false">+K59*$D59</f>
        <v>4562500</v>
      </c>
      <c r="Y59" s="24" t="n">
        <f aca="false">+L59*$D59</f>
        <v>4575000</v>
      </c>
      <c r="Z59" s="24" t="n">
        <f aca="false">+M59*$D59</f>
        <v>4562500</v>
      </c>
      <c r="AA59" s="24" t="n">
        <f aca="false">+N59*$D59</f>
        <v>387500</v>
      </c>
      <c r="AB59" s="24" t="n">
        <f aca="false">+O59*$D59</f>
        <v>0</v>
      </c>
      <c r="AC59" s="24" t="n">
        <f aca="false">+P59*$D59</f>
        <v>0</v>
      </c>
      <c r="AD59" s="24" t="n">
        <f aca="false">+Q59*$D59</f>
        <v>0</v>
      </c>
    </row>
    <row r="60" customFormat="false" ht="12.75" hidden="false" customHeight="false" outlineLevel="0" collapsed="false">
      <c r="A60" s="6" t="s">
        <v>63</v>
      </c>
      <c r="B60" s="19" t="s">
        <v>72</v>
      </c>
      <c r="C60" s="20" t="n">
        <v>27344</v>
      </c>
      <c r="D60" s="21" t="n">
        <v>13500</v>
      </c>
      <c r="F60" s="23" t="n">
        <v>36892</v>
      </c>
      <c r="G60" s="23" t="n">
        <v>37621</v>
      </c>
      <c r="H60" s="25" t="n">
        <v>0</v>
      </c>
      <c r="I60" s="0" t="n">
        <v>365</v>
      </c>
      <c r="J60" s="25" t="n">
        <v>365</v>
      </c>
      <c r="K60" s="25" t="n">
        <v>0</v>
      </c>
      <c r="L60" s="25" t="n">
        <v>0</v>
      </c>
      <c r="M60" s="25" t="n">
        <v>0</v>
      </c>
      <c r="N60" s="25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U60" s="24" t="n">
        <f aca="false">+H60*$D60</f>
        <v>0</v>
      </c>
      <c r="V60" s="24" t="n">
        <f aca="false">+I60*$D60</f>
        <v>4927500</v>
      </c>
      <c r="W60" s="24" t="n">
        <f aca="false">+J60*$D60</f>
        <v>4927500</v>
      </c>
      <c r="X60" s="24" t="n">
        <f aca="false">+K60*$D60</f>
        <v>0</v>
      </c>
      <c r="Y60" s="24" t="n">
        <f aca="false">+L60*$D60</f>
        <v>0</v>
      </c>
      <c r="Z60" s="24" t="n">
        <f aca="false">+M60*$D60</f>
        <v>0</v>
      </c>
      <c r="AA60" s="24" t="n">
        <f aca="false">+N60*$D60</f>
        <v>0</v>
      </c>
      <c r="AB60" s="24" t="n">
        <f aca="false">+O60*$D60</f>
        <v>0</v>
      </c>
      <c r="AC60" s="24" t="n">
        <f aca="false">+P60*$D60</f>
        <v>0</v>
      </c>
      <c r="AD60" s="24" t="n">
        <f aca="false">+Q60*$D60</f>
        <v>0</v>
      </c>
    </row>
    <row r="61" customFormat="false" ht="12.75" hidden="false" customHeight="false" outlineLevel="0" collapsed="false">
      <c r="A61" s="6" t="s">
        <v>63</v>
      </c>
      <c r="B61" s="19" t="s">
        <v>73</v>
      </c>
      <c r="C61" s="20" t="n">
        <v>24925</v>
      </c>
      <c r="D61" s="21" t="n">
        <v>100000</v>
      </c>
      <c r="F61" s="29" t="n">
        <v>35309</v>
      </c>
      <c r="G61" s="23" t="n">
        <v>38017</v>
      </c>
      <c r="H61" s="0" t="n">
        <v>366</v>
      </c>
      <c r="I61" s="0" t="n">
        <v>365</v>
      </c>
      <c r="J61" s="0" t="n">
        <v>365</v>
      </c>
      <c r="K61" s="0" t="n">
        <v>365</v>
      </c>
      <c r="L61" s="25" t="n">
        <f aca="false">+G61-"12/31/03"</f>
        <v>31</v>
      </c>
      <c r="M61" s="25" t="n">
        <v>0</v>
      </c>
      <c r="N61" s="25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U61" s="24" t="n">
        <f aca="false">+H61*$D61</f>
        <v>36600000</v>
      </c>
      <c r="V61" s="24" t="n">
        <f aca="false">+I61*$D61</f>
        <v>36500000</v>
      </c>
      <c r="W61" s="24" t="n">
        <f aca="false">+J61*$D61</f>
        <v>36500000</v>
      </c>
      <c r="X61" s="24" t="n">
        <f aca="false">+K61*$D61</f>
        <v>36500000</v>
      </c>
      <c r="Y61" s="24" t="n">
        <f aca="false">+L61*$D61</f>
        <v>3100000</v>
      </c>
      <c r="Z61" s="24" t="n">
        <f aca="false">+M61*$D61</f>
        <v>0</v>
      </c>
      <c r="AA61" s="24" t="n">
        <f aca="false">+N61*$D61</f>
        <v>0</v>
      </c>
      <c r="AB61" s="24" t="n">
        <f aca="false">+O61*$D61</f>
        <v>0</v>
      </c>
      <c r="AC61" s="24" t="n">
        <f aca="false">+P61*$D61</f>
        <v>0</v>
      </c>
      <c r="AD61" s="24" t="n">
        <f aca="false">+Q61*$D61</f>
        <v>0</v>
      </c>
    </row>
    <row r="62" customFormat="false" ht="12.75" hidden="false" customHeight="false" outlineLevel="0" collapsed="false">
      <c r="A62" s="6" t="s">
        <v>13</v>
      </c>
      <c r="B62" s="22" t="s">
        <v>74</v>
      </c>
      <c r="C62" s="0" t="n">
        <v>25071</v>
      </c>
      <c r="D62" s="0" t="n">
        <v>90000</v>
      </c>
      <c r="E62" s="2" t="s">
        <v>60</v>
      </c>
      <c r="F62" s="34" t="n">
        <v>36525</v>
      </c>
      <c r="G62" s="35" t="n">
        <v>39782</v>
      </c>
      <c r="H62" s="24" t="n">
        <v>366</v>
      </c>
      <c r="I62" s="24" t="n">
        <v>365</v>
      </c>
      <c r="J62" s="24" t="n">
        <v>365</v>
      </c>
      <c r="K62" s="24" t="n">
        <v>365</v>
      </c>
      <c r="L62" s="24" t="n">
        <v>366</v>
      </c>
      <c r="M62" s="24" t="n">
        <v>365</v>
      </c>
      <c r="N62" s="24" t="n">
        <v>365</v>
      </c>
      <c r="O62" s="24" t="n">
        <v>365</v>
      </c>
      <c r="P62" s="24" t="n">
        <f aca="false">G62-"12/31/07"</f>
        <v>335</v>
      </c>
      <c r="Q62" s="24" t="n">
        <v>0</v>
      </c>
      <c r="R62" s="24" t="n">
        <v>0</v>
      </c>
      <c r="S62" s="24" t="n">
        <f aca="false">+G62-F62</f>
        <v>3257</v>
      </c>
      <c r="T62" s="24" t="n">
        <f aca="false">SUM(H62:R62)</f>
        <v>3257</v>
      </c>
      <c r="U62" s="24" t="n">
        <f aca="false">+H62*$D62</f>
        <v>32940000</v>
      </c>
      <c r="V62" s="24" t="n">
        <f aca="false">+I62*$D62</f>
        <v>32850000</v>
      </c>
      <c r="W62" s="24" t="n">
        <f aca="false">+J62*$D62</f>
        <v>32850000</v>
      </c>
      <c r="X62" s="24" t="n">
        <f aca="false">+K62*$D62</f>
        <v>32850000</v>
      </c>
      <c r="Y62" s="24" t="n">
        <f aca="false">+L62*$D62</f>
        <v>32940000</v>
      </c>
      <c r="Z62" s="24" t="n">
        <f aca="false">+M62*$D62</f>
        <v>32850000</v>
      </c>
      <c r="AA62" s="24" t="n">
        <f aca="false">+N62*$D62</f>
        <v>32850000</v>
      </c>
      <c r="AB62" s="24" t="n">
        <f aca="false">+O62*$D62</f>
        <v>32850000</v>
      </c>
      <c r="AC62" s="24" t="n">
        <f aca="false">+P62*$D62</f>
        <v>30150000</v>
      </c>
      <c r="AD62" s="24" t="n">
        <f aca="false">+Q62*$D62</f>
        <v>0</v>
      </c>
      <c r="AE62" s="24" t="n">
        <f aca="false">+R62*$D62</f>
        <v>0</v>
      </c>
      <c r="AG62" s="27" t="n">
        <f aca="false">+U62*'CSF Rates'!C$12</f>
        <v>3407643</v>
      </c>
      <c r="AH62" s="27" t="n">
        <f aca="false">+V62*'CSF Rates'!D$12</f>
        <v>3467898</v>
      </c>
      <c r="AI62" s="27" t="n">
        <f aca="false">+W62*'CSF Rates'!E$12</f>
        <v>3540168</v>
      </c>
      <c r="AJ62" s="27" t="n">
        <f aca="false">+X62*'CSF Rates'!F$12</f>
        <v>3612438</v>
      </c>
      <c r="AK62" s="27" t="n">
        <f aca="false">+Y62*'CSF Rates'!G$12</f>
        <v>3695319</v>
      </c>
      <c r="AL62" s="27" t="n">
        <f aca="false">+Z62*'CSF Rates'!H$12</f>
        <v>3760812</v>
      </c>
      <c r="AM62" s="27" t="n">
        <f aca="false">+AA62*'CSF Rates'!I$12</f>
        <v>3836916</v>
      </c>
      <c r="AN62" s="27" t="n">
        <f aca="false">+AB62*'CSF Rates'!J$12</f>
        <v>3915756</v>
      </c>
      <c r="AO62" s="27" t="n">
        <f aca="false">+AC62*'CSF Rates'!K$12</f>
        <v>3654180</v>
      </c>
      <c r="AP62" s="27" t="n">
        <f aca="false">+AD62*'CSF Rates'!L$12</f>
        <v>0</v>
      </c>
      <c r="AQ62" s="27" t="n">
        <f aca="false">+AE62*'CSF Rates'!M$12</f>
        <v>0</v>
      </c>
    </row>
    <row r="63" customFormat="false" ht="12.75" hidden="false" customHeight="false" outlineLevel="0" collapsed="false">
      <c r="A63" s="6" t="s">
        <v>13</v>
      </c>
      <c r="B63" s="22" t="s">
        <v>74</v>
      </c>
      <c r="C63" s="0" t="n">
        <v>25700</v>
      </c>
      <c r="D63" s="0" t="n">
        <v>25000</v>
      </c>
      <c r="E63" s="2" t="s">
        <v>60</v>
      </c>
      <c r="F63" s="34" t="n">
        <v>36525</v>
      </c>
      <c r="G63" s="35" t="n">
        <v>37621</v>
      </c>
      <c r="H63" s="24" t="n">
        <v>366</v>
      </c>
      <c r="I63" s="24" t="n">
        <v>365</v>
      </c>
      <c r="J63" s="24" t="n">
        <v>365</v>
      </c>
      <c r="K63" s="24" t="n">
        <v>0</v>
      </c>
      <c r="L63" s="24" t="n">
        <v>0</v>
      </c>
      <c r="M63" s="24" t="n">
        <v>0</v>
      </c>
      <c r="N63" s="24" t="n">
        <v>0</v>
      </c>
      <c r="O63" s="24" t="n">
        <v>0</v>
      </c>
      <c r="P63" s="24" t="n">
        <v>0</v>
      </c>
      <c r="Q63" s="24" t="n">
        <v>0</v>
      </c>
      <c r="R63" s="24" t="n">
        <v>0</v>
      </c>
      <c r="S63" s="24" t="n">
        <f aca="false">+G63-F63</f>
        <v>1096</v>
      </c>
      <c r="T63" s="24" t="n">
        <f aca="false">SUM(H63:R63)</f>
        <v>1096</v>
      </c>
      <c r="U63" s="24" t="n">
        <f aca="false">+H63*$D63</f>
        <v>9150000</v>
      </c>
      <c r="V63" s="24" t="n">
        <f aca="false">+I63*$D63</f>
        <v>9125000</v>
      </c>
      <c r="W63" s="24" t="n">
        <f aca="false">+J63*$D63</f>
        <v>9125000</v>
      </c>
      <c r="X63" s="24" t="n">
        <f aca="false">+K63*$D63</f>
        <v>0</v>
      </c>
      <c r="Y63" s="24" t="n">
        <f aca="false">+L63*$D63</f>
        <v>0</v>
      </c>
      <c r="Z63" s="24" t="n">
        <f aca="false">+M63*$D63</f>
        <v>0</v>
      </c>
      <c r="AA63" s="24" t="n">
        <f aca="false">+N63*$D63</f>
        <v>0</v>
      </c>
      <c r="AB63" s="24" t="n">
        <f aca="false">+O63*$D63</f>
        <v>0</v>
      </c>
      <c r="AC63" s="24" t="n">
        <f aca="false">+P63*$D63</f>
        <v>0</v>
      </c>
      <c r="AD63" s="24" t="n">
        <f aca="false">+Q63*$D63</f>
        <v>0</v>
      </c>
      <c r="AE63" s="24" t="n">
        <f aca="false">+R63*$D63</f>
        <v>0</v>
      </c>
      <c r="AG63" s="27" t="n">
        <f aca="false">+U63*'CSF Rates'!C$12</f>
        <v>946567.5</v>
      </c>
      <c r="AH63" s="27" t="n">
        <f aca="false">+V63*'CSF Rates'!D$12</f>
        <v>963305</v>
      </c>
      <c r="AI63" s="27" t="n">
        <f aca="false">+W63*'CSF Rates'!E$12</f>
        <v>983380</v>
      </c>
      <c r="AJ63" s="27" t="n">
        <f aca="false">+X63*'CSF Rates'!F$12</f>
        <v>0</v>
      </c>
      <c r="AK63" s="27" t="n">
        <f aca="false">+Y63*'CSF Rates'!G$12</f>
        <v>0</v>
      </c>
      <c r="AL63" s="27" t="n">
        <f aca="false">+Z63*'CSF Rates'!H$12</f>
        <v>0</v>
      </c>
      <c r="AM63" s="27" t="n">
        <f aca="false">+AA63*'CSF Rates'!I$12</f>
        <v>0</v>
      </c>
      <c r="AN63" s="27" t="n">
        <f aca="false">+AB63*'CSF Rates'!J$12</f>
        <v>0</v>
      </c>
      <c r="AO63" s="27" t="n">
        <f aca="false">+AC63*'CSF Rates'!K$12</f>
        <v>0</v>
      </c>
      <c r="AP63" s="27" t="n">
        <f aca="false">+AD63*'CSF Rates'!L$12</f>
        <v>0</v>
      </c>
      <c r="AQ63" s="27" t="n">
        <f aca="false">+AE63*'CSF Rates'!M$12</f>
        <v>0</v>
      </c>
    </row>
    <row r="64" customFormat="false" ht="12.75" hidden="false" customHeight="false" outlineLevel="0" collapsed="false">
      <c r="A64" s="6" t="s">
        <v>13</v>
      </c>
      <c r="B64" s="50" t="s">
        <v>75</v>
      </c>
      <c r="C64" s="0" t="n">
        <v>24735</v>
      </c>
      <c r="D64" s="0" t="n">
        <v>4000</v>
      </c>
      <c r="E64" s="2" t="s">
        <v>60</v>
      </c>
      <c r="F64" s="34" t="n">
        <v>36525</v>
      </c>
      <c r="G64" s="35" t="n">
        <v>36616</v>
      </c>
      <c r="H64" s="24" t="n">
        <f aca="false">G64-"12/31/99"</f>
        <v>91</v>
      </c>
      <c r="I64" s="24" t="n">
        <v>0</v>
      </c>
      <c r="J64" s="24" t="n">
        <v>0</v>
      </c>
      <c r="K64" s="24" t="n">
        <v>0</v>
      </c>
      <c r="L64" s="24" t="n">
        <v>0</v>
      </c>
      <c r="M64" s="24" t="n">
        <v>0</v>
      </c>
      <c r="N64" s="24" t="n">
        <v>0</v>
      </c>
      <c r="O64" s="24" t="n">
        <v>0</v>
      </c>
      <c r="P64" s="24" t="n">
        <v>0</v>
      </c>
      <c r="Q64" s="24" t="n">
        <v>0</v>
      </c>
      <c r="R64" s="24" t="n">
        <v>0</v>
      </c>
      <c r="S64" s="24" t="n">
        <f aca="false">+G64-F64</f>
        <v>91</v>
      </c>
      <c r="T64" s="24" t="n">
        <f aca="false">SUM(H64:R64)</f>
        <v>91</v>
      </c>
      <c r="U64" s="24" t="n">
        <f aca="false">+H64*$D64</f>
        <v>364000</v>
      </c>
      <c r="V64" s="24" t="n">
        <f aca="false">+I64*$D64</f>
        <v>0</v>
      </c>
      <c r="W64" s="24" t="n">
        <f aca="false">+J64*$D64</f>
        <v>0</v>
      </c>
      <c r="X64" s="24" t="n">
        <f aca="false">+K64*$D64</f>
        <v>0</v>
      </c>
      <c r="Y64" s="24" t="n">
        <f aca="false">+L64*$D64</f>
        <v>0</v>
      </c>
      <c r="Z64" s="24" t="n">
        <f aca="false">+M64*$D64</f>
        <v>0</v>
      </c>
      <c r="AA64" s="24" t="n">
        <f aca="false">+N64*$D64</f>
        <v>0</v>
      </c>
      <c r="AB64" s="24" t="n">
        <f aca="false">+O64*$D64</f>
        <v>0</v>
      </c>
      <c r="AC64" s="24" t="n">
        <f aca="false">+P64*$D64</f>
        <v>0</v>
      </c>
      <c r="AD64" s="24" t="n">
        <f aca="false">+Q64*$D64</f>
        <v>0</v>
      </c>
      <c r="AE64" s="24" t="n">
        <f aca="false">+R64*$D64</f>
        <v>0</v>
      </c>
      <c r="AG64" s="27" t="n">
        <f aca="false">+U64*'CSF Rates'!C$12</f>
        <v>37655.8</v>
      </c>
      <c r="AH64" s="27" t="n">
        <f aca="false">+V64*'CSF Rates'!D$12</f>
        <v>0</v>
      </c>
      <c r="AI64" s="27" t="n">
        <f aca="false">+W64*'CSF Rates'!E$12</f>
        <v>0</v>
      </c>
      <c r="AJ64" s="27" t="n">
        <f aca="false">+X64*'CSF Rates'!F$12</f>
        <v>0</v>
      </c>
      <c r="AK64" s="27" t="n">
        <f aca="false">+Y64*'CSF Rates'!G$12</f>
        <v>0</v>
      </c>
      <c r="AL64" s="27" t="n">
        <f aca="false">+Z64*'CSF Rates'!H$12</f>
        <v>0</v>
      </c>
      <c r="AM64" s="27" t="n">
        <f aca="false">+AA64*'CSF Rates'!I$12</f>
        <v>0</v>
      </c>
      <c r="AN64" s="27" t="n">
        <f aca="false">+AB64*'CSF Rates'!J$12</f>
        <v>0</v>
      </c>
      <c r="AO64" s="27" t="n">
        <f aca="false">+AC64*'CSF Rates'!K$12</f>
        <v>0</v>
      </c>
      <c r="AP64" s="27" t="n">
        <f aca="false">+AD64*'CSF Rates'!L$12</f>
        <v>0</v>
      </c>
      <c r="AQ64" s="27" t="n">
        <f aca="false">+AE64*'CSF Rates'!M$12</f>
        <v>0</v>
      </c>
    </row>
    <row r="65" customFormat="false" ht="12.75" hidden="false" customHeight="false" outlineLevel="0" collapsed="false">
      <c r="A65" s="6" t="s">
        <v>13</v>
      </c>
      <c r="B65" s="22" t="s">
        <v>33</v>
      </c>
      <c r="C65" s="0" t="n">
        <v>25025</v>
      </c>
      <c r="D65" s="0" t="n">
        <v>80000</v>
      </c>
      <c r="E65" s="2" t="s">
        <v>60</v>
      </c>
      <c r="F65" s="34" t="n">
        <v>36525</v>
      </c>
      <c r="G65" s="35" t="n">
        <v>39051</v>
      </c>
      <c r="H65" s="24" t="n">
        <v>366</v>
      </c>
      <c r="I65" s="24" t="n">
        <v>365</v>
      </c>
      <c r="J65" s="24" t="n">
        <v>365</v>
      </c>
      <c r="K65" s="24" t="n">
        <v>365</v>
      </c>
      <c r="L65" s="24" t="n">
        <v>366</v>
      </c>
      <c r="M65" s="24" t="n">
        <v>365</v>
      </c>
      <c r="N65" s="24" t="n">
        <f aca="false">G65-"12/31/05"</f>
        <v>334</v>
      </c>
      <c r="O65" s="24" t="n">
        <v>0</v>
      </c>
      <c r="P65" s="24" t="n">
        <v>0</v>
      </c>
      <c r="Q65" s="24" t="n">
        <v>0</v>
      </c>
      <c r="R65" s="24" t="n">
        <v>0</v>
      </c>
      <c r="S65" s="24" t="n">
        <f aca="false">+G65-F65</f>
        <v>2526</v>
      </c>
      <c r="T65" s="24" t="n">
        <f aca="false">SUM(H65:R65)</f>
        <v>2526</v>
      </c>
      <c r="U65" s="24" t="n">
        <f aca="false">+H65*$D65</f>
        <v>29280000</v>
      </c>
      <c r="V65" s="24" t="n">
        <f aca="false">+I65*$D65</f>
        <v>29200000</v>
      </c>
      <c r="W65" s="24" t="n">
        <f aca="false">+J65*$D65</f>
        <v>29200000</v>
      </c>
      <c r="X65" s="24" t="n">
        <f aca="false">+K65*$D65</f>
        <v>29200000</v>
      </c>
      <c r="Y65" s="24" t="n">
        <f aca="false">+L65*$D65</f>
        <v>29280000</v>
      </c>
      <c r="Z65" s="24" t="n">
        <f aca="false">+M65*($D65-20000)</f>
        <v>21900000</v>
      </c>
      <c r="AA65" s="24" t="n">
        <f aca="false">+N65*($D65-20000)</f>
        <v>20040000</v>
      </c>
      <c r="AB65" s="24" t="n">
        <f aca="false">+O65*$D65</f>
        <v>0</v>
      </c>
      <c r="AC65" s="24" t="n">
        <f aca="false">+P65*$D65</f>
        <v>0</v>
      </c>
      <c r="AD65" s="24" t="n">
        <f aca="false">+Q65*$D65</f>
        <v>0</v>
      </c>
      <c r="AE65" s="24" t="n">
        <f aca="false">+R65*$D65</f>
        <v>0</v>
      </c>
      <c r="AG65" s="27" t="n">
        <f aca="false">+U65*'CSF Rates'!C$12</f>
        <v>3029016</v>
      </c>
      <c r="AH65" s="27" t="n">
        <f aca="false">+V65*'CSF Rates'!D$12</f>
        <v>3082576</v>
      </c>
      <c r="AI65" s="27" t="n">
        <f aca="false">+W65*'CSF Rates'!E$12</f>
        <v>3146816</v>
      </c>
      <c r="AJ65" s="27" t="n">
        <f aca="false">+X65*'CSF Rates'!F$12</f>
        <v>3211056</v>
      </c>
      <c r="AK65" s="27" t="n">
        <f aca="false">+Y65*'CSF Rates'!G$12</f>
        <v>3284728</v>
      </c>
      <c r="AL65" s="27" t="n">
        <f aca="false">+Z65*'CSF Rates'!H$12</f>
        <v>2507208</v>
      </c>
      <c r="AM65" s="27" t="n">
        <f aca="false">+AA65*'CSF Rates'!I$12</f>
        <v>2340693.96164384</v>
      </c>
      <c r="AN65" s="27" t="n">
        <f aca="false">+AB65*'CSF Rates'!J$12</f>
        <v>0</v>
      </c>
      <c r="AO65" s="27" t="n">
        <f aca="false">+AC65*'CSF Rates'!K$12</f>
        <v>0</v>
      </c>
      <c r="AP65" s="27" t="n">
        <f aca="false">+AD65*'CSF Rates'!L$12</f>
        <v>0</v>
      </c>
      <c r="AQ65" s="27" t="n">
        <f aca="false">+AE65*'CSF Rates'!M$12</f>
        <v>0</v>
      </c>
    </row>
    <row r="66" customFormat="false" ht="12.75" hidden="false" customHeight="false" outlineLevel="0" collapsed="false">
      <c r="A66" s="6" t="s">
        <v>13</v>
      </c>
      <c r="B66" s="50" t="s">
        <v>76</v>
      </c>
      <c r="C66" s="0" t="n">
        <v>24216</v>
      </c>
      <c r="D66" s="0" t="n">
        <v>55000</v>
      </c>
      <c r="E66" s="2" t="s">
        <v>60</v>
      </c>
      <c r="F66" s="34" t="n">
        <v>36525</v>
      </c>
      <c r="G66" s="35" t="n">
        <v>36585</v>
      </c>
      <c r="H66" s="24" t="n">
        <f aca="false">G66-"12/31/99"</f>
        <v>60</v>
      </c>
      <c r="I66" s="24" t="n">
        <v>0</v>
      </c>
      <c r="J66" s="24" t="n">
        <v>0</v>
      </c>
      <c r="K66" s="24" t="n">
        <v>0</v>
      </c>
      <c r="L66" s="24" t="n">
        <v>0</v>
      </c>
      <c r="M66" s="24" t="n">
        <v>0</v>
      </c>
      <c r="N66" s="24" t="n">
        <v>0</v>
      </c>
      <c r="O66" s="24" t="n">
        <v>0</v>
      </c>
      <c r="P66" s="24" t="n">
        <v>0</v>
      </c>
      <c r="Q66" s="24" t="n">
        <v>0</v>
      </c>
      <c r="R66" s="24" t="n">
        <v>0</v>
      </c>
      <c r="S66" s="24" t="n">
        <f aca="false">+G66-F66</f>
        <v>60</v>
      </c>
      <c r="T66" s="24" t="n">
        <f aca="false">SUM(H66:R66)</f>
        <v>60</v>
      </c>
      <c r="U66" s="24" t="n">
        <f aca="false">+H66*$D66</f>
        <v>3300000</v>
      </c>
      <c r="V66" s="24" t="n">
        <f aca="false">+I66*$D66</f>
        <v>0</v>
      </c>
      <c r="W66" s="24" t="n">
        <f aca="false">+J66*$D66</f>
        <v>0</v>
      </c>
      <c r="X66" s="24" t="n">
        <f aca="false">+K66*$D66</f>
        <v>0</v>
      </c>
      <c r="Y66" s="24" t="n">
        <f aca="false">+L66*$D66</f>
        <v>0</v>
      </c>
      <c r="Z66" s="24" t="n">
        <f aca="false">+M66*$D66</f>
        <v>0</v>
      </c>
      <c r="AA66" s="24" t="n">
        <f aca="false">+N66*$D66</f>
        <v>0</v>
      </c>
      <c r="AB66" s="24" t="n">
        <f aca="false">+O66*$D66</f>
        <v>0</v>
      </c>
      <c r="AC66" s="24" t="n">
        <f aca="false">+P66*$D66</f>
        <v>0</v>
      </c>
      <c r="AD66" s="24" t="n">
        <f aca="false">+Q66*$D66</f>
        <v>0</v>
      </c>
      <c r="AE66" s="24" t="n">
        <f aca="false">+R66*$D66</f>
        <v>0</v>
      </c>
      <c r="AG66" s="27" t="n">
        <f aca="false">+U66*'CSF Rates'!C$12</f>
        <v>341385</v>
      </c>
      <c r="AH66" s="27" t="n">
        <f aca="false">+V66*'CSF Rates'!D$12</f>
        <v>0</v>
      </c>
      <c r="AI66" s="27" t="n">
        <f aca="false">+W66*'CSF Rates'!E$12</f>
        <v>0</v>
      </c>
      <c r="AJ66" s="27" t="n">
        <f aca="false">+X66*'CSF Rates'!F$12</f>
        <v>0</v>
      </c>
      <c r="AK66" s="27" t="n">
        <f aca="false">+Y66*'CSF Rates'!G$12</f>
        <v>0</v>
      </c>
      <c r="AL66" s="27" t="n">
        <f aca="false">+Z66*'CSF Rates'!H$12</f>
        <v>0</v>
      </c>
      <c r="AM66" s="27" t="n">
        <f aca="false">+AA66*'CSF Rates'!I$12</f>
        <v>0</v>
      </c>
      <c r="AN66" s="27" t="n">
        <f aca="false">+AB66*'CSF Rates'!J$12</f>
        <v>0</v>
      </c>
      <c r="AO66" s="27" t="n">
        <f aca="false">+AC66*'CSF Rates'!K$12</f>
        <v>0</v>
      </c>
      <c r="AP66" s="27" t="n">
        <f aca="false">+AD66*'CSF Rates'!L$12</f>
        <v>0</v>
      </c>
      <c r="AQ66" s="27" t="n">
        <f aca="false">+AE66*'CSF Rates'!M$12</f>
        <v>0</v>
      </c>
    </row>
    <row r="67" customFormat="false" ht="12.75" hidden="false" customHeight="false" outlineLevel="0" collapsed="false">
      <c r="A67" s="6" t="s">
        <v>13</v>
      </c>
      <c r="B67" s="22" t="s">
        <v>77</v>
      </c>
      <c r="C67" s="0" t="n">
        <v>27458</v>
      </c>
      <c r="D67" s="0" t="n">
        <v>14000</v>
      </c>
      <c r="E67" s="2" t="s">
        <v>60</v>
      </c>
      <c r="F67" s="34" t="n">
        <v>37621</v>
      </c>
      <c r="G67" s="35" t="n">
        <v>38717</v>
      </c>
      <c r="H67" s="24" t="n">
        <v>0</v>
      </c>
      <c r="I67" s="24" t="n">
        <v>0</v>
      </c>
      <c r="J67" s="24" t="n">
        <v>0</v>
      </c>
      <c r="K67" s="24" t="n">
        <v>365</v>
      </c>
      <c r="L67" s="24" t="n">
        <v>366</v>
      </c>
      <c r="M67" s="24" t="n">
        <f aca="false">+G67-"12/31/04"</f>
        <v>365</v>
      </c>
      <c r="N67" s="24" t="n">
        <v>0</v>
      </c>
      <c r="O67" s="24" t="n">
        <v>0</v>
      </c>
      <c r="P67" s="24" t="n">
        <v>0</v>
      </c>
      <c r="Q67" s="24" t="n">
        <v>0</v>
      </c>
      <c r="R67" s="24" t="n">
        <v>0</v>
      </c>
      <c r="S67" s="24" t="n">
        <f aca="false">+G67-F67</f>
        <v>1096</v>
      </c>
      <c r="T67" s="24" t="n">
        <f aca="false">SUM(H67:R67)</f>
        <v>1096</v>
      </c>
      <c r="U67" s="24" t="n">
        <f aca="false">+H67*$D67</f>
        <v>0</v>
      </c>
      <c r="V67" s="24" t="n">
        <f aca="false">+I67*$D67</f>
        <v>0</v>
      </c>
      <c r="W67" s="24" t="n">
        <f aca="false">+J67*$D67</f>
        <v>0</v>
      </c>
      <c r="X67" s="24" t="n">
        <f aca="false">+K67*$D67</f>
        <v>5110000</v>
      </c>
      <c r="Y67" s="24" t="n">
        <f aca="false">+L67*$D67</f>
        <v>5124000</v>
      </c>
      <c r="Z67" s="24" t="n">
        <f aca="false">+M67*$D67</f>
        <v>5110000</v>
      </c>
      <c r="AA67" s="24" t="n">
        <f aca="false">+N67*$D67</f>
        <v>0</v>
      </c>
      <c r="AB67" s="24" t="n">
        <f aca="false">+O67*$D67</f>
        <v>0</v>
      </c>
      <c r="AC67" s="24" t="n">
        <f aca="false">+P67*$D67</f>
        <v>0</v>
      </c>
      <c r="AD67" s="24" t="n">
        <f aca="false">+Q67*$D67</f>
        <v>0</v>
      </c>
      <c r="AE67" s="24" t="n">
        <f aca="false">+R67*$D67</f>
        <v>0</v>
      </c>
      <c r="AG67" s="27" t="n">
        <f aca="false">+U67*'CSF Rates'!C$12</f>
        <v>0</v>
      </c>
      <c r="AH67" s="27" t="n">
        <f aca="false">+V67*'CSF Rates'!D$12</f>
        <v>0</v>
      </c>
      <c r="AI67" s="27" t="n">
        <f aca="false">+W67*'CSF Rates'!E$12</f>
        <v>0</v>
      </c>
      <c r="AJ67" s="27" t="n">
        <f aca="false">+X67*'CSF Rates'!F$12</f>
        <v>561934.8</v>
      </c>
      <c r="AK67" s="27" t="n">
        <f aca="false">+Y67*'CSF Rates'!G$12</f>
        <v>574827.4</v>
      </c>
      <c r="AL67" s="27" t="n">
        <f aca="false">+Z67*'CSF Rates'!H$12</f>
        <v>585015.2</v>
      </c>
      <c r="AM67" s="27" t="n">
        <f aca="false">+AA67*'CSF Rates'!I$12</f>
        <v>0</v>
      </c>
      <c r="AN67" s="27" t="n">
        <f aca="false">+AB67*'CSF Rates'!J$12</f>
        <v>0</v>
      </c>
      <c r="AO67" s="27" t="n">
        <f aca="false">+AC67*'CSF Rates'!K$12</f>
        <v>0</v>
      </c>
      <c r="AP67" s="27" t="n">
        <f aca="false">+AD67*'CSF Rates'!L$12</f>
        <v>0</v>
      </c>
      <c r="AQ67" s="27" t="n">
        <f aca="false">+AE67*'CSF Rates'!M$12</f>
        <v>0</v>
      </c>
    </row>
    <row r="68" customFormat="false" ht="12.75" hidden="false" customHeight="false" outlineLevel="0" collapsed="false">
      <c r="A68" s="6" t="s">
        <v>13</v>
      </c>
      <c r="B68" s="22" t="s">
        <v>78</v>
      </c>
      <c r="C68" s="0" t="n">
        <v>26519</v>
      </c>
      <c r="D68" s="0" t="n">
        <v>25000</v>
      </c>
      <c r="E68" s="2" t="s">
        <v>60</v>
      </c>
      <c r="F68" s="34" t="n">
        <v>36525</v>
      </c>
      <c r="G68" s="35" t="n">
        <v>39141</v>
      </c>
      <c r="H68" s="24" t="n">
        <v>366</v>
      </c>
      <c r="I68" s="24" t="n">
        <v>365</v>
      </c>
      <c r="J68" s="24" t="n">
        <v>365</v>
      </c>
      <c r="K68" s="24" t="n">
        <v>365</v>
      </c>
      <c r="L68" s="24" t="n">
        <v>366</v>
      </c>
      <c r="M68" s="24" t="n">
        <v>365</v>
      </c>
      <c r="N68" s="24" t="n">
        <v>365</v>
      </c>
      <c r="O68" s="24" t="n">
        <f aca="false">G68-"12/31/06"</f>
        <v>59</v>
      </c>
      <c r="P68" s="24" t="n">
        <v>0</v>
      </c>
      <c r="Q68" s="24" t="n">
        <v>0</v>
      </c>
      <c r="R68" s="24" t="n">
        <v>0</v>
      </c>
      <c r="S68" s="24" t="n">
        <f aca="false">+G68-F68</f>
        <v>2616</v>
      </c>
      <c r="T68" s="24" t="n">
        <f aca="false">SUM(H68:R68)</f>
        <v>2616</v>
      </c>
      <c r="U68" s="24" t="n">
        <f aca="false">+H68*$D68</f>
        <v>9150000</v>
      </c>
      <c r="V68" s="24" t="n">
        <f aca="false">+I68*$D68</f>
        <v>9125000</v>
      </c>
      <c r="W68" s="24" t="n">
        <f aca="false">+J68*$D68</f>
        <v>9125000</v>
      </c>
      <c r="X68" s="24" t="n">
        <f aca="false">+K68*$D68</f>
        <v>9125000</v>
      </c>
      <c r="Y68" s="24" t="n">
        <f aca="false">+L68*$D68</f>
        <v>9150000</v>
      </c>
      <c r="Z68" s="24" t="n">
        <f aca="false">+M68*$D68</f>
        <v>9125000</v>
      </c>
      <c r="AA68" s="24" t="n">
        <f aca="false">+N68*$D68</f>
        <v>9125000</v>
      </c>
      <c r="AB68" s="24" t="n">
        <f aca="false">+O68*$D68</f>
        <v>1475000</v>
      </c>
      <c r="AC68" s="24" t="n">
        <f aca="false">+P68*$D68</f>
        <v>0</v>
      </c>
      <c r="AD68" s="24" t="n">
        <f aca="false">+Q68*$D68</f>
        <v>0</v>
      </c>
      <c r="AE68" s="24" t="n">
        <f aca="false">+R68*$D68</f>
        <v>0</v>
      </c>
      <c r="AG68" s="27" t="n">
        <f aca="false">+U68*'CSF Rates'!C$12</f>
        <v>946567.5</v>
      </c>
      <c r="AH68" s="27" t="n">
        <f aca="false">+V68*'CSF Rates'!D$12</f>
        <v>963305</v>
      </c>
      <c r="AI68" s="27" t="n">
        <f aca="false">+W68*'CSF Rates'!E$12</f>
        <v>983380</v>
      </c>
      <c r="AJ68" s="27" t="n">
        <f aca="false">+X68*'CSF Rates'!F$12</f>
        <v>1003455</v>
      </c>
      <c r="AK68" s="27" t="n">
        <f aca="false">+Y68*'CSF Rates'!G$12</f>
        <v>1026477.5</v>
      </c>
      <c r="AL68" s="27" t="n">
        <f aca="false">+Z68*'CSF Rates'!H$12</f>
        <v>1044670</v>
      </c>
      <c r="AM68" s="27" t="n">
        <f aca="false">+AA68*'CSF Rates'!I$12</f>
        <v>1065810</v>
      </c>
      <c r="AN68" s="27" t="n">
        <f aca="false">+AB68*'CSF Rates'!J$12</f>
        <v>175821.616438356</v>
      </c>
      <c r="AO68" s="27" t="n">
        <f aca="false">+AC68*'CSF Rates'!K$12</f>
        <v>0</v>
      </c>
      <c r="AP68" s="27" t="n">
        <f aca="false">+AD68*'CSF Rates'!L$12</f>
        <v>0</v>
      </c>
      <c r="AQ68" s="27" t="n">
        <f aca="false">+AE68*'CSF Rates'!M$12</f>
        <v>0</v>
      </c>
    </row>
    <row r="69" customFormat="false" ht="12.75" hidden="false" customHeight="false" outlineLevel="0" collapsed="false">
      <c r="A69" s="6" t="s">
        <v>13</v>
      </c>
      <c r="B69" s="22" t="s">
        <v>79</v>
      </c>
      <c r="C69" s="0" t="n">
        <v>27566</v>
      </c>
      <c r="D69" s="0" t="n">
        <v>20000</v>
      </c>
      <c r="E69" s="2" t="s">
        <v>60</v>
      </c>
      <c r="F69" s="34" t="n">
        <v>37316</v>
      </c>
      <c r="G69" s="35" t="n">
        <v>39172</v>
      </c>
      <c r="H69" s="24" t="n">
        <v>0</v>
      </c>
      <c r="I69" s="24" t="n">
        <v>0</v>
      </c>
      <c r="J69" s="24" t="n">
        <f aca="false">"1/1/03"-"3/01/02"</f>
        <v>306</v>
      </c>
      <c r="K69" s="24" t="n">
        <v>365</v>
      </c>
      <c r="L69" s="24" t="n">
        <v>366</v>
      </c>
      <c r="M69" s="24" t="n">
        <v>365</v>
      </c>
      <c r="N69" s="24" t="n">
        <v>365</v>
      </c>
      <c r="O69" s="24" t="n">
        <f aca="false">+G69-"12/31/06"</f>
        <v>90</v>
      </c>
      <c r="P69" s="24" t="n">
        <v>0</v>
      </c>
      <c r="Q69" s="24" t="n">
        <v>0</v>
      </c>
      <c r="R69" s="24" t="n">
        <v>0</v>
      </c>
      <c r="S69" s="24" t="n">
        <f aca="false">+G69-F69</f>
        <v>1856</v>
      </c>
      <c r="T69" s="24" t="n">
        <f aca="false">SUM(H69:R69)</f>
        <v>1857</v>
      </c>
      <c r="U69" s="24" t="n">
        <f aca="false">+H69*$D69</f>
        <v>0</v>
      </c>
      <c r="V69" s="24" t="n">
        <f aca="false">+I69*$D69</f>
        <v>0</v>
      </c>
      <c r="W69" s="24" t="n">
        <f aca="false">+J69*$D69</f>
        <v>6120000</v>
      </c>
      <c r="X69" s="24" t="n">
        <f aca="false">+K69*$D69</f>
        <v>7300000</v>
      </c>
      <c r="Y69" s="24" t="n">
        <f aca="false">+L69*$D69</f>
        <v>7320000</v>
      </c>
      <c r="Z69" s="24" t="n">
        <f aca="false">+M69*$D69</f>
        <v>7300000</v>
      </c>
      <c r="AA69" s="24" t="n">
        <f aca="false">+N69*$D69</f>
        <v>7300000</v>
      </c>
      <c r="AB69" s="24" t="n">
        <f aca="false">+O69*$D69</f>
        <v>1800000</v>
      </c>
      <c r="AC69" s="24" t="n">
        <f aca="false">+P69*$D69</f>
        <v>0</v>
      </c>
      <c r="AD69" s="24" t="n">
        <f aca="false">+Q69*$D69</f>
        <v>0</v>
      </c>
      <c r="AE69" s="24" t="n">
        <f aca="false">+R69*$D69</f>
        <v>0</v>
      </c>
      <c r="AG69" s="27" t="n">
        <f aca="false">+U69*'CSF Rates'!C$12</f>
        <v>0</v>
      </c>
      <c r="AH69" s="27" t="n">
        <f aca="false">+V69*'CSF Rates'!D$12</f>
        <v>0</v>
      </c>
      <c r="AI69" s="27" t="n">
        <f aca="false">+W69*'CSF Rates'!E$12</f>
        <v>659538.147945205</v>
      </c>
      <c r="AJ69" s="27" t="n">
        <f aca="false">+X69*'CSF Rates'!F$12</f>
        <v>802764</v>
      </c>
      <c r="AK69" s="27" t="n">
        <f aca="false">+Y69*'CSF Rates'!G$12</f>
        <v>821182</v>
      </c>
      <c r="AL69" s="27" t="n">
        <f aca="false">+Z69*'CSF Rates'!H$12</f>
        <v>835736</v>
      </c>
      <c r="AM69" s="27" t="n">
        <f aca="false">+AA69*'CSF Rates'!I$12</f>
        <v>852648</v>
      </c>
      <c r="AN69" s="27" t="n">
        <f aca="false">+AB69*'CSF Rates'!J$12</f>
        <v>214561.97260274</v>
      </c>
      <c r="AO69" s="27" t="n">
        <f aca="false">+AC69*'CSF Rates'!K$12</f>
        <v>0</v>
      </c>
      <c r="AP69" s="27" t="n">
        <f aca="false">+AD69*'CSF Rates'!L$12</f>
        <v>0</v>
      </c>
      <c r="AQ69" s="27" t="n">
        <f aca="false">+AE69*'CSF Rates'!M$12</f>
        <v>0</v>
      </c>
    </row>
    <row r="70" customFormat="false" ht="12.75" hidden="false" customHeight="false" outlineLevel="0" collapsed="false">
      <c r="A70" s="6" t="s">
        <v>13</v>
      </c>
      <c r="B70" s="22" t="s">
        <v>80</v>
      </c>
      <c r="C70" s="0" t="n">
        <v>20835</v>
      </c>
      <c r="D70" s="0" t="n">
        <v>20000</v>
      </c>
      <c r="E70" s="2" t="s">
        <v>60</v>
      </c>
      <c r="F70" s="34" t="n">
        <v>36525</v>
      </c>
      <c r="G70" s="35" t="n">
        <v>37315</v>
      </c>
      <c r="H70" s="24" t="n">
        <v>366</v>
      </c>
      <c r="I70" s="24" t="n">
        <v>365</v>
      </c>
      <c r="J70" s="24" t="n">
        <f aca="false">+G70-"12/31/2001"</f>
        <v>59</v>
      </c>
      <c r="K70" s="24" t="n">
        <v>0</v>
      </c>
      <c r="L70" s="24" t="n">
        <v>0</v>
      </c>
      <c r="M70" s="24" t="n">
        <v>0</v>
      </c>
      <c r="N70" s="24" t="n">
        <v>0</v>
      </c>
      <c r="O70" s="24" t="n">
        <v>0</v>
      </c>
      <c r="P70" s="24" t="n">
        <v>0</v>
      </c>
      <c r="Q70" s="24" t="n">
        <v>0</v>
      </c>
      <c r="R70" s="24" t="n">
        <v>0</v>
      </c>
      <c r="S70" s="24" t="n">
        <f aca="false">+G70-F70</f>
        <v>790</v>
      </c>
      <c r="T70" s="24" t="n">
        <f aca="false">SUM(H70:R70)</f>
        <v>790</v>
      </c>
      <c r="U70" s="24" t="n">
        <f aca="false">+H70*$D70</f>
        <v>7320000</v>
      </c>
      <c r="V70" s="24" t="n">
        <f aca="false">+I70*$D70</f>
        <v>7300000</v>
      </c>
      <c r="W70" s="24" t="n">
        <f aca="false">+J70*$D70</f>
        <v>1180000</v>
      </c>
      <c r="X70" s="24" t="n">
        <f aca="false">+K70*$D70</f>
        <v>0</v>
      </c>
      <c r="Y70" s="24" t="n">
        <f aca="false">+L70*$D70</f>
        <v>0</v>
      </c>
      <c r="Z70" s="24" t="n">
        <f aca="false">+M70*$D70</f>
        <v>0</v>
      </c>
      <c r="AA70" s="24" t="n">
        <f aca="false">+N70*$D70</f>
        <v>0</v>
      </c>
      <c r="AB70" s="24" t="n">
        <f aca="false">+O70*$D70</f>
        <v>0</v>
      </c>
      <c r="AC70" s="24" t="n">
        <f aca="false">+P70*$D70</f>
        <v>0</v>
      </c>
      <c r="AD70" s="24" t="n">
        <f aca="false">+Q70*$D70</f>
        <v>0</v>
      </c>
      <c r="AE70" s="24" t="n">
        <f aca="false">+R70*$D70</f>
        <v>0</v>
      </c>
      <c r="AG70" s="27" t="n">
        <f aca="false">+U70*'CSF Rates'!C$12</f>
        <v>757254</v>
      </c>
      <c r="AH70" s="27" t="n">
        <f aca="false">+V70*'CSF Rates'!D$12</f>
        <v>770644</v>
      </c>
      <c r="AI70" s="27" t="n">
        <f aca="false">+W70*'CSF Rates'!E$12</f>
        <v>127165.852054795</v>
      </c>
      <c r="AJ70" s="27" t="n">
        <f aca="false">+X70*'CSF Rates'!F$12</f>
        <v>0</v>
      </c>
      <c r="AK70" s="27" t="n">
        <f aca="false">+Y70*'CSF Rates'!G$12</f>
        <v>0</v>
      </c>
      <c r="AL70" s="27" t="n">
        <f aca="false">+Z70*'CSF Rates'!H$12</f>
        <v>0</v>
      </c>
      <c r="AM70" s="27" t="n">
        <f aca="false">+AA70*'CSF Rates'!I$12</f>
        <v>0</v>
      </c>
      <c r="AN70" s="27" t="n">
        <f aca="false">+AB70*'CSF Rates'!J$12</f>
        <v>0</v>
      </c>
      <c r="AO70" s="27" t="n">
        <f aca="false">+AC70*'CSF Rates'!K$12</f>
        <v>0</v>
      </c>
      <c r="AP70" s="27" t="n">
        <f aca="false">+AD70*'CSF Rates'!L$12</f>
        <v>0</v>
      </c>
      <c r="AQ70" s="27" t="n">
        <f aca="false">+AE70*'CSF Rates'!M$12</f>
        <v>0</v>
      </c>
    </row>
    <row r="71" customFormat="false" ht="12.75" hidden="false" customHeight="false" outlineLevel="0" collapsed="false">
      <c r="A71" s="6" t="s">
        <v>13</v>
      </c>
      <c r="B71" s="22" t="s">
        <v>81</v>
      </c>
      <c r="C71" s="0" t="n">
        <v>26371</v>
      </c>
      <c r="D71" s="0" t="n">
        <v>25000</v>
      </c>
      <c r="E71" s="2" t="s">
        <v>60</v>
      </c>
      <c r="F71" s="34" t="n">
        <v>36525</v>
      </c>
      <c r="G71" s="35" t="n">
        <v>39172</v>
      </c>
      <c r="H71" s="24" t="n">
        <v>366</v>
      </c>
      <c r="I71" s="24" t="n">
        <v>365</v>
      </c>
      <c r="J71" s="24" t="n">
        <v>365</v>
      </c>
      <c r="K71" s="24" t="n">
        <v>365</v>
      </c>
      <c r="L71" s="24" t="n">
        <v>366</v>
      </c>
      <c r="M71" s="24" t="n">
        <v>365</v>
      </c>
      <c r="N71" s="24" t="n">
        <v>365</v>
      </c>
      <c r="O71" s="24" t="n">
        <f aca="false">+G71-"12/31/06"</f>
        <v>90</v>
      </c>
      <c r="P71" s="24" t="n">
        <v>0</v>
      </c>
      <c r="Q71" s="24" t="n">
        <v>0</v>
      </c>
      <c r="R71" s="24" t="n">
        <v>0</v>
      </c>
      <c r="S71" s="24" t="n">
        <f aca="false">+G71-F71</f>
        <v>2647</v>
      </c>
      <c r="T71" s="24" t="n">
        <f aca="false">SUM(H71:R71)</f>
        <v>2647</v>
      </c>
      <c r="U71" s="24" t="n">
        <f aca="false">+H71*$D71</f>
        <v>9150000</v>
      </c>
      <c r="V71" s="24" t="n">
        <f aca="false">+I71*$D71</f>
        <v>9125000</v>
      </c>
      <c r="W71" s="24" t="n">
        <f aca="false">+J71*$D71</f>
        <v>9125000</v>
      </c>
      <c r="X71" s="24" t="n">
        <f aca="false">+K71*$D71</f>
        <v>9125000</v>
      </c>
      <c r="Y71" s="24" t="n">
        <f aca="false">+L71*$D71</f>
        <v>9150000</v>
      </c>
      <c r="Z71" s="24" t="n">
        <f aca="false">+M71*$D71</f>
        <v>9125000</v>
      </c>
      <c r="AA71" s="24" t="n">
        <f aca="false">+N71*$D71</f>
        <v>9125000</v>
      </c>
      <c r="AB71" s="24" t="n">
        <f aca="false">+O71*$D71</f>
        <v>2250000</v>
      </c>
      <c r="AC71" s="24" t="n">
        <f aca="false">+P71*$D71</f>
        <v>0</v>
      </c>
      <c r="AD71" s="24" t="n">
        <f aca="false">+Q71*$D71</f>
        <v>0</v>
      </c>
      <c r="AE71" s="24" t="n">
        <f aca="false">+R71*$D71</f>
        <v>0</v>
      </c>
      <c r="AG71" s="27" t="n">
        <f aca="false">+U71*'CSF Rates'!C$12</f>
        <v>946567.5</v>
      </c>
      <c r="AH71" s="27" t="n">
        <f aca="false">+V71*'CSF Rates'!D$12</f>
        <v>963305</v>
      </c>
      <c r="AI71" s="27" t="n">
        <f aca="false">+W71*'CSF Rates'!E$12</f>
        <v>983380</v>
      </c>
      <c r="AJ71" s="27" t="n">
        <f aca="false">+X71*'CSF Rates'!F$12</f>
        <v>1003455</v>
      </c>
      <c r="AK71" s="27" t="n">
        <f aca="false">+Y71*'CSF Rates'!G$12</f>
        <v>1026477.5</v>
      </c>
      <c r="AL71" s="27" t="n">
        <f aca="false">+Z71*'CSF Rates'!H$12</f>
        <v>1044670</v>
      </c>
      <c r="AM71" s="27" t="n">
        <f aca="false">+AA71*'CSF Rates'!I$12</f>
        <v>1065810</v>
      </c>
      <c r="AN71" s="27" t="n">
        <f aca="false">+AB71*'CSF Rates'!J$12</f>
        <v>268202.465753425</v>
      </c>
      <c r="AO71" s="27" t="n">
        <f aca="false">+AC71*'CSF Rates'!K$12</f>
        <v>0</v>
      </c>
      <c r="AP71" s="27" t="n">
        <f aca="false">+AD71*'CSF Rates'!L$12</f>
        <v>0</v>
      </c>
      <c r="AQ71" s="27" t="n">
        <f aca="false">+AE71*'CSF Rates'!M$12</f>
        <v>0</v>
      </c>
    </row>
    <row r="72" customFormat="false" ht="12.75" hidden="false" customHeight="false" outlineLevel="0" collapsed="false">
      <c r="A72" s="6" t="s">
        <v>13</v>
      </c>
      <c r="B72" s="22" t="s">
        <v>82</v>
      </c>
      <c r="C72" s="0" t="n">
        <v>27453</v>
      </c>
      <c r="D72" s="0" t="n">
        <v>35000</v>
      </c>
      <c r="E72" s="2" t="s">
        <v>60</v>
      </c>
      <c r="F72" s="34" t="n">
        <v>37621</v>
      </c>
      <c r="G72" s="35" t="n">
        <v>37986</v>
      </c>
      <c r="H72" s="24" t="n">
        <v>0</v>
      </c>
      <c r="I72" s="24" t="n">
        <v>0</v>
      </c>
      <c r="J72" s="24" t="n">
        <v>0</v>
      </c>
      <c r="K72" s="24" t="n">
        <v>365</v>
      </c>
      <c r="L72" s="24" t="n">
        <v>0</v>
      </c>
      <c r="M72" s="24" t="n">
        <v>0</v>
      </c>
      <c r="N72" s="24" t="n">
        <v>0</v>
      </c>
      <c r="O72" s="24" t="n">
        <v>0</v>
      </c>
      <c r="P72" s="24" t="n">
        <v>0</v>
      </c>
      <c r="Q72" s="24" t="n">
        <v>0</v>
      </c>
      <c r="R72" s="24" t="n">
        <v>0</v>
      </c>
      <c r="S72" s="24" t="n">
        <f aca="false">+G72-F72</f>
        <v>365</v>
      </c>
      <c r="T72" s="24" t="n">
        <f aca="false">SUM(H72:R72)</f>
        <v>365</v>
      </c>
      <c r="U72" s="24" t="n">
        <f aca="false">+H72*$D72</f>
        <v>0</v>
      </c>
      <c r="V72" s="24" t="n">
        <f aca="false">+I72*$D72</f>
        <v>0</v>
      </c>
      <c r="W72" s="24" t="n">
        <f aca="false">+J72*$D72</f>
        <v>0</v>
      </c>
      <c r="X72" s="24" t="n">
        <f aca="false">+K72*$D72</f>
        <v>12775000</v>
      </c>
      <c r="Y72" s="24" t="n">
        <f aca="false">+L72*$D72</f>
        <v>0</v>
      </c>
      <c r="Z72" s="24" t="n">
        <f aca="false">+M72*$D72</f>
        <v>0</v>
      </c>
      <c r="AA72" s="24" t="n">
        <f aca="false">+N72*$D72</f>
        <v>0</v>
      </c>
      <c r="AB72" s="24" t="n">
        <f aca="false">+O72*$D72</f>
        <v>0</v>
      </c>
      <c r="AC72" s="24" t="n">
        <f aca="false">+P72*$D72</f>
        <v>0</v>
      </c>
      <c r="AD72" s="24" t="n">
        <f aca="false">+Q72*$D72</f>
        <v>0</v>
      </c>
      <c r="AE72" s="24" t="n">
        <f aca="false">+R72*$D72</f>
        <v>0</v>
      </c>
      <c r="AG72" s="27" t="n">
        <f aca="false">+U72*'CSF Rates'!C$12</f>
        <v>0</v>
      </c>
      <c r="AH72" s="27" t="n">
        <f aca="false">+V72*'CSF Rates'!D$12</f>
        <v>0</v>
      </c>
      <c r="AI72" s="27" t="n">
        <f aca="false">+W72*'CSF Rates'!E$12</f>
        <v>0</v>
      </c>
      <c r="AJ72" s="27" t="n">
        <f aca="false">+X72*'CSF Rates'!F$12</f>
        <v>1404837</v>
      </c>
      <c r="AK72" s="27" t="n">
        <f aca="false">+Y72*'CSF Rates'!G$12</f>
        <v>0</v>
      </c>
      <c r="AL72" s="27" t="n">
        <f aca="false">+Z72*'CSF Rates'!H$12</f>
        <v>0</v>
      </c>
      <c r="AM72" s="27" t="n">
        <f aca="false">+AA72*'CSF Rates'!I$12</f>
        <v>0</v>
      </c>
      <c r="AN72" s="27" t="n">
        <f aca="false">+AB72*'CSF Rates'!J$12</f>
        <v>0</v>
      </c>
      <c r="AO72" s="27" t="n">
        <f aca="false">+AC72*'CSF Rates'!K$12</f>
        <v>0</v>
      </c>
      <c r="AP72" s="27" t="n">
        <f aca="false">+AD72*'CSF Rates'!L$12</f>
        <v>0</v>
      </c>
      <c r="AQ72" s="27" t="n">
        <f aca="false">+AE72*'CSF Rates'!M$12</f>
        <v>0</v>
      </c>
    </row>
    <row r="73" customFormat="false" ht="12.75" hidden="false" customHeight="false" outlineLevel="0" collapsed="false">
      <c r="A73" s="6" t="s">
        <v>13</v>
      </c>
      <c r="B73" s="22" t="s">
        <v>82</v>
      </c>
      <c r="C73" s="0" t="n">
        <v>27456</v>
      </c>
      <c r="D73" s="0" t="n">
        <v>21500</v>
      </c>
      <c r="E73" s="2" t="s">
        <v>60</v>
      </c>
      <c r="F73" s="34" t="n">
        <v>37560</v>
      </c>
      <c r="G73" s="35" t="n">
        <v>37621</v>
      </c>
      <c r="H73" s="24" t="n">
        <v>0</v>
      </c>
      <c r="I73" s="24" t="n">
        <v>0</v>
      </c>
      <c r="J73" s="24" t="n">
        <f aca="false">+G73-"10/31/02"</f>
        <v>61</v>
      </c>
      <c r="K73" s="24" t="n">
        <v>0</v>
      </c>
      <c r="L73" s="24" t="n">
        <v>0</v>
      </c>
      <c r="M73" s="24" t="n">
        <v>0</v>
      </c>
      <c r="N73" s="24" t="n">
        <v>0</v>
      </c>
      <c r="O73" s="24" t="n">
        <v>0</v>
      </c>
      <c r="P73" s="24" t="n">
        <v>0</v>
      </c>
      <c r="Q73" s="24" t="n">
        <v>0</v>
      </c>
      <c r="R73" s="24" t="n">
        <v>0</v>
      </c>
      <c r="S73" s="24" t="n">
        <f aca="false">+G73-F73</f>
        <v>61</v>
      </c>
      <c r="T73" s="24" t="n">
        <f aca="false">SUM(H73:R73)</f>
        <v>61</v>
      </c>
      <c r="U73" s="24" t="n">
        <f aca="false">+H73*$D73</f>
        <v>0</v>
      </c>
      <c r="V73" s="24" t="n">
        <f aca="false">+I73*$D73</f>
        <v>0</v>
      </c>
      <c r="W73" s="24" t="n">
        <f aca="false">+J73*$D73</f>
        <v>1311500</v>
      </c>
      <c r="X73" s="24" t="n">
        <f aca="false">+K73*$D73</f>
        <v>0</v>
      </c>
      <c r="Y73" s="24" t="n">
        <f aca="false">+L73*$D73</f>
        <v>0</v>
      </c>
      <c r="Z73" s="24" t="n">
        <f aca="false">+M73*$D73</f>
        <v>0</v>
      </c>
      <c r="AA73" s="24" t="n">
        <f aca="false">+N73*$D73</f>
        <v>0</v>
      </c>
      <c r="AB73" s="24" t="n">
        <f aca="false">+O73*$D73</f>
        <v>0</v>
      </c>
      <c r="AC73" s="24" t="n">
        <f aca="false">+P73*$D73</f>
        <v>0</v>
      </c>
      <c r="AD73" s="24" t="n">
        <f aca="false">+Q73*$D73</f>
        <v>0</v>
      </c>
      <c r="AE73" s="24" t="n">
        <f aca="false">+R73*$D73</f>
        <v>0</v>
      </c>
      <c r="AG73" s="27" t="n">
        <f aca="false">+U73*'CSF Rates'!C$12</f>
        <v>0</v>
      </c>
      <c r="AH73" s="27" t="n">
        <f aca="false">+V73*'CSF Rates'!D$12</f>
        <v>0</v>
      </c>
      <c r="AI73" s="27" t="n">
        <f aca="false">+W73*'CSF Rates'!E$12</f>
        <v>141337.300821918</v>
      </c>
      <c r="AJ73" s="27" t="n">
        <f aca="false">+X73*'CSF Rates'!F$12</f>
        <v>0</v>
      </c>
      <c r="AK73" s="27" t="n">
        <f aca="false">+Y73*'CSF Rates'!G$12</f>
        <v>0</v>
      </c>
      <c r="AL73" s="27" t="n">
        <f aca="false">+Z73*'CSF Rates'!H$12</f>
        <v>0</v>
      </c>
      <c r="AM73" s="27" t="n">
        <f aca="false">+AA73*'CSF Rates'!I$12</f>
        <v>0</v>
      </c>
      <c r="AN73" s="27" t="n">
        <f aca="false">+AB73*'CSF Rates'!J$12</f>
        <v>0</v>
      </c>
      <c r="AO73" s="27" t="n">
        <f aca="false">+AC73*'CSF Rates'!K$12</f>
        <v>0</v>
      </c>
      <c r="AP73" s="27" t="n">
        <f aca="false">+AD73*'CSF Rates'!L$12</f>
        <v>0</v>
      </c>
      <c r="AQ73" s="27" t="n">
        <f aca="false">+AE73*'CSF Rates'!M$12</f>
        <v>0</v>
      </c>
    </row>
    <row r="74" customFormat="false" ht="13.5" hidden="false" customHeight="false" outlineLevel="0" collapsed="false">
      <c r="A74" s="6" t="s">
        <v>13</v>
      </c>
      <c r="B74" s="51" t="s">
        <v>82</v>
      </c>
      <c r="C74" s="12" t="n">
        <v>27457</v>
      </c>
      <c r="D74" s="12" t="n">
        <v>13500</v>
      </c>
      <c r="E74" s="14" t="s">
        <v>60</v>
      </c>
      <c r="F74" s="52" t="n">
        <v>37225</v>
      </c>
      <c r="G74" s="53" t="n">
        <v>37256</v>
      </c>
      <c r="H74" s="49" t="n">
        <v>0</v>
      </c>
      <c r="I74" s="49" t="n">
        <v>31</v>
      </c>
      <c r="J74" s="49" t="n">
        <v>0</v>
      </c>
      <c r="K74" s="49" t="n">
        <v>0</v>
      </c>
      <c r="L74" s="49" t="n">
        <v>0</v>
      </c>
      <c r="M74" s="49" t="n">
        <v>0</v>
      </c>
      <c r="N74" s="49" t="n">
        <v>0</v>
      </c>
      <c r="O74" s="49" t="n">
        <v>0</v>
      </c>
      <c r="P74" s="49" t="n">
        <v>0</v>
      </c>
      <c r="Q74" s="49" t="n">
        <v>0</v>
      </c>
      <c r="R74" s="49" t="n">
        <v>0</v>
      </c>
      <c r="S74" s="24" t="n">
        <f aca="false">+G74-F74</f>
        <v>31</v>
      </c>
      <c r="T74" s="24" t="n">
        <f aca="false">SUM(H74:R74)</f>
        <v>31</v>
      </c>
      <c r="U74" s="49" t="n">
        <f aca="false">+H74*$D74</f>
        <v>0</v>
      </c>
      <c r="V74" s="49" t="n">
        <f aca="false">+I74*$D74</f>
        <v>418500</v>
      </c>
      <c r="W74" s="49" t="n">
        <f aca="false">+J74*$D74</f>
        <v>0</v>
      </c>
      <c r="X74" s="49" t="n">
        <f aca="false">+K74*$D74</f>
        <v>0</v>
      </c>
      <c r="Y74" s="49" t="n">
        <f aca="false">+L74*$D74</f>
        <v>0</v>
      </c>
      <c r="Z74" s="49" t="n">
        <f aca="false">+M74*$D74</f>
        <v>0</v>
      </c>
      <c r="AA74" s="49" t="n">
        <f aca="false">+N74*$D74</f>
        <v>0</v>
      </c>
      <c r="AB74" s="49" t="n">
        <f aca="false">+O74*$D74</f>
        <v>0</v>
      </c>
      <c r="AC74" s="49" t="n">
        <f aca="false">+P74*$D74</f>
        <v>0</v>
      </c>
      <c r="AD74" s="49" t="n">
        <f aca="false">+Q74*$D74</f>
        <v>0</v>
      </c>
      <c r="AE74" s="49" t="n">
        <f aca="false">+R74*$D74</f>
        <v>0</v>
      </c>
      <c r="AG74" s="54" t="n">
        <f aca="false">+U74*'CSF Rates'!C$12</f>
        <v>0</v>
      </c>
      <c r="AH74" s="54" t="n">
        <f aca="false">+V74*'CSF Rates'!D$12</f>
        <v>44180.0704109589</v>
      </c>
      <c r="AI74" s="54" t="n">
        <f aca="false">+W74*'CSF Rates'!E$12</f>
        <v>0</v>
      </c>
      <c r="AJ74" s="54" t="n">
        <f aca="false">+X74*'CSF Rates'!F$12</f>
        <v>0</v>
      </c>
      <c r="AK74" s="54" t="n">
        <f aca="false">+Y74*'CSF Rates'!G$12</f>
        <v>0</v>
      </c>
      <c r="AL74" s="54" t="n">
        <f aca="false">+Z74*'CSF Rates'!H$12</f>
        <v>0</v>
      </c>
      <c r="AM74" s="54" t="n">
        <f aca="false">+AA74*'CSF Rates'!I$12</f>
        <v>0</v>
      </c>
      <c r="AN74" s="54" t="n">
        <f aca="false">+AB74*'CSF Rates'!J$12</f>
        <v>0</v>
      </c>
      <c r="AO74" s="54" t="n">
        <f aca="false">+AC74*'CSF Rates'!K$12</f>
        <v>0</v>
      </c>
      <c r="AP74" s="54" t="n">
        <f aca="false">+AD74*'CSF Rates'!L$12</f>
        <v>0</v>
      </c>
      <c r="AQ74" s="54" t="n">
        <f aca="false">+AE74*'CSF Rates'!M$12</f>
        <v>0</v>
      </c>
    </row>
    <row r="75" customFormat="false" ht="12.75" hidden="false" customHeight="false" outlineLevel="0" collapsed="false">
      <c r="A75" s="6" t="s">
        <v>13</v>
      </c>
      <c r="B75" s="22" t="s">
        <v>38</v>
      </c>
      <c r="C75" s="0" t="n">
        <v>24654</v>
      </c>
      <c r="D75" s="0" t="n">
        <v>8000</v>
      </c>
      <c r="E75" s="2" t="s">
        <v>60</v>
      </c>
      <c r="F75" s="34" t="n">
        <v>36525</v>
      </c>
      <c r="G75" s="35" t="n">
        <v>37256</v>
      </c>
      <c r="H75" s="24" t="n">
        <v>366</v>
      </c>
      <c r="I75" s="24" t="n">
        <f aca="false">G75-"12/31/00"</f>
        <v>365</v>
      </c>
      <c r="J75" s="24" t="n">
        <v>0</v>
      </c>
      <c r="K75" s="24" t="n">
        <v>0</v>
      </c>
      <c r="L75" s="24" t="n">
        <v>0</v>
      </c>
      <c r="M75" s="24" t="n">
        <v>0</v>
      </c>
      <c r="N75" s="24" t="n">
        <v>0</v>
      </c>
      <c r="O75" s="24" t="n">
        <v>0</v>
      </c>
      <c r="P75" s="24" t="n">
        <v>0</v>
      </c>
      <c r="Q75" s="24" t="n">
        <v>0</v>
      </c>
      <c r="R75" s="24" t="n">
        <v>0</v>
      </c>
      <c r="S75" s="24" t="n">
        <f aca="false">+G75-F75</f>
        <v>731</v>
      </c>
      <c r="T75" s="24" t="n">
        <f aca="false">SUM(H75:R75)</f>
        <v>731</v>
      </c>
      <c r="U75" s="24" t="n">
        <f aca="false">+H75*$D75</f>
        <v>2928000</v>
      </c>
      <c r="V75" s="24" t="n">
        <f aca="false">+I75*$D75</f>
        <v>2920000</v>
      </c>
      <c r="W75" s="24" t="n">
        <f aca="false">+J75*$D75</f>
        <v>0</v>
      </c>
      <c r="X75" s="24" t="n">
        <f aca="false">+K75*$D75</f>
        <v>0</v>
      </c>
      <c r="Y75" s="24" t="n">
        <f aca="false">+L75*$D75</f>
        <v>0</v>
      </c>
      <c r="Z75" s="24" t="n">
        <f aca="false">+M75*$D75</f>
        <v>0</v>
      </c>
      <c r="AA75" s="24" t="n">
        <f aca="false">+N75*$D75</f>
        <v>0</v>
      </c>
      <c r="AB75" s="24" t="n">
        <f aca="false">+O75*$D75</f>
        <v>0</v>
      </c>
      <c r="AC75" s="24" t="n">
        <f aca="false">+P75*$D75</f>
        <v>0</v>
      </c>
      <c r="AD75" s="24" t="n">
        <f aca="false">+Q75*$D75</f>
        <v>0</v>
      </c>
      <c r="AE75" s="24" t="n">
        <f aca="false">+R75*$D75</f>
        <v>0</v>
      </c>
      <c r="AG75" s="27" t="n">
        <f aca="false">+U75*'CSF Rates'!C$12</f>
        <v>302901.6</v>
      </c>
      <c r="AH75" s="27" t="n">
        <f aca="false">+V75*'CSF Rates'!D$12</f>
        <v>308257.6</v>
      </c>
      <c r="AI75" s="27" t="n">
        <f aca="false">+W75*'CSF Rates'!E$12</f>
        <v>0</v>
      </c>
      <c r="AJ75" s="27" t="n">
        <f aca="false">+X75*'CSF Rates'!F$12</f>
        <v>0</v>
      </c>
      <c r="AK75" s="27" t="n">
        <f aca="false">+Y75*'CSF Rates'!G$12</f>
        <v>0</v>
      </c>
      <c r="AL75" s="27" t="n">
        <f aca="false">+Z75*'CSF Rates'!H$12</f>
        <v>0</v>
      </c>
      <c r="AM75" s="27" t="n">
        <f aca="false">+AA75*'CSF Rates'!I$12</f>
        <v>0</v>
      </c>
      <c r="AN75" s="27" t="n">
        <f aca="false">+AB75*'CSF Rates'!J$12</f>
        <v>0</v>
      </c>
      <c r="AO75" s="27" t="n">
        <f aca="false">+AC75*'CSF Rates'!K$12</f>
        <v>0</v>
      </c>
      <c r="AP75" s="27" t="n">
        <f aca="false">+AD75*'CSF Rates'!L$12</f>
        <v>0</v>
      </c>
      <c r="AQ75" s="27" t="n">
        <f aca="false">+AE75*'CSF Rates'!M$12</f>
        <v>0</v>
      </c>
    </row>
    <row r="76" customFormat="false" ht="12.75" hidden="false" customHeight="false" outlineLevel="0" collapsed="false">
      <c r="A76" s="6" t="s">
        <v>13</v>
      </c>
      <c r="B76" s="22" t="s">
        <v>83</v>
      </c>
      <c r="C76" s="0" t="n">
        <v>24568</v>
      </c>
      <c r="D76" s="0" t="n">
        <v>32000</v>
      </c>
      <c r="E76" s="2" t="s">
        <v>60</v>
      </c>
      <c r="F76" s="34" t="n">
        <v>36525</v>
      </c>
      <c r="G76" s="35" t="n">
        <v>37256</v>
      </c>
      <c r="H76" s="24" t="n">
        <v>366</v>
      </c>
      <c r="I76" s="24" t="n">
        <f aca="false">G76-"12/31/00"</f>
        <v>365</v>
      </c>
      <c r="J76" s="24" t="n">
        <v>0</v>
      </c>
      <c r="K76" s="24" t="n">
        <v>0</v>
      </c>
      <c r="L76" s="24" t="n">
        <v>0</v>
      </c>
      <c r="M76" s="24" t="n">
        <v>0</v>
      </c>
      <c r="N76" s="24" t="n">
        <v>0</v>
      </c>
      <c r="O76" s="24" t="n">
        <v>0</v>
      </c>
      <c r="P76" s="24" t="n">
        <v>0</v>
      </c>
      <c r="Q76" s="24" t="n">
        <v>0</v>
      </c>
      <c r="R76" s="24" t="n">
        <v>0</v>
      </c>
      <c r="S76" s="24" t="n">
        <f aca="false">+G76-F76</f>
        <v>731</v>
      </c>
      <c r="T76" s="24" t="n">
        <f aca="false">SUM(H76:R76)</f>
        <v>731</v>
      </c>
      <c r="U76" s="24" t="n">
        <f aca="false">+H76*$D76</f>
        <v>11712000</v>
      </c>
      <c r="V76" s="24" t="n">
        <f aca="false">+I76*$D76</f>
        <v>11680000</v>
      </c>
      <c r="W76" s="24" t="n">
        <f aca="false">+J76*$D76</f>
        <v>0</v>
      </c>
      <c r="X76" s="24" t="n">
        <f aca="false">+K76*$D76</f>
        <v>0</v>
      </c>
      <c r="Y76" s="24" t="n">
        <f aca="false">+L76*$D76</f>
        <v>0</v>
      </c>
      <c r="Z76" s="24" t="n">
        <f aca="false">+M76*$D76</f>
        <v>0</v>
      </c>
      <c r="AA76" s="24" t="n">
        <f aca="false">+N76*$D76</f>
        <v>0</v>
      </c>
      <c r="AB76" s="24" t="n">
        <f aca="false">+O76*$D76</f>
        <v>0</v>
      </c>
      <c r="AC76" s="24" t="n">
        <f aca="false">+P76*$D76</f>
        <v>0</v>
      </c>
      <c r="AD76" s="24" t="n">
        <f aca="false">+Q76*$D76</f>
        <v>0</v>
      </c>
      <c r="AE76" s="24" t="n">
        <f aca="false">+R76*$D76</f>
        <v>0</v>
      </c>
      <c r="AG76" s="27" t="n">
        <f aca="false">+U76*'CSF Rates'!C$12</f>
        <v>1211606.4</v>
      </c>
      <c r="AH76" s="27" t="n">
        <f aca="false">+V76*'CSF Rates'!D$12</f>
        <v>1233030.4</v>
      </c>
      <c r="AI76" s="27" t="n">
        <f aca="false">+W76*'CSF Rates'!E$12</f>
        <v>0</v>
      </c>
      <c r="AJ76" s="27" t="n">
        <f aca="false">+X76*'CSF Rates'!F$12</f>
        <v>0</v>
      </c>
      <c r="AK76" s="27" t="n">
        <f aca="false">+Y76*'CSF Rates'!G$12</f>
        <v>0</v>
      </c>
      <c r="AL76" s="27" t="n">
        <f aca="false">+Z76*'CSF Rates'!H$12</f>
        <v>0</v>
      </c>
      <c r="AM76" s="27" t="n">
        <f aca="false">+AA76*'CSF Rates'!I$12</f>
        <v>0</v>
      </c>
      <c r="AN76" s="27" t="n">
        <f aca="false">+AB76*'CSF Rates'!J$12</f>
        <v>0</v>
      </c>
      <c r="AO76" s="27" t="n">
        <f aca="false">+AC76*'CSF Rates'!K$12</f>
        <v>0</v>
      </c>
      <c r="AP76" s="27" t="n">
        <f aca="false">+AD76*'CSF Rates'!L$12</f>
        <v>0</v>
      </c>
      <c r="AQ76" s="27" t="n">
        <f aca="false">+AE76*'CSF Rates'!M$12</f>
        <v>0</v>
      </c>
    </row>
    <row r="77" customFormat="false" ht="12.75" hidden="false" customHeight="false" outlineLevel="0" collapsed="false">
      <c r="A77" s="6" t="s">
        <v>13</v>
      </c>
      <c r="B77" s="22" t="s">
        <v>84</v>
      </c>
      <c r="C77" s="0" t="n">
        <v>26125</v>
      </c>
      <c r="D77" s="0" t="n">
        <v>8600</v>
      </c>
      <c r="E77" s="2" t="s">
        <v>60</v>
      </c>
      <c r="F77" s="34" t="n">
        <v>36525</v>
      </c>
      <c r="G77" s="35" t="n">
        <v>37772</v>
      </c>
      <c r="H77" s="24" t="n">
        <v>366</v>
      </c>
      <c r="I77" s="24" t="n">
        <v>365</v>
      </c>
      <c r="J77" s="24" t="n">
        <v>365</v>
      </c>
      <c r="K77" s="24" t="n">
        <f aca="false">G77-"12/31/02"</f>
        <v>151</v>
      </c>
      <c r="L77" s="24" t="n">
        <v>0</v>
      </c>
      <c r="M77" s="24" t="n">
        <v>0</v>
      </c>
      <c r="N77" s="24" t="n">
        <v>0</v>
      </c>
      <c r="O77" s="24" t="n">
        <v>0</v>
      </c>
      <c r="P77" s="24" t="n">
        <v>0</v>
      </c>
      <c r="Q77" s="24" t="n">
        <v>0</v>
      </c>
      <c r="R77" s="24" t="n">
        <v>0</v>
      </c>
      <c r="S77" s="24" t="n">
        <f aca="false">+G77-F77</f>
        <v>1247</v>
      </c>
      <c r="T77" s="24" t="n">
        <f aca="false">SUM(H77:R77)</f>
        <v>1247</v>
      </c>
      <c r="U77" s="24" t="n">
        <f aca="false">+H77*$D77</f>
        <v>3147600</v>
      </c>
      <c r="V77" s="24" t="n">
        <f aca="false">+I77*$D77</f>
        <v>3139000</v>
      </c>
      <c r="W77" s="24" t="n">
        <f aca="false">+J77*$D77</f>
        <v>3139000</v>
      </c>
      <c r="X77" s="24" t="n">
        <f aca="false">+K77*$D77</f>
        <v>1298600</v>
      </c>
      <c r="Y77" s="24" t="n">
        <f aca="false">+L77*$D77</f>
        <v>0</v>
      </c>
      <c r="Z77" s="24" t="n">
        <f aca="false">+M77*$D77</f>
        <v>0</v>
      </c>
      <c r="AA77" s="24" t="n">
        <f aca="false">+N77*$D77</f>
        <v>0</v>
      </c>
      <c r="AB77" s="24" t="n">
        <f aca="false">+O77*$D77</f>
        <v>0</v>
      </c>
      <c r="AC77" s="24" t="n">
        <f aca="false">+P77*$D77</f>
        <v>0</v>
      </c>
      <c r="AD77" s="24" t="n">
        <f aca="false">+Q77*$D77</f>
        <v>0</v>
      </c>
      <c r="AE77" s="24" t="n">
        <f aca="false">+R77*$D77</f>
        <v>0</v>
      </c>
      <c r="AG77" s="27" t="n">
        <f aca="false">+U77*'CSF Rates'!C$12</f>
        <v>325619.22</v>
      </c>
      <c r="AH77" s="27" t="n">
        <f aca="false">+V77*'CSF Rates'!D$12</f>
        <v>331376.92</v>
      </c>
      <c r="AI77" s="27" t="n">
        <f aca="false">+W77*'CSF Rates'!E$12</f>
        <v>338282.72</v>
      </c>
      <c r="AJ77" s="27" t="n">
        <f aca="false">+X77*'CSF Rates'!F$12</f>
        <v>142804.017863014</v>
      </c>
      <c r="AK77" s="27" t="n">
        <f aca="false">+Y77*'CSF Rates'!G$12</f>
        <v>0</v>
      </c>
      <c r="AL77" s="27" t="n">
        <f aca="false">+Z77*'CSF Rates'!H$12</f>
        <v>0</v>
      </c>
      <c r="AM77" s="27" t="n">
        <f aca="false">+AA77*'CSF Rates'!I$12</f>
        <v>0</v>
      </c>
      <c r="AN77" s="27" t="n">
        <f aca="false">+AB77*'CSF Rates'!J$12</f>
        <v>0</v>
      </c>
      <c r="AO77" s="27" t="n">
        <f aca="false">+AC77*'CSF Rates'!K$12</f>
        <v>0</v>
      </c>
      <c r="AP77" s="27" t="n">
        <f aca="false">+AD77*'CSF Rates'!L$12</f>
        <v>0</v>
      </c>
      <c r="AQ77" s="27" t="n">
        <f aca="false">+AE77*'CSF Rates'!M$12</f>
        <v>0</v>
      </c>
    </row>
    <row r="78" customFormat="false" ht="12.75" hidden="false" customHeight="false" outlineLevel="0" collapsed="false">
      <c r="A78" s="6" t="s">
        <v>13</v>
      </c>
      <c r="B78" s="22" t="s">
        <v>85</v>
      </c>
      <c r="C78" s="0" t="n">
        <v>26884</v>
      </c>
      <c r="D78" s="0" t="n">
        <v>40000</v>
      </c>
      <c r="E78" s="2" t="s">
        <v>60</v>
      </c>
      <c r="F78" s="34" t="n">
        <v>36646</v>
      </c>
      <c r="G78" s="35" t="n">
        <v>38656</v>
      </c>
      <c r="H78" s="24" t="n">
        <f aca="false">"1/1/2001"-"5/1/2000"</f>
        <v>245</v>
      </c>
      <c r="I78" s="24" t="n">
        <v>365</v>
      </c>
      <c r="J78" s="24" t="n">
        <v>365</v>
      </c>
      <c r="K78" s="24" t="n">
        <v>365</v>
      </c>
      <c r="L78" s="24" t="n">
        <v>366</v>
      </c>
      <c r="M78" s="24" t="n">
        <f aca="false">+G78-"12/31/04"</f>
        <v>304</v>
      </c>
      <c r="N78" s="24" t="n">
        <v>0</v>
      </c>
      <c r="O78" s="24" t="n">
        <v>0</v>
      </c>
      <c r="P78" s="24" t="n">
        <v>0</v>
      </c>
      <c r="Q78" s="24" t="n">
        <v>0</v>
      </c>
      <c r="R78" s="24" t="n">
        <v>0</v>
      </c>
      <c r="S78" s="24" t="n">
        <f aca="false">+G78-F78</f>
        <v>2010</v>
      </c>
      <c r="T78" s="24" t="n">
        <f aca="false">SUM(H78:R78)</f>
        <v>2010</v>
      </c>
      <c r="U78" s="24" t="n">
        <f aca="false">+H78*$D78</f>
        <v>9800000</v>
      </c>
      <c r="V78" s="24" t="n">
        <f aca="false">+I78*$D78</f>
        <v>14600000</v>
      </c>
      <c r="W78" s="24" t="n">
        <f aca="false">+J78*$D78</f>
        <v>14600000</v>
      </c>
      <c r="X78" s="24" t="n">
        <f aca="false">+K78*$D78</f>
        <v>14600000</v>
      </c>
      <c r="Y78" s="24" t="n">
        <f aca="false">+L78*$D78</f>
        <v>14640000</v>
      </c>
      <c r="Z78" s="24" t="n">
        <f aca="false">+M78*$D78</f>
        <v>12160000</v>
      </c>
      <c r="AA78" s="24" t="n">
        <f aca="false">+N78*$D78</f>
        <v>0</v>
      </c>
      <c r="AB78" s="24" t="n">
        <f aca="false">+O78*$D78</f>
        <v>0</v>
      </c>
      <c r="AC78" s="24" t="n">
        <f aca="false">+P78*$D78</f>
        <v>0</v>
      </c>
      <c r="AD78" s="24" t="n">
        <f aca="false">+Q78*$D78</f>
        <v>0</v>
      </c>
      <c r="AE78" s="24" t="n">
        <f aca="false">+R78*$D78</f>
        <v>0</v>
      </c>
      <c r="AG78" s="27" t="n">
        <f aca="false">+U78*'CSF Rates'!C$12</f>
        <v>1013810</v>
      </c>
      <c r="AH78" s="27" t="n">
        <f aca="false">+V78*'CSF Rates'!D$12</f>
        <v>1541288</v>
      </c>
      <c r="AI78" s="27" t="n">
        <f aca="false">+W78*'CSF Rates'!E$12</f>
        <v>1573408</v>
      </c>
      <c r="AJ78" s="27" t="n">
        <f aca="false">+X78*'CSF Rates'!F$12</f>
        <v>1605528</v>
      </c>
      <c r="AK78" s="27" t="n">
        <f aca="false">+Y78*'CSF Rates'!G$12</f>
        <v>1642364</v>
      </c>
      <c r="AL78" s="27" t="n">
        <f aca="false">+Z78*'CSF Rates'!H$12</f>
        <v>1392130.10410959</v>
      </c>
      <c r="AM78" s="27" t="n">
        <f aca="false">+AA78*'CSF Rates'!I$12</f>
        <v>0</v>
      </c>
      <c r="AN78" s="27" t="n">
        <f aca="false">+AB78*'CSF Rates'!J$12</f>
        <v>0</v>
      </c>
      <c r="AO78" s="27" t="n">
        <f aca="false">+AC78*'CSF Rates'!K$12</f>
        <v>0</v>
      </c>
      <c r="AP78" s="27" t="n">
        <f aca="false">+AD78*'CSF Rates'!L$12</f>
        <v>0</v>
      </c>
      <c r="AQ78" s="27" t="n">
        <f aca="false">+AE78*'CSF Rates'!M$12</f>
        <v>0</v>
      </c>
    </row>
    <row r="79" customFormat="false" ht="12.75" hidden="false" customHeight="false" outlineLevel="0" collapsed="false">
      <c r="A79" s="6" t="s">
        <v>13</v>
      </c>
      <c r="B79" s="22" t="s">
        <v>86</v>
      </c>
      <c r="C79" s="0" t="n">
        <v>26677</v>
      </c>
      <c r="D79" s="0" t="n">
        <v>25000</v>
      </c>
      <c r="E79" s="2" t="s">
        <v>60</v>
      </c>
      <c r="F79" s="34" t="n">
        <v>36525</v>
      </c>
      <c r="G79" s="35" t="n">
        <v>39172</v>
      </c>
      <c r="H79" s="24" t="n">
        <v>366</v>
      </c>
      <c r="I79" s="24" t="n">
        <v>365</v>
      </c>
      <c r="J79" s="24" t="n">
        <v>365</v>
      </c>
      <c r="K79" s="24" t="n">
        <v>365</v>
      </c>
      <c r="L79" s="24" t="n">
        <v>366</v>
      </c>
      <c r="M79" s="24" t="n">
        <v>365</v>
      </c>
      <c r="N79" s="24" t="n">
        <v>365</v>
      </c>
      <c r="O79" s="24" t="n">
        <f aca="false">+G79-"12/31/06"</f>
        <v>90</v>
      </c>
      <c r="P79" s="24" t="n">
        <v>0</v>
      </c>
      <c r="Q79" s="24" t="n">
        <v>0</v>
      </c>
      <c r="R79" s="24" t="n">
        <v>0</v>
      </c>
      <c r="S79" s="24" t="n">
        <f aca="false">+G79-F79</f>
        <v>2647</v>
      </c>
      <c r="T79" s="24" t="n">
        <f aca="false">SUM(H79:R79)</f>
        <v>2647</v>
      </c>
      <c r="U79" s="24" t="n">
        <f aca="false">+H79*$D79</f>
        <v>9150000</v>
      </c>
      <c r="V79" s="24" t="n">
        <f aca="false">+I79*$D79</f>
        <v>9125000</v>
      </c>
      <c r="W79" s="24" t="n">
        <f aca="false">+J79*$D79</f>
        <v>9125000</v>
      </c>
      <c r="X79" s="24" t="n">
        <f aca="false">+K79*$D79</f>
        <v>9125000</v>
      </c>
      <c r="Y79" s="24" t="n">
        <f aca="false">+L79*$D79</f>
        <v>9150000</v>
      </c>
      <c r="Z79" s="24" t="n">
        <f aca="false">+M79*$D79</f>
        <v>9125000</v>
      </c>
      <c r="AA79" s="24" t="n">
        <f aca="false">+N79*$D79</f>
        <v>9125000</v>
      </c>
      <c r="AB79" s="24" t="n">
        <f aca="false">+O79*$D79</f>
        <v>2250000</v>
      </c>
      <c r="AC79" s="24" t="n">
        <f aca="false">+P79*$D79</f>
        <v>0</v>
      </c>
      <c r="AD79" s="24" t="n">
        <f aca="false">+Q79*$D79</f>
        <v>0</v>
      </c>
      <c r="AE79" s="24" t="n">
        <f aca="false">+R79*$D79</f>
        <v>0</v>
      </c>
      <c r="AG79" s="27" t="n">
        <f aca="false">+U79*'CSF Rates'!C$12</f>
        <v>946567.5</v>
      </c>
      <c r="AH79" s="27" t="n">
        <f aca="false">+V79*'CSF Rates'!D$12</f>
        <v>963305</v>
      </c>
      <c r="AI79" s="27" t="n">
        <f aca="false">+W79*'CSF Rates'!E$12</f>
        <v>983380</v>
      </c>
      <c r="AJ79" s="27" t="n">
        <f aca="false">+X79*'CSF Rates'!F$12</f>
        <v>1003455</v>
      </c>
      <c r="AK79" s="27" t="n">
        <f aca="false">+Y79*'CSF Rates'!G$12</f>
        <v>1026477.5</v>
      </c>
      <c r="AL79" s="27" t="n">
        <f aca="false">+Z79*'CSF Rates'!H$12</f>
        <v>1044670</v>
      </c>
      <c r="AM79" s="27" t="n">
        <f aca="false">+AA79*'CSF Rates'!I$12</f>
        <v>1065810</v>
      </c>
      <c r="AN79" s="27" t="n">
        <f aca="false">+AB79*'CSF Rates'!J$12</f>
        <v>268202.465753425</v>
      </c>
      <c r="AO79" s="27" t="n">
        <f aca="false">+AC79*'CSF Rates'!K$12</f>
        <v>0</v>
      </c>
      <c r="AP79" s="27" t="n">
        <f aca="false">+AD79*'CSF Rates'!L$12</f>
        <v>0</v>
      </c>
      <c r="AQ79" s="27" t="n">
        <f aca="false">+AE79*'CSF Rates'!M$12</f>
        <v>0</v>
      </c>
    </row>
    <row r="80" customFormat="false" ht="12.75" hidden="false" customHeight="false" outlineLevel="0" collapsed="false">
      <c r="A80" s="6" t="s">
        <v>13</v>
      </c>
      <c r="B80" s="22" t="s">
        <v>87</v>
      </c>
      <c r="C80" s="0" t="n">
        <v>27534</v>
      </c>
      <c r="D80" s="0" t="n">
        <v>32500</v>
      </c>
      <c r="E80" s="2" t="s">
        <v>60</v>
      </c>
      <c r="F80" s="34" t="n">
        <v>37257</v>
      </c>
      <c r="G80" s="35" t="n">
        <v>37986</v>
      </c>
      <c r="H80" s="24" t="n">
        <v>0</v>
      </c>
      <c r="I80" s="24" t="n">
        <v>0</v>
      </c>
      <c r="J80" s="24" t="n">
        <v>304</v>
      </c>
      <c r="K80" s="24"/>
      <c r="L80" s="24" t="n">
        <v>0</v>
      </c>
      <c r="M80" s="24" t="n">
        <v>0</v>
      </c>
      <c r="N80" s="24" t="n">
        <v>0</v>
      </c>
      <c r="O80" s="24" t="n">
        <v>0</v>
      </c>
      <c r="P80" s="24" t="n">
        <v>0</v>
      </c>
      <c r="Q80" s="24" t="n">
        <v>0</v>
      </c>
      <c r="R80" s="24" t="n">
        <v>0</v>
      </c>
      <c r="S80" s="24" t="n">
        <f aca="false">+G80-F80</f>
        <v>729</v>
      </c>
      <c r="T80" s="24" t="n">
        <f aca="false">SUM(H80:R80)</f>
        <v>304</v>
      </c>
      <c r="U80" s="24" t="n">
        <f aca="false">+H80*$D80</f>
        <v>0</v>
      </c>
      <c r="V80" s="24" t="n">
        <f aca="false">+I80*$D80</f>
        <v>0</v>
      </c>
      <c r="W80" s="24" t="n">
        <f aca="false">+J80*$D80</f>
        <v>9880000</v>
      </c>
      <c r="X80" s="24" t="n">
        <f aca="false">+K80*$D80</f>
        <v>0</v>
      </c>
      <c r="Y80" s="24" t="n">
        <f aca="false">+L80*$D80</f>
        <v>0</v>
      </c>
      <c r="Z80" s="24" t="n">
        <f aca="false">+M80*$D80</f>
        <v>0</v>
      </c>
      <c r="AA80" s="24" t="n">
        <f aca="false">+N80*$D80</f>
        <v>0</v>
      </c>
      <c r="AB80" s="24" t="n">
        <f aca="false">+O80*$D80</f>
        <v>0</v>
      </c>
      <c r="AC80" s="24" t="n">
        <f aca="false">+P80*$D80</f>
        <v>0</v>
      </c>
      <c r="AD80" s="24" t="n">
        <f aca="false">+Q80*$D80</f>
        <v>0</v>
      </c>
      <c r="AE80" s="24" t="n">
        <f aca="false">+R80*$D80</f>
        <v>0</v>
      </c>
      <c r="AG80" s="27" t="n">
        <f aca="false">+U80*'CSF Rates'!C$12</f>
        <v>0</v>
      </c>
      <c r="AH80" s="27" t="n">
        <f aca="false">+V80*'CSF Rates'!D$12</f>
        <v>0</v>
      </c>
      <c r="AI80" s="27" t="n">
        <f aca="false">+W80*'CSF Rates'!E$12</f>
        <v>1064744.59178082</v>
      </c>
      <c r="AJ80" s="27" t="n">
        <f aca="false">+X80*'CSF Rates'!F$12</f>
        <v>0</v>
      </c>
      <c r="AK80" s="27" t="n">
        <f aca="false">+Y80*'CSF Rates'!G$12</f>
        <v>0</v>
      </c>
      <c r="AL80" s="27" t="n">
        <f aca="false">+Z80*'CSF Rates'!H$12</f>
        <v>0</v>
      </c>
      <c r="AM80" s="27" t="n">
        <f aca="false">+AA80*'CSF Rates'!I$12</f>
        <v>0</v>
      </c>
      <c r="AN80" s="27" t="n">
        <f aca="false">+AB80*'CSF Rates'!J$12</f>
        <v>0</v>
      </c>
      <c r="AO80" s="27" t="n">
        <f aca="false">+AC80*'CSF Rates'!K$12</f>
        <v>0</v>
      </c>
      <c r="AP80" s="27" t="n">
        <f aca="false">+AD80*'CSF Rates'!L$12</f>
        <v>0</v>
      </c>
      <c r="AQ80" s="27" t="n">
        <f aca="false">+AE80*'CSF Rates'!M$12</f>
        <v>0</v>
      </c>
    </row>
    <row r="81" customFormat="false" ht="12.75" hidden="false" customHeight="false" outlineLevel="0" collapsed="false">
      <c r="A81" s="6" t="s">
        <v>13</v>
      </c>
      <c r="B81" s="22" t="s">
        <v>87</v>
      </c>
      <c r="C81" s="0" t="n">
        <v>27534</v>
      </c>
      <c r="D81" s="0" t="n">
        <v>11000</v>
      </c>
      <c r="E81" s="2" t="s">
        <v>60</v>
      </c>
      <c r="F81" s="34" t="n">
        <v>37560</v>
      </c>
      <c r="G81" s="35" t="n">
        <v>37621</v>
      </c>
      <c r="H81" s="24"/>
      <c r="I81" s="24"/>
      <c r="J81" s="24" t="n">
        <v>61</v>
      </c>
      <c r="K81" s="24" t="n">
        <v>365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0</v>
      </c>
      <c r="Q81" s="24" t="n">
        <v>0</v>
      </c>
      <c r="R81" s="24" t="n">
        <v>0</v>
      </c>
      <c r="S81" s="24" t="n">
        <f aca="false">+G81-F81</f>
        <v>61</v>
      </c>
      <c r="T81" s="24" t="n">
        <f aca="false">SUM(H81:R81)</f>
        <v>426</v>
      </c>
      <c r="U81" s="24" t="n">
        <v>0</v>
      </c>
      <c r="V81" s="24" t="n">
        <v>0</v>
      </c>
      <c r="W81" s="24" t="n">
        <f aca="false">+J81*$D81</f>
        <v>671000</v>
      </c>
      <c r="X81" s="24" t="n">
        <f aca="false">+K81*$D81</f>
        <v>4015000</v>
      </c>
      <c r="Y81" s="24" t="n">
        <f aca="false">+L81*$D81</f>
        <v>0</v>
      </c>
      <c r="Z81" s="24" t="n">
        <f aca="false">+M81*$D81</f>
        <v>0</v>
      </c>
      <c r="AA81" s="24" t="n">
        <f aca="false">+N81*$D81</f>
        <v>0</v>
      </c>
      <c r="AB81" s="24" t="n">
        <f aca="false">+O81*$D81</f>
        <v>0</v>
      </c>
      <c r="AC81" s="24" t="n">
        <f aca="false">+P81*$D81</f>
        <v>0</v>
      </c>
      <c r="AD81" s="24" t="n">
        <f aca="false">+Q81*$D81</f>
        <v>0</v>
      </c>
      <c r="AE81" s="24" t="n">
        <f aca="false">+R81*$D81</f>
        <v>0</v>
      </c>
      <c r="AG81" s="27" t="n">
        <f aca="false">+U81*'CSF Rates'!C$12</f>
        <v>0</v>
      </c>
      <c r="AH81" s="27" t="n">
        <f aca="false">+V81*'CSF Rates'!D$12</f>
        <v>0</v>
      </c>
      <c r="AI81" s="27" t="n">
        <f aca="false">+W81*'CSF Rates'!E$12</f>
        <v>72312.1073972603</v>
      </c>
      <c r="AJ81" s="27" t="n">
        <f aca="false">+X81*'CSF Rates'!F$12</f>
        <v>441520.2</v>
      </c>
      <c r="AK81" s="27" t="n">
        <f aca="false">+Y81*'CSF Rates'!G$12</f>
        <v>0</v>
      </c>
      <c r="AL81" s="27" t="n">
        <f aca="false">+Z81*'CSF Rates'!H$12</f>
        <v>0</v>
      </c>
      <c r="AM81" s="27" t="n">
        <f aca="false">+AA81*'CSF Rates'!I$12</f>
        <v>0</v>
      </c>
      <c r="AN81" s="27" t="n">
        <f aca="false">+AB81*'CSF Rates'!J$12</f>
        <v>0</v>
      </c>
      <c r="AO81" s="27" t="n">
        <f aca="false">+AC81*'CSF Rates'!K$12</f>
        <v>0</v>
      </c>
      <c r="AP81" s="27" t="n">
        <f aca="false">+AD81*'CSF Rates'!L$12</f>
        <v>0</v>
      </c>
      <c r="AQ81" s="27" t="n">
        <f aca="false">+AE81*'CSF Rates'!M$12</f>
        <v>0</v>
      </c>
    </row>
    <row r="82" customFormat="false" ht="12.75" hidden="false" customHeight="false" outlineLevel="0" collapsed="false">
      <c r="A82" s="6" t="s">
        <v>13</v>
      </c>
      <c r="B82" s="22" t="s">
        <v>88</v>
      </c>
      <c r="C82" s="0" t="n">
        <v>21372</v>
      </c>
      <c r="D82" s="0" t="n">
        <v>1346</v>
      </c>
      <c r="E82" s="2" t="s">
        <v>60</v>
      </c>
      <c r="F82" s="34" t="n">
        <v>36525</v>
      </c>
      <c r="G82" s="35" t="n">
        <v>37986</v>
      </c>
      <c r="H82" s="24" t="n">
        <v>366</v>
      </c>
      <c r="I82" s="24" t="n">
        <v>365</v>
      </c>
      <c r="J82" s="24" t="n">
        <v>365</v>
      </c>
      <c r="K82" s="24" t="n">
        <f aca="false">+G82-"12/31/02"</f>
        <v>365</v>
      </c>
      <c r="L82" s="24" t="n">
        <v>0</v>
      </c>
      <c r="M82" s="24" t="n">
        <v>0</v>
      </c>
      <c r="N82" s="24" t="n">
        <v>0</v>
      </c>
      <c r="O82" s="24" t="n">
        <v>0</v>
      </c>
      <c r="P82" s="24" t="n">
        <v>0</v>
      </c>
      <c r="Q82" s="24" t="n">
        <v>0</v>
      </c>
      <c r="R82" s="24" t="n">
        <v>0</v>
      </c>
      <c r="S82" s="24" t="n">
        <f aca="false">+G82-F82</f>
        <v>1461</v>
      </c>
      <c r="T82" s="24" t="n">
        <f aca="false">SUM(H82:R82)</f>
        <v>1461</v>
      </c>
      <c r="U82" s="24" t="n">
        <f aca="false">+H82*$D82</f>
        <v>492636</v>
      </c>
      <c r="V82" s="24" t="n">
        <f aca="false">+I82*$D82</f>
        <v>491290</v>
      </c>
      <c r="W82" s="24" t="n">
        <f aca="false">+J82*$D82</f>
        <v>491290</v>
      </c>
      <c r="X82" s="24" t="n">
        <f aca="false">+K82*$D82</f>
        <v>491290</v>
      </c>
      <c r="Y82" s="24" t="n">
        <f aca="false">+L82*$D82</f>
        <v>0</v>
      </c>
      <c r="Z82" s="24" t="n">
        <f aca="false">+M82*$D82</f>
        <v>0</v>
      </c>
      <c r="AA82" s="24" t="n">
        <f aca="false">+N82*$D82</f>
        <v>0</v>
      </c>
      <c r="AB82" s="24" t="n">
        <f aca="false">+O82*$D82</f>
        <v>0</v>
      </c>
      <c r="AC82" s="24" t="n">
        <f aca="false">+P82*$D82</f>
        <v>0</v>
      </c>
      <c r="AD82" s="24" t="n">
        <f aca="false">+Q82*$D82</f>
        <v>0</v>
      </c>
      <c r="AE82" s="24" t="n">
        <f aca="false">+R82*$D82</f>
        <v>0</v>
      </c>
      <c r="AG82" s="27" t="n">
        <f aca="false">+U82*'CSF Rates'!C$12</f>
        <v>50963.1942</v>
      </c>
      <c r="AH82" s="27" t="n">
        <f aca="false">+V82*'CSF Rates'!D$12</f>
        <v>51864.3412</v>
      </c>
      <c r="AI82" s="27" t="n">
        <f aca="false">+W82*'CSF Rates'!E$12</f>
        <v>52945.1792</v>
      </c>
      <c r="AJ82" s="27" t="n">
        <f aca="false">+X82*'CSF Rates'!F$12</f>
        <v>54026.0172</v>
      </c>
      <c r="AK82" s="27" t="n">
        <f aca="false">+Y82*'CSF Rates'!G$12</f>
        <v>0</v>
      </c>
      <c r="AL82" s="27" t="n">
        <f aca="false">+Z82*'CSF Rates'!H$12</f>
        <v>0</v>
      </c>
      <c r="AM82" s="27" t="n">
        <f aca="false">+AA82*'CSF Rates'!I$12</f>
        <v>0</v>
      </c>
      <c r="AN82" s="27" t="n">
        <f aca="false">+AB82*'CSF Rates'!J$12</f>
        <v>0</v>
      </c>
      <c r="AO82" s="27" t="n">
        <f aca="false">+AC82*'CSF Rates'!K$12</f>
        <v>0</v>
      </c>
      <c r="AP82" s="27" t="n">
        <f aca="false">+AD82*'CSF Rates'!L$12</f>
        <v>0</v>
      </c>
      <c r="AQ82" s="27" t="n">
        <f aca="false">+AE82*'CSF Rates'!M$12</f>
        <v>0</v>
      </c>
    </row>
    <row r="83" customFormat="false" ht="12.75" hidden="false" customHeight="false" outlineLevel="0" collapsed="false">
      <c r="A83" s="6" t="s">
        <v>13</v>
      </c>
      <c r="B83" s="22" t="s">
        <v>54</v>
      </c>
      <c r="C83" s="0" t="n">
        <v>26813</v>
      </c>
      <c r="D83" s="0" t="n">
        <v>3500</v>
      </c>
      <c r="E83" s="2" t="s">
        <v>60</v>
      </c>
      <c r="F83" s="34" t="n">
        <v>36646</v>
      </c>
      <c r="G83" s="35" t="n">
        <v>39506</v>
      </c>
      <c r="H83" s="24" t="n">
        <v>245</v>
      </c>
      <c r="I83" s="24" t="n">
        <v>365</v>
      </c>
      <c r="J83" s="24" t="n">
        <v>365</v>
      </c>
      <c r="K83" s="24" t="n">
        <v>365</v>
      </c>
      <c r="L83" s="24" t="n">
        <v>366</v>
      </c>
      <c r="M83" s="24" t="n">
        <v>365</v>
      </c>
      <c r="N83" s="24" t="n">
        <v>365</v>
      </c>
      <c r="O83" s="24" t="n">
        <v>365</v>
      </c>
      <c r="P83" s="24" t="n">
        <f aca="false">+G83-"12/31/2007"</f>
        <v>59</v>
      </c>
      <c r="Q83" s="24" t="n">
        <v>0</v>
      </c>
      <c r="R83" s="24" t="n">
        <v>0</v>
      </c>
      <c r="S83" s="24" t="n">
        <f aca="false">+G83-F83</f>
        <v>2860</v>
      </c>
      <c r="T83" s="24" t="n">
        <f aca="false">SUM(H83:R83)</f>
        <v>2860</v>
      </c>
      <c r="U83" s="24" t="n">
        <f aca="false">+H83*$D83</f>
        <v>857500</v>
      </c>
      <c r="V83" s="24" t="n">
        <f aca="false">+I83*$D83</f>
        <v>1277500</v>
      </c>
      <c r="W83" s="24" t="n">
        <f aca="false">+J83*$D83</f>
        <v>1277500</v>
      </c>
      <c r="X83" s="24" t="n">
        <f aca="false">+K83*$D83</f>
        <v>1277500</v>
      </c>
      <c r="Y83" s="24" t="n">
        <f aca="false">+L83*$D83</f>
        <v>1281000</v>
      </c>
      <c r="Z83" s="24" t="n">
        <f aca="false">+M83*$D83</f>
        <v>1277500</v>
      </c>
      <c r="AA83" s="24" t="n">
        <f aca="false">+N83*$D83</f>
        <v>1277500</v>
      </c>
      <c r="AB83" s="24" t="n">
        <f aca="false">+O83*$D83</f>
        <v>1277500</v>
      </c>
      <c r="AC83" s="24" t="n">
        <f aca="false">+P83*$D83</f>
        <v>206500</v>
      </c>
      <c r="AD83" s="24" t="n">
        <f aca="false">+Q83*$D83</f>
        <v>0</v>
      </c>
      <c r="AE83" s="24" t="n">
        <f aca="false">+R83*$D83</f>
        <v>0</v>
      </c>
      <c r="AG83" s="27" t="n">
        <f aca="false">+U83*'CSF Rates'!C$12</f>
        <v>88708.375</v>
      </c>
      <c r="AH83" s="27" t="n">
        <f aca="false">+V83*'CSF Rates'!D$12</f>
        <v>134862.7</v>
      </c>
      <c r="AI83" s="27" t="n">
        <f aca="false">+W83*'CSF Rates'!E$12</f>
        <v>137673.2</v>
      </c>
      <c r="AJ83" s="27" t="n">
        <f aca="false">+X83*'CSF Rates'!F$12</f>
        <v>140483.7</v>
      </c>
      <c r="AK83" s="27" t="n">
        <f aca="false">+Y83*'CSF Rates'!G$12</f>
        <v>143706.85</v>
      </c>
      <c r="AL83" s="27" t="n">
        <f aca="false">+Z83*'CSF Rates'!H$12</f>
        <v>146253.8</v>
      </c>
      <c r="AM83" s="27" t="n">
        <f aca="false">+AA83*'CSF Rates'!I$12</f>
        <v>149213.4</v>
      </c>
      <c r="AN83" s="27" t="n">
        <f aca="false">+AB83*'CSF Rates'!J$12</f>
        <v>152279.4</v>
      </c>
      <c r="AO83" s="27" t="n">
        <f aca="false">+AC83*'CSF Rates'!K$12</f>
        <v>25027.8</v>
      </c>
      <c r="AP83" s="27" t="n">
        <f aca="false">+AD83*'CSF Rates'!L$12</f>
        <v>0</v>
      </c>
      <c r="AQ83" s="27" t="n">
        <f aca="false">+AE83*'CSF Rates'!M$12</f>
        <v>0</v>
      </c>
    </row>
    <row r="84" customFormat="false" ht="12.75" hidden="false" customHeight="false" outlineLevel="0" collapsed="false">
      <c r="A84" s="6" t="s">
        <v>13</v>
      </c>
      <c r="B84" s="22" t="s">
        <v>89</v>
      </c>
      <c r="C84" s="0" t="n">
        <v>21175</v>
      </c>
      <c r="D84" s="0" t="n">
        <v>150000</v>
      </c>
      <c r="E84" s="2" t="s">
        <v>60</v>
      </c>
      <c r="F84" s="34" t="n">
        <v>36525</v>
      </c>
      <c r="G84" s="55" t="n">
        <v>39172</v>
      </c>
      <c r="H84" s="24" t="n">
        <v>366</v>
      </c>
      <c r="I84" s="24" t="n">
        <v>365</v>
      </c>
      <c r="J84" s="24" t="n">
        <v>365</v>
      </c>
      <c r="K84" s="24" t="n">
        <v>365</v>
      </c>
      <c r="L84" s="24" t="n">
        <v>366</v>
      </c>
      <c r="M84" s="24" t="n">
        <v>365</v>
      </c>
      <c r="N84" s="24" t="n">
        <v>365</v>
      </c>
      <c r="O84" s="24" t="n">
        <f aca="false">G84-"12/31/06"</f>
        <v>90</v>
      </c>
      <c r="P84" s="24" t="n">
        <v>0</v>
      </c>
      <c r="Q84" s="24" t="n">
        <v>0</v>
      </c>
      <c r="R84" s="24" t="n">
        <v>0</v>
      </c>
      <c r="S84" s="24" t="n">
        <f aca="false">+G84-F84</f>
        <v>2647</v>
      </c>
      <c r="T84" s="24" t="n">
        <f aca="false">SUM(H84:R84)</f>
        <v>2647</v>
      </c>
      <c r="U84" s="24" t="n">
        <f aca="false">+H84*$D84</f>
        <v>54900000</v>
      </c>
      <c r="V84" s="24" t="n">
        <f aca="false">+I84*$D84</f>
        <v>54750000</v>
      </c>
      <c r="W84" s="24" t="n">
        <f aca="false">+J84*$D84</f>
        <v>54750000</v>
      </c>
      <c r="X84" s="24" t="n">
        <f aca="false">+K84*$D84</f>
        <v>54750000</v>
      </c>
      <c r="Y84" s="24" t="n">
        <f aca="false">+L84*$D84</f>
        <v>54900000</v>
      </c>
      <c r="Z84" s="24" t="n">
        <f aca="false">+M84*$D84</f>
        <v>54750000</v>
      </c>
      <c r="AA84" s="24" t="n">
        <f aca="false">+N84*$D84</f>
        <v>54750000</v>
      </c>
      <c r="AB84" s="24" t="n">
        <f aca="false">+O84*$D84</f>
        <v>13500000</v>
      </c>
      <c r="AC84" s="24" t="n">
        <f aca="false">+P84*$D84</f>
        <v>0</v>
      </c>
      <c r="AD84" s="24" t="n">
        <f aca="false">+Q84*$D84</f>
        <v>0</v>
      </c>
      <c r="AE84" s="24" t="n">
        <f aca="false">+R84*$D84</f>
        <v>0</v>
      </c>
      <c r="AG84" s="27" t="n">
        <f aca="false">+U84*'CSF Rates'!C$12</f>
        <v>5679405</v>
      </c>
      <c r="AH84" s="27" t="n">
        <f aca="false">+V84*'CSF Rates'!D$12</f>
        <v>5779830</v>
      </c>
      <c r="AI84" s="27" t="n">
        <f aca="false">+W84*'CSF Rates'!E$12</f>
        <v>5900280</v>
      </c>
      <c r="AJ84" s="27" t="n">
        <f aca="false">+X84*'CSF Rates'!F$12</f>
        <v>6020730</v>
      </c>
      <c r="AK84" s="27" t="n">
        <f aca="false">+Y84*'CSF Rates'!G$12</f>
        <v>6158865</v>
      </c>
      <c r="AL84" s="27" t="n">
        <f aca="false">+Z84*'CSF Rates'!H$12</f>
        <v>6268020</v>
      </c>
      <c r="AM84" s="27" t="n">
        <f aca="false">+AA84*'CSF Rates'!I$12</f>
        <v>6394860</v>
      </c>
      <c r="AN84" s="27" t="n">
        <f aca="false">+AB84*'CSF Rates'!J$12</f>
        <v>1609214.79452055</v>
      </c>
      <c r="AO84" s="27" t="n">
        <f aca="false">+AC84*'CSF Rates'!K$12</f>
        <v>0</v>
      </c>
      <c r="AP84" s="27" t="n">
        <f aca="false">+AD84*'CSF Rates'!L$12</f>
        <v>0</v>
      </c>
      <c r="AQ84" s="27" t="n">
        <f aca="false">+AE84*'CSF Rates'!M$12</f>
        <v>0</v>
      </c>
    </row>
    <row r="85" customFormat="false" ht="12.75" hidden="false" customHeight="false" outlineLevel="0" collapsed="false">
      <c r="A85" s="6" t="s">
        <v>13</v>
      </c>
      <c r="B85" s="22" t="s">
        <v>90</v>
      </c>
      <c r="C85" s="0" t="n">
        <v>21172</v>
      </c>
      <c r="D85" s="0" t="n">
        <v>0</v>
      </c>
      <c r="E85" s="2" t="s">
        <v>60</v>
      </c>
      <c r="F85" s="34" t="n">
        <v>36525</v>
      </c>
      <c r="G85" s="55" t="n">
        <v>39172</v>
      </c>
      <c r="H85" s="24" t="n">
        <v>366</v>
      </c>
      <c r="I85" s="24" t="n">
        <v>365</v>
      </c>
      <c r="J85" s="24" t="n">
        <v>365</v>
      </c>
      <c r="K85" s="24" t="n">
        <v>365</v>
      </c>
      <c r="L85" s="24" t="n">
        <v>366</v>
      </c>
      <c r="M85" s="24" t="n">
        <v>365</v>
      </c>
      <c r="N85" s="24" t="n">
        <v>365</v>
      </c>
      <c r="O85" s="24" t="n">
        <f aca="false">G85-"12/31/06"</f>
        <v>90</v>
      </c>
      <c r="P85" s="24" t="n">
        <v>0</v>
      </c>
      <c r="Q85" s="24" t="n">
        <v>0</v>
      </c>
      <c r="R85" s="24" t="n">
        <v>0</v>
      </c>
      <c r="S85" s="24" t="n">
        <f aca="false">+G85-F85</f>
        <v>2647</v>
      </c>
      <c r="T85" s="24" t="n">
        <f aca="false">SUM(H85:R85)</f>
        <v>2647</v>
      </c>
      <c r="U85" s="24" t="n">
        <f aca="false">+H85*$D85</f>
        <v>0</v>
      </c>
      <c r="V85" s="24" t="n">
        <f aca="false">+I85*$D85</f>
        <v>0</v>
      </c>
      <c r="W85" s="24" t="n">
        <f aca="false">+J85*$D85</f>
        <v>0</v>
      </c>
      <c r="X85" s="24" t="n">
        <f aca="false">+K85*$D85</f>
        <v>0</v>
      </c>
      <c r="Y85" s="24" t="n">
        <f aca="false">+L85*$D85</f>
        <v>0</v>
      </c>
      <c r="Z85" s="24" t="n">
        <f aca="false">+M85*$D85</f>
        <v>0</v>
      </c>
      <c r="AA85" s="24" t="n">
        <f aca="false">+N85*$D85</f>
        <v>0</v>
      </c>
      <c r="AB85" s="24" t="n">
        <f aca="false">+O85*$D85</f>
        <v>0</v>
      </c>
      <c r="AC85" s="24" t="n">
        <f aca="false">+P85*$D85</f>
        <v>0</v>
      </c>
      <c r="AD85" s="24" t="n">
        <f aca="false">+Q85*$D85</f>
        <v>0</v>
      </c>
      <c r="AE85" s="24" t="n">
        <f aca="false">+R85*$D85</f>
        <v>0</v>
      </c>
      <c r="AG85" s="27" t="n">
        <f aca="false">+U85*'CSF Rates'!C$12</f>
        <v>0</v>
      </c>
      <c r="AH85" s="27" t="n">
        <f aca="false">+V85*'CSF Rates'!D$12</f>
        <v>0</v>
      </c>
      <c r="AI85" s="27" t="n">
        <f aca="false">+W85*'CSF Rates'!E$12</f>
        <v>0</v>
      </c>
      <c r="AJ85" s="27" t="n">
        <f aca="false">+X85*'CSF Rates'!F$12</f>
        <v>0</v>
      </c>
      <c r="AK85" s="27" t="n">
        <f aca="false">+Y85*'CSF Rates'!G$12</f>
        <v>0</v>
      </c>
      <c r="AL85" s="27" t="n">
        <f aca="false">+Z85*'CSF Rates'!H$12</f>
        <v>0</v>
      </c>
      <c r="AM85" s="27" t="n">
        <f aca="false">+AA85*'CSF Rates'!I$12</f>
        <v>0</v>
      </c>
      <c r="AN85" s="27" t="n">
        <f aca="false">+AB85*'CSF Rates'!J$12</f>
        <v>0</v>
      </c>
      <c r="AO85" s="27" t="n">
        <f aca="false">+AC85*'CSF Rates'!K$12</f>
        <v>0</v>
      </c>
      <c r="AP85" s="27" t="n">
        <f aca="false">+AD85*'CSF Rates'!L$12</f>
        <v>0</v>
      </c>
      <c r="AQ85" s="27" t="n">
        <f aca="false">+AE85*'CSF Rates'!M$12</f>
        <v>0</v>
      </c>
    </row>
    <row r="86" customFormat="false" ht="12.75" hidden="false" customHeight="false" outlineLevel="0" collapsed="false">
      <c r="A86" s="6" t="s">
        <v>13</v>
      </c>
      <c r="B86" s="22" t="s">
        <v>91</v>
      </c>
      <c r="C86" s="0" t="n">
        <v>27454</v>
      </c>
      <c r="D86" s="0" t="n">
        <v>27500</v>
      </c>
      <c r="E86" s="2" t="s">
        <v>60</v>
      </c>
      <c r="F86" s="34" t="n">
        <v>37256</v>
      </c>
      <c r="G86" s="35" t="n">
        <v>37621</v>
      </c>
      <c r="H86" s="24" t="n">
        <v>0</v>
      </c>
      <c r="I86" s="24" t="n">
        <v>0</v>
      </c>
      <c r="J86" s="24" t="n">
        <v>365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f aca="false">+G86-F86</f>
        <v>365</v>
      </c>
      <c r="T86" s="24" t="n">
        <f aca="false">SUM(H86:R86)</f>
        <v>365</v>
      </c>
      <c r="U86" s="24" t="n">
        <f aca="false">+H86*$D86</f>
        <v>0</v>
      </c>
      <c r="V86" s="24" t="n">
        <v>0</v>
      </c>
      <c r="W86" s="24" t="n">
        <f aca="false">+J86*$D86</f>
        <v>10037500</v>
      </c>
      <c r="X86" s="24" t="n">
        <f aca="false">+K86*$D86</f>
        <v>0</v>
      </c>
      <c r="Y86" s="24" t="n">
        <f aca="false">+L86*$D86</f>
        <v>0</v>
      </c>
      <c r="Z86" s="24" t="n">
        <f aca="false">+M86*$D86</f>
        <v>0</v>
      </c>
      <c r="AA86" s="24" t="n">
        <f aca="false">+N86*$D86</f>
        <v>0</v>
      </c>
      <c r="AB86" s="24" t="n">
        <f aca="false">+O86*$D86</f>
        <v>0</v>
      </c>
      <c r="AC86" s="24" t="n">
        <f aca="false">+P86*$D86</f>
        <v>0</v>
      </c>
      <c r="AD86" s="24" t="n">
        <f aca="false">+Q86*$D86</f>
        <v>0</v>
      </c>
      <c r="AE86" s="24" t="n">
        <f aca="false">+R86*$D86</f>
        <v>0</v>
      </c>
      <c r="AG86" s="27" t="n">
        <f aca="false">+U86*'CSF Rates'!C$12</f>
        <v>0</v>
      </c>
      <c r="AH86" s="27" t="n">
        <f aca="false">+V86*'CSF Rates'!D$12</f>
        <v>0</v>
      </c>
      <c r="AI86" s="27" t="n">
        <f aca="false">+W86*'CSF Rates'!E$12</f>
        <v>1081718</v>
      </c>
      <c r="AJ86" s="27" t="n">
        <f aca="false">+X86*'CSF Rates'!F$12</f>
        <v>0</v>
      </c>
      <c r="AK86" s="27" t="n">
        <f aca="false">+Y86*'CSF Rates'!G$12</f>
        <v>0</v>
      </c>
      <c r="AL86" s="27" t="n">
        <f aca="false">+Z86*'CSF Rates'!H$12</f>
        <v>0</v>
      </c>
      <c r="AM86" s="27" t="n">
        <f aca="false">+AA86*'CSF Rates'!I$12</f>
        <v>0</v>
      </c>
      <c r="AN86" s="27" t="n">
        <f aca="false">+AB86*'CSF Rates'!J$12</f>
        <v>0</v>
      </c>
      <c r="AO86" s="27" t="n">
        <f aca="false">+AC86*'CSF Rates'!K$12</f>
        <v>0</v>
      </c>
      <c r="AP86" s="27" t="n">
        <f aca="false">+AD86*'CSF Rates'!L$12</f>
        <v>0</v>
      </c>
      <c r="AQ86" s="27" t="n">
        <f aca="false">+AE86*'CSF Rates'!M$12</f>
        <v>0</v>
      </c>
    </row>
    <row r="87" customFormat="false" ht="12.75" hidden="false" customHeight="false" outlineLevel="0" collapsed="false">
      <c r="A87" s="6" t="s">
        <v>13</v>
      </c>
      <c r="B87" s="22" t="s">
        <v>92</v>
      </c>
      <c r="C87" s="0" t="n">
        <v>21375</v>
      </c>
      <c r="D87" s="0" t="n">
        <v>20000</v>
      </c>
      <c r="E87" s="2" t="s">
        <v>60</v>
      </c>
      <c r="F87" s="34" t="n">
        <v>36525</v>
      </c>
      <c r="G87" s="35" t="n">
        <v>39141</v>
      </c>
      <c r="H87" s="24" t="n">
        <v>366</v>
      </c>
      <c r="I87" s="24" t="n">
        <v>365</v>
      </c>
      <c r="J87" s="24" t="n">
        <v>365</v>
      </c>
      <c r="K87" s="24" t="n">
        <v>365</v>
      </c>
      <c r="L87" s="24" t="n">
        <v>366</v>
      </c>
      <c r="M87" s="24" t="n">
        <v>365</v>
      </c>
      <c r="N87" s="24" t="n">
        <v>365</v>
      </c>
      <c r="O87" s="24" t="n">
        <f aca="false">G87-"12/31/06"</f>
        <v>59</v>
      </c>
      <c r="P87" s="24" t="n">
        <v>0</v>
      </c>
      <c r="Q87" s="24" t="n">
        <v>0</v>
      </c>
      <c r="R87" s="24" t="n">
        <v>0</v>
      </c>
      <c r="S87" s="24" t="n">
        <f aca="false">+G87-F87</f>
        <v>2616</v>
      </c>
      <c r="T87" s="24" t="n">
        <f aca="false">SUM(H87:R87)</f>
        <v>2616</v>
      </c>
      <c r="U87" s="24" t="n">
        <f aca="false">+H87*$D87</f>
        <v>7320000</v>
      </c>
      <c r="V87" s="24" t="n">
        <f aca="false">+I87*$D87</f>
        <v>7300000</v>
      </c>
      <c r="W87" s="24" t="n">
        <f aca="false">+J87*$D87</f>
        <v>7300000</v>
      </c>
      <c r="X87" s="24" t="n">
        <f aca="false">+K87*$D87</f>
        <v>7300000</v>
      </c>
      <c r="Y87" s="24" t="n">
        <f aca="false">+L87*$D87</f>
        <v>7320000</v>
      </c>
      <c r="Z87" s="24" t="n">
        <f aca="false">+M87*$D87</f>
        <v>7300000</v>
      </c>
      <c r="AA87" s="24" t="n">
        <f aca="false">+N87*$D87</f>
        <v>7300000</v>
      </c>
      <c r="AB87" s="24" t="n">
        <f aca="false">+O87*$D87</f>
        <v>1180000</v>
      </c>
      <c r="AC87" s="24" t="n">
        <f aca="false">+P87*$D87</f>
        <v>0</v>
      </c>
      <c r="AD87" s="24" t="n">
        <f aca="false">+Q87*$D87</f>
        <v>0</v>
      </c>
      <c r="AE87" s="24" t="n">
        <f aca="false">+R87*$D87</f>
        <v>0</v>
      </c>
      <c r="AG87" s="27" t="n">
        <f aca="false">+U87*'CSF Rates'!C$12</f>
        <v>757254</v>
      </c>
      <c r="AH87" s="27" t="n">
        <f aca="false">+V87*'CSF Rates'!D$12</f>
        <v>770644</v>
      </c>
      <c r="AI87" s="27" t="n">
        <f aca="false">+W87*'CSF Rates'!E$12</f>
        <v>786704</v>
      </c>
      <c r="AJ87" s="27" t="n">
        <f aca="false">+X87*'CSF Rates'!F$12</f>
        <v>802764</v>
      </c>
      <c r="AK87" s="27" t="n">
        <f aca="false">+Y87*'CSF Rates'!G$12</f>
        <v>821182</v>
      </c>
      <c r="AL87" s="27" t="n">
        <f aca="false">+Z87*'CSF Rates'!H$12</f>
        <v>835736</v>
      </c>
      <c r="AM87" s="27" t="n">
        <f aca="false">+AA87*'CSF Rates'!I$12</f>
        <v>852648</v>
      </c>
      <c r="AN87" s="27" t="n">
        <f aca="false">+AB87*'CSF Rates'!J$12</f>
        <v>140657.293150685</v>
      </c>
      <c r="AO87" s="27" t="n">
        <f aca="false">+AC87*'CSF Rates'!K$12</f>
        <v>0</v>
      </c>
      <c r="AP87" s="27" t="n">
        <f aca="false">+AD87*'CSF Rates'!L$12</f>
        <v>0</v>
      </c>
      <c r="AQ87" s="27" t="n">
        <f aca="false">+AE87*'CSF Rates'!M$12</f>
        <v>0</v>
      </c>
    </row>
    <row r="88" customFormat="false" ht="12.75" hidden="false" customHeight="false" outlineLevel="0" collapsed="false">
      <c r="A88" s="6" t="s">
        <v>13</v>
      </c>
      <c r="B88" s="22" t="s">
        <v>58</v>
      </c>
      <c r="C88" s="0" t="n">
        <v>26816</v>
      </c>
      <c r="D88" s="0" t="n">
        <v>21500</v>
      </c>
      <c r="E88" s="2" t="s">
        <v>60</v>
      </c>
      <c r="F88" s="34" t="n">
        <v>36646</v>
      </c>
      <c r="G88" s="35" t="n">
        <v>38472</v>
      </c>
      <c r="H88" s="24" t="n">
        <v>245</v>
      </c>
      <c r="I88" s="24" t="n">
        <v>365</v>
      </c>
      <c r="J88" s="24" t="n">
        <v>365</v>
      </c>
      <c r="K88" s="24" t="n">
        <v>365</v>
      </c>
      <c r="L88" s="24" t="n">
        <v>366</v>
      </c>
      <c r="M88" s="24" t="n">
        <f aca="false">G88-"12/31/2004"</f>
        <v>120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f aca="false">+G88-F88</f>
        <v>1826</v>
      </c>
      <c r="T88" s="24" t="n">
        <f aca="false">SUM(H88:R88)</f>
        <v>1826</v>
      </c>
      <c r="U88" s="24" t="n">
        <f aca="false">+H88*$D88</f>
        <v>5267500</v>
      </c>
      <c r="V88" s="24" t="n">
        <f aca="false">+I88*$D88</f>
        <v>7847500</v>
      </c>
      <c r="W88" s="24" t="n">
        <f aca="false">+J88*$D88</f>
        <v>7847500</v>
      </c>
      <c r="X88" s="24" t="n">
        <f aca="false">+K88*$D88</f>
        <v>7847500</v>
      </c>
      <c r="Y88" s="24" t="n">
        <f aca="false">+L88*$D88</f>
        <v>7869000</v>
      </c>
      <c r="Z88" s="24" t="n">
        <f aca="false">+M88*$D88</f>
        <v>2580000</v>
      </c>
      <c r="AA88" s="24" t="n">
        <f aca="false">+N88*$D88</f>
        <v>0</v>
      </c>
      <c r="AB88" s="24" t="n">
        <f aca="false">+O88*$D88</f>
        <v>0</v>
      </c>
      <c r="AC88" s="24" t="n">
        <f aca="false">+P88*$D88</f>
        <v>0</v>
      </c>
      <c r="AD88" s="24" t="n">
        <f aca="false">+Q88*$D88</f>
        <v>0</v>
      </c>
      <c r="AE88" s="24" t="n">
        <f aca="false">+R88*$D88</f>
        <v>0</v>
      </c>
      <c r="AG88" s="27" t="n">
        <f aca="false">+U88*'CSF Rates'!C$12</f>
        <v>544922.875</v>
      </c>
      <c r="AH88" s="27" t="n">
        <f aca="false">+V88*'CSF Rates'!D$12</f>
        <v>828442.3</v>
      </c>
      <c r="AI88" s="27" t="n">
        <f aca="false">+W88*'CSF Rates'!E$12</f>
        <v>845706.8</v>
      </c>
      <c r="AJ88" s="27" t="n">
        <f aca="false">+X88*'CSF Rates'!F$12</f>
        <v>862971.3</v>
      </c>
      <c r="AK88" s="27" t="n">
        <f aca="false">+Y88*'CSF Rates'!G$12</f>
        <v>882770.65</v>
      </c>
      <c r="AL88" s="27" t="n">
        <f aca="false">+Z88*'CSF Rates'!H$12</f>
        <v>295369.709589041</v>
      </c>
      <c r="AM88" s="27" t="n">
        <f aca="false">+AA88*'CSF Rates'!I$12</f>
        <v>0</v>
      </c>
      <c r="AN88" s="27" t="n">
        <f aca="false">+AB88*'CSF Rates'!J$12</f>
        <v>0</v>
      </c>
      <c r="AO88" s="27" t="n">
        <f aca="false">+AC88*'CSF Rates'!K$12</f>
        <v>0</v>
      </c>
      <c r="AP88" s="27" t="n">
        <f aca="false">+AD88*'CSF Rates'!L$12</f>
        <v>0</v>
      </c>
      <c r="AQ88" s="27" t="n">
        <f aca="false">+AE88*'CSF Rates'!M$12</f>
        <v>0</v>
      </c>
    </row>
    <row r="89" customFormat="false" ht="12.75" hidden="false" customHeight="false" outlineLevel="0" collapsed="false">
      <c r="A89" s="6" t="s">
        <v>13</v>
      </c>
      <c r="B89" s="22" t="s">
        <v>58</v>
      </c>
      <c r="C89" s="0" t="n">
        <v>27504</v>
      </c>
      <c r="D89" s="0" t="n">
        <v>35000</v>
      </c>
      <c r="E89" s="2" t="s">
        <v>60</v>
      </c>
      <c r="F89" s="34" t="n">
        <v>37986</v>
      </c>
      <c r="G89" s="35" t="n">
        <v>38717</v>
      </c>
      <c r="H89" s="24" t="n">
        <v>0</v>
      </c>
      <c r="I89" s="24" t="n">
        <v>0</v>
      </c>
      <c r="J89" s="24" t="n">
        <v>0</v>
      </c>
      <c r="K89" s="24" t="n">
        <v>0</v>
      </c>
      <c r="L89" s="24" t="n">
        <v>366</v>
      </c>
      <c r="M89" s="24" t="n">
        <v>365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f aca="false">+G89-F89</f>
        <v>731</v>
      </c>
      <c r="T89" s="24" t="n">
        <f aca="false">SUM(H89:R89)</f>
        <v>731</v>
      </c>
      <c r="U89" s="24" t="n">
        <f aca="false">+H89*$D89</f>
        <v>0</v>
      </c>
      <c r="V89" s="24" t="n">
        <f aca="false">+I89*$D89</f>
        <v>0</v>
      </c>
      <c r="W89" s="24" t="n">
        <f aca="false">+J89*$D89</f>
        <v>0</v>
      </c>
      <c r="X89" s="24" t="n">
        <f aca="false">+K89*$D89</f>
        <v>0</v>
      </c>
      <c r="Y89" s="24" t="n">
        <f aca="false">+L89*$D89</f>
        <v>12810000</v>
      </c>
      <c r="Z89" s="24" t="n">
        <f aca="false">+M89*$D89</f>
        <v>12775000</v>
      </c>
      <c r="AA89" s="24" t="n">
        <f aca="false">+N89*$D89</f>
        <v>0</v>
      </c>
      <c r="AB89" s="24" t="n">
        <f aca="false">+O89*$D89</f>
        <v>0</v>
      </c>
      <c r="AC89" s="24" t="n">
        <f aca="false">+P89*$D89</f>
        <v>0</v>
      </c>
      <c r="AD89" s="24" t="n">
        <f aca="false">+Q89*$D89</f>
        <v>0</v>
      </c>
      <c r="AE89" s="24" t="n">
        <f aca="false">+R89*$D89</f>
        <v>0</v>
      </c>
      <c r="AG89" s="27" t="n">
        <f aca="false">+U89*'CSF Rates'!C$12</f>
        <v>0</v>
      </c>
      <c r="AH89" s="27" t="n">
        <f aca="false">+V89*'CSF Rates'!D$12</f>
        <v>0</v>
      </c>
      <c r="AI89" s="27" t="n">
        <f aca="false">+W89*'CSF Rates'!E$12</f>
        <v>0</v>
      </c>
      <c r="AJ89" s="27" t="n">
        <f aca="false">+X89*'CSF Rates'!F$12</f>
        <v>0</v>
      </c>
      <c r="AK89" s="27" t="n">
        <f aca="false">+Y89*'CSF Rates'!G$12</f>
        <v>1437068.5</v>
      </c>
      <c r="AL89" s="27" t="n">
        <f aca="false">+Z89*'CSF Rates'!H$12</f>
        <v>1462538</v>
      </c>
      <c r="AM89" s="27" t="n">
        <f aca="false">+AA89*'CSF Rates'!I$12</f>
        <v>0</v>
      </c>
      <c r="AN89" s="27" t="n">
        <f aca="false">+AB89*'CSF Rates'!J$12</f>
        <v>0</v>
      </c>
      <c r="AO89" s="27" t="n">
        <f aca="false">+AC89*'CSF Rates'!K$12</f>
        <v>0</v>
      </c>
      <c r="AP89" s="27" t="n">
        <f aca="false">+AD89*'CSF Rates'!L$12</f>
        <v>0</v>
      </c>
      <c r="AQ89" s="27" t="n">
        <f aca="false">+AE89*'CSF Rates'!M$12</f>
        <v>0</v>
      </c>
    </row>
    <row r="90" customFormat="false" ht="12.75" hidden="false" customHeight="false" outlineLevel="0" collapsed="false">
      <c r="A90" s="6" t="s">
        <v>13</v>
      </c>
      <c r="B90" s="22" t="s">
        <v>93</v>
      </c>
      <c r="C90" s="0" t="n">
        <v>24670</v>
      </c>
      <c r="D90" s="0" t="n">
        <v>10000</v>
      </c>
      <c r="E90" s="2" t="s">
        <v>60</v>
      </c>
      <c r="F90" s="34" t="n">
        <v>36525</v>
      </c>
      <c r="G90" s="55" t="n">
        <v>39202</v>
      </c>
      <c r="H90" s="24" t="n">
        <v>366</v>
      </c>
      <c r="I90" s="24" t="n">
        <v>365</v>
      </c>
      <c r="J90" s="24" t="n">
        <v>365</v>
      </c>
      <c r="K90" s="24" t="n">
        <v>365</v>
      </c>
      <c r="L90" s="24" t="n">
        <v>366</v>
      </c>
      <c r="M90" s="24" t="n">
        <v>365</v>
      </c>
      <c r="N90" s="24" t="n">
        <v>365</v>
      </c>
      <c r="O90" s="24" t="n">
        <f aca="false">G90-"12/31/06"</f>
        <v>120</v>
      </c>
      <c r="P90" s="24" t="n">
        <v>0</v>
      </c>
      <c r="Q90" s="24" t="n">
        <v>0</v>
      </c>
      <c r="R90" s="24" t="n">
        <v>0</v>
      </c>
      <c r="S90" s="24" t="n">
        <f aca="false">+G90-F90</f>
        <v>2677</v>
      </c>
      <c r="T90" s="24" t="n">
        <f aca="false">SUM(H90:R90)</f>
        <v>2677</v>
      </c>
      <c r="U90" s="24" t="n">
        <f aca="false">+H90*$D90</f>
        <v>3660000</v>
      </c>
      <c r="V90" s="24" t="n">
        <f aca="false">+I90*$D90</f>
        <v>3650000</v>
      </c>
      <c r="W90" s="24" t="n">
        <f aca="false">+J90*$D90</f>
        <v>3650000</v>
      </c>
      <c r="X90" s="24" t="n">
        <f aca="false">+K90*$D90</f>
        <v>3650000</v>
      </c>
      <c r="Y90" s="24" t="n">
        <f aca="false">+L90*$D90</f>
        <v>3660000</v>
      </c>
      <c r="Z90" s="24" t="n">
        <f aca="false">+M90*$D90</f>
        <v>3650000</v>
      </c>
      <c r="AA90" s="24" t="n">
        <f aca="false">+N90*$D90</f>
        <v>3650000</v>
      </c>
      <c r="AB90" s="24" t="n">
        <f aca="false">+O90*$D90</f>
        <v>1200000</v>
      </c>
      <c r="AC90" s="24" t="n">
        <f aca="false">+P90*$D90</f>
        <v>0</v>
      </c>
      <c r="AD90" s="24" t="n">
        <f aca="false">+Q90*$D90</f>
        <v>0</v>
      </c>
      <c r="AE90" s="24" t="n">
        <f aca="false">+R90*$D90</f>
        <v>0</v>
      </c>
      <c r="AG90" s="27" t="n">
        <f aca="false">+U90*'CSF Rates'!C$12</f>
        <v>378627</v>
      </c>
      <c r="AH90" s="27" t="n">
        <f aca="false">+V90*'CSF Rates'!D$12</f>
        <v>385322</v>
      </c>
      <c r="AI90" s="27" t="n">
        <f aca="false">+W90*'CSF Rates'!E$12</f>
        <v>393352</v>
      </c>
      <c r="AJ90" s="27" t="n">
        <f aca="false">+X90*'CSF Rates'!F$12</f>
        <v>401382</v>
      </c>
      <c r="AK90" s="27" t="n">
        <f aca="false">+Y90*'CSF Rates'!G$12</f>
        <v>410591</v>
      </c>
      <c r="AL90" s="27" t="n">
        <f aca="false">+Z90*'CSF Rates'!H$12</f>
        <v>417868</v>
      </c>
      <c r="AM90" s="27" t="n">
        <f aca="false">+AA90*'CSF Rates'!I$12</f>
        <v>426324</v>
      </c>
      <c r="AN90" s="27" t="n">
        <f aca="false">+AB90*'CSF Rates'!J$12</f>
        <v>143041.315068493</v>
      </c>
      <c r="AO90" s="27" t="n">
        <f aca="false">+AC90*'CSF Rates'!K$12</f>
        <v>0</v>
      </c>
      <c r="AP90" s="27" t="n">
        <f aca="false">+AD90*'CSF Rates'!L$12</f>
        <v>0</v>
      </c>
      <c r="AQ90" s="27" t="n">
        <f aca="false">+AE90*'CSF Rates'!M$12</f>
        <v>0</v>
      </c>
    </row>
    <row r="91" customFormat="false" ht="12.75" hidden="false" customHeight="false" outlineLevel="0" collapsed="false">
      <c r="A91" s="6" t="s">
        <v>13</v>
      </c>
      <c r="B91" s="22" t="s">
        <v>94</v>
      </c>
      <c r="C91" s="0" t="n">
        <v>20715</v>
      </c>
      <c r="D91" s="0" t="n">
        <v>200000</v>
      </c>
      <c r="E91" s="2" t="s">
        <v>60</v>
      </c>
      <c r="F91" s="34" t="n">
        <v>36525</v>
      </c>
      <c r="G91" s="55" t="n">
        <v>38656</v>
      </c>
      <c r="H91" s="24" t="n">
        <v>366</v>
      </c>
      <c r="I91" s="24" t="n">
        <v>365</v>
      </c>
      <c r="J91" s="24" t="n">
        <v>365</v>
      </c>
      <c r="K91" s="24" t="n">
        <v>365</v>
      </c>
      <c r="L91" s="24" t="n">
        <v>366</v>
      </c>
      <c r="M91" s="24" t="n">
        <f aca="false">G91-"12/31/04"</f>
        <v>304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f aca="false">+G91-F91</f>
        <v>2131</v>
      </c>
      <c r="T91" s="24" t="n">
        <f aca="false">SUM(H91:R91)</f>
        <v>2131</v>
      </c>
      <c r="U91" s="24" t="n">
        <f aca="false">+H91*$D91</f>
        <v>73200000</v>
      </c>
      <c r="V91" s="24" t="n">
        <f aca="false">+I91*$D91</f>
        <v>73000000</v>
      </c>
      <c r="W91" s="24" t="n">
        <f aca="false">+J91*$D91</f>
        <v>73000000</v>
      </c>
      <c r="X91" s="24" t="n">
        <f aca="false">+K91*$D91</f>
        <v>73000000</v>
      </c>
      <c r="Y91" s="24" t="n">
        <f aca="false">+L91*$D91</f>
        <v>73200000</v>
      </c>
      <c r="Z91" s="24" t="n">
        <f aca="false">+M91*$D91</f>
        <v>60800000</v>
      </c>
      <c r="AA91" s="24" t="n">
        <f aca="false">+N91*$D91</f>
        <v>0</v>
      </c>
      <c r="AB91" s="24" t="n">
        <f aca="false">+O91*$D91</f>
        <v>0</v>
      </c>
      <c r="AC91" s="24" t="n">
        <f aca="false">+P91*$D91</f>
        <v>0</v>
      </c>
      <c r="AD91" s="24" t="n">
        <f aca="false">+Q91*$D91</f>
        <v>0</v>
      </c>
      <c r="AE91" s="24" t="n">
        <f aca="false">+R91*$D91</f>
        <v>0</v>
      </c>
      <c r="AG91" s="27" t="n">
        <f aca="false">+U91*'CSF Rates'!C$12</f>
        <v>7572540</v>
      </c>
      <c r="AH91" s="27" t="n">
        <f aca="false">+V91*'CSF Rates'!D$12</f>
        <v>7706440</v>
      </c>
      <c r="AI91" s="27" t="n">
        <f aca="false">+W91*'CSF Rates'!E$12</f>
        <v>7867040</v>
      </c>
      <c r="AJ91" s="27" t="n">
        <f aca="false">+X91*'CSF Rates'!F$12</f>
        <v>8027640</v>
      </c>
      <c r="AK91" s="27" t="n">
        <f aca="false">+Y91*'CSF Rates'!G$12</f>
        <v>8211820</v>
      </c>
      <c r="AL91" s="27" t="n">
        <f aca="false">+Z91*'CSF Rates'!H$12</f>
        <v>6960650.52054795</v>
      </c>
      <c r="AM91" s="27" t="n">
        <f aca="false">+AA91*'CSF Rates'!I$12</f>
        <v>0</v>
      </c>
      <c r="AN91" s="27" t="n">
        <f aca="false">+AB91*'CSF Rates'!J$12</f>
        <v>0</v>
      </c>
      <c r="AO91" s="27" t="n">
        <f aca="false">+AC91*'CSF Rates'!K$12</f>
        <v>0</v>
      </c>
      <c r="AP91" s="27" t="n">
        <f aca="false">+AD91*'CSF Rates'!L$12</f>
        <v>0</v>
      </c>
      <c r="AQ91" s="27" t="n">
        <f aca="false">+AE91*'CSF Rates'!M$12</f>
        <v>0</v>
      </c>
    </row>
    <row r="92" customFormat="false" ht="12.75" hidden="false" customHeight="false" outlineLevel="0" collapsed="false">
      <c r="A92" s="6" t="s">
        <v>13</v>
      </c>
      <c r="B92" s="22" t="s">
        <v>95</v>
      </c>
      <c r="C92" s="0" t="n">
        <v>26719</v>
      </c>
      <c r="D92" s="0" t="n">
        <v>25000</v>
      </c>
      <c r="E92" s="2" t="s">
        <v>60</v>
      </c>
      <c r="F92" s="34" t="n">
        <v>36646</v>
      </c>
      <c r="G92" s="35" t="n">
        <v>38472</v>
      </c>
      <c r="H92" s="24" t="n">
        <f aca="false">"1/1/2001"-"5/1/2000"</f>
        <v>245</v>
      </c>
      <c r="I92" s="24" t="n">
        <v>365</v>
      </c>
      <c r="J92" s="24" t="n">
        <v>365</v>
      </c>
      <c r="K92" s="24" t="n">
        <v>365</v>
      </c>
      <c r="L92" s="24" t="n">
        <v>366</v>
      </c>
      <c r="M92" s="24" t="n">
        <f aca="false">G92-"12/31/2004"</f>
        <v>120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f aca="false">+G92-F92</f>
        <v>1826</v>
      </c>
      <c r="T92" s="24" t="n">
        <f aca="false">SUM(H92:R92)</f>
        <v>1826</v>
      </c>
      <c r="U92" s="24" t="n">
        <f aca="false">+H92*$D92</f>
        <v>6125000</v>
      </c>
      <c r="V92" s="24" t="n">
        <f aca="false">+I92*$D92</f>
        <v>9125000</v>
      </c>
      <c r="W92" s="24" t="n">
        <f aca="false">+J92*$D92</f>
        <v>9125000</v>
      </c>
      <c r="X92" s="24" t="n">
        <f aca="false">+K92*$D92</f>
        <v>9125000</v>
      </c>
      <c r="Y92" s="24" t="n">
        <f aca="false">+L92*$D92</f>
        <v>9150000</v>
      </c>
      <c r="Z92" s="24" t="n">
        <f aca="false">+M92*$D92</f>
        <v>3000000</v>
      </c>
      <c r="AA92" s="24" t="n">
        <f aca="false">+N92*$D92</f>
        <v>0</v>
      </c>
      <c r="AB92" s="24" t="n">
        <f aca="false">+O92*$D92</f>
        <v>0</v>
      </c>
      <c r="AC92" s="24" t="n">
        <f aca="false">+P92*$D92</f>
        <v>0</v>
      </c>
      <c r="AD92" s="24" t="n">
        <f aca="false">+Q92*$D92</f>
        <v>0</v>
      </c>
      <c r="AE92" s="24" t="n">
        <f aca="false">+R92*$D92</f>
        <v>0</v>
      </c>
      <c r="AG92" s="27" t="n">
        <f aca="false">+U92*'CSF Rates'!C$12</f>
        <v>633631.25</v>
      </c>
      <c r="AH92" s="27" t="n">
        <f aca="false">+V92*'CSF Rates'!D$12</f>
        <v>963305</v>
      </c>
      <c r="AI92" s="27" t="n">
        <f aca="false">+W92*'CSF Rates'!E$12</f>
        <v>983380</v>
      </c>
      <c r="AJ92" s="27" t="n">
        <f aca="false">+X92*'CSF Rates'!F$12</f>
        <v>1003455</v>
      </c>
      <c r="AK92" s="27" t="n">
        <f aca="false">+Y92*'CSF Rates'!G$12</f>
        <v>1026477.5</v>
      </c>
      <c r="AL92" s="27" t="n">
        <f aca="false">+Z92*'CSF Rates'!H$12</f>
        <v>343453.150684932</v>
      </c>
      <c r="AM92" s="27" t="n">
        <f aca="false">+AA92*'CSF Rates'!I$12</f>
        <v>0</v>
      </c>
      <c r="AN92" s="27" t="n">
        <f aca="false">+AB92*'CSF Rates'!J$12</f>
        <v>0</v>
      </c>
      <c r="AO92" s="27" t="n">
        <f aca="false">+AC92*'CSF Rates'!K$12</f>
        <v>0</v>
      </c>
      <c r="AP92" s="27" t="n">
        <f aca="false">+AD92*'CSF Rates'!L$12</f>
        <v>0</v>
      </c>
      <c r="AQ92" s="27" t="n">
        <f aca="false">+AE92*'CSF Rates'!M$12</f>
        <v>0</v>
      </c>
    </row>
    <row r="93" customFormat="false" ht="12.75" hidden="false" customHeight="false" outlineLevel="0" collapsed="false">
      <c r="A93" s="6" t="s">
        <v>13</v>
      </c>
      <c r="B93" s="22" t="s">
        <v>96</v>
      </c>
      <c r="C93" s="0" t="n">
        <v>26960</v>
      </c>
      <c r="D93" s="0" t="n">
        <v>20000</v>
      </c>
      <c r="E93" s="2" t="s">
        <v>60</v>
      </c>
      <c r="F93" s="34" t="n">
        <v>36525</v>
      </c>
      <c r="G93" s="35" t="n">
        <v>38077</v>
      </c>
      <c r="H93" s="24" t="n">
        <v>366</v>
      </c>
      <c r="I93" s="24" t="n">
        <v>365</v>
      </c>
      <c r="J93" s="24" t="n">
        <v>365</v>
      </c>
      <c r="K93" s="24" t="n">
        <v>365</v>
      </c>
      <c r="L93" s="24" t="n">
        <f aca="false">+G93-"12/31/03"</f>
        <v>91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f aca="false">+G93-F93</f>
        <v>1552</v>
      </c>
      <c r="T93" s="24" t="n">
        <f aca="false">SUM(H93:R93)</f>
        <v>1552</v>
      </c>
      <c r="U93" s="24" t="n">
        <f aca="false">+H93*$D93</f>
        <v>7320000</v>
      </c>
      <c r="V93" s="24" t="n">
        <f aca="false">+I93*$D93</f>
        <v>7300000</v>
      </c>
      <c r="W93" s="24" t="n">
        <f aca="false">+J93*$D93</f>
        <v>7300000</v>
      </c>
      <c r="X93" s="24" t="n">
        <f aca="false">+K93*$D93</f>
        <v>7300000</v>
      </c>
      <c r="Y93" s="24" t="n">
        <f aca="false">+L93*$D93</f>
        <v>1820000</v>
      </c>
      <c r="Z93" s="24" t="n">
        <f aca="false">+M93*$D93</f>
        <v>0</v>
      </c>
      <c r="AA93" s="24" t="n">
        <f aca="false">+N93*$D93</f>
        <v>0</v>
      </c>
      <c r="AB93" s="24" t="n">
        <f aca="false">+O93*$D93</f>
        <v>0</v>
      </c>
      <c r="AC93" s="24" t="n">
        <f aca="false">+P93*$D93</f>
        <v>0</v>
      </c>
      <c r="AD93" s="24" t="n">
        <f aca="false">+Q93*$D93</f>
        <v>0</v>
      </c>
      <c r="AE93" s="24" t="n">
        <f aca="false">+R93*$D93</f>
        <v>0</v>
      </c>
      <c r="AG93" s="27" t="n">
        <f aca="false">+U93*'CSF Rates'!C$12</f>
        <v>757254</v>
      </c>
      <c r="AH93" s="27" t="n">
        <f aca="false">+V93*'CSF Rates'!D$12</f>
        <v>770644</v>
      </c>
      <c r="AI93" s="27" t="n">
        <f aca="false">+W93*'CSF Rates'!E$12</f>
        <v>786704</v>
      </c>
      <c r="AJ93" s="27" t="n">
        <f aca="false">+X93*'CSF Rates'!F$12</f>
        <v>802764</v>
      </c>
      <c r="AK93" s="27" t="n">
        <f aca="false">+Y93*'CSF Rates'!G$12</f>
        <v>204173.666666667</v>
      </c>
      <c r="AL93" s="27" t="n">
        <f aca="false">+Z93*'CSF Rates'!H$12</f>
        <v>0</v>
      </c>
      <c r="AM93" s="27" t="n">
        <f aca="false">+AA93*'CSF Rates'!I$12</f>
        <v>0</v>
      </c>
      <c r="AN93" s="27" t="n">
        <f aca="false">+AB93*'CSF Rates'!J$12</f>
        <v>0</v>
      </c>
      <c r="AO93" s="27" t="n">
        <f aca="false">+AC93*'CSF Rates'!K$12</f>
        <v>0</v>
      </c>
      <c r="AP93" s="27" t="n">
        <f aca="false">+AD93*'CSF Rates'!L$12</f>
        <v>0</v>
      </c>
      <c r="AQ93" s="27" t="n">
        <f aca="false">+AE93*'CSF Rates'!M$12</f>
        <v>0</v>
      </c>
    </row>
    <row r="94" customFormat="false" ht="12.75" hidden="false" customHeight="false" outlineLevel="0" collapsed="false">
      <c r="A94" s="6" t="s">
        <v>13</v>
      </c>
      <c r="B94" s="22" t="s">
        <v>47</v>
      </c>
      <c r="C94" s="0" t="n">
        <v>24809</v>
      </c>
      <c r="D94" s="0" t="n">
        <v>20000</v>
      </c>
      <c r="E94" s="2" t="s">
        <v>60</v>
      </c>
      <c r="F94" s="34" t="n">
        <v>36525</v>
      </c>
      <c r="G94" s="35" t="n">
        <v>37225</v>
      </c>
      <c r="H94" s="24" t="n">
        <v>366</v>
      </c>
      <c r="I94" s="24" t="n">
        <f aca="false">G94-"12/31/00"</f>
        <v>334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f aca="false">+G94-F94</f>
        <v>700</v>
      </c>
      <c r="T94" s="24" t="n">
        <f aca="false">SUM(H94:R94)</f>
        <v>700</v>
      </c>
      <c r="U94" s="24" t="n">
        <f aca="false">+H94*$D94</f>
        <v>7320000</v>
      </c>
      <c r="V94" s="24" t="n">
        <f aca="false">+I94*$D94</f>
        <v>6680000</v>
      </c>
      <c r="W94" s="24" t="n">
        <f aca="false">+J94*$D94</f>
        <v>0</v>
      </c>
      <c r="X94" s="24" t="n">
        <f aca="false">+K94*$D94</f>
        <v>0</v>
      </c>
      <c r="Y94" s="24" t="n">
        <f aca="false">+L94*$D94</f>
        <v>0</v>
      </c>
      <c r="Z94" s="24" t="n">
        <f aca="false">+M94*$D94</f>
        <v>0</v>
      </c>
      <c r="AA94" s="24" t="n">
        <f aca="false">+N94*$D94</f>
        <v>0</v>
      </c>
      <c r="AB94" s="24" t="n">
        <f aca="false">+O94*$D94</f>
        <v>0</v>
      </c>
      <c r="AC94" s="24" t="n">
        <f aca="false">+P94*$D94</f>
        <v>0</v>
      </c>
      <c r="AD94" s="24" t="n">
        <f aca="false">+Q94*$D94</f>
        <v>0</v>
      </c>
      <c r="AE94" s="24" t="n">
        <f aca="false">+R94*$D94</f>
        <v>0</v>
      </c>
      <c r="AG94" s="27" t="n">
        <f aca="false">+U94*'CSF Rates'!C$12</f>
        <v>757254</v>
      </c>
      <c r="AH94" s="27" t="n">
        <f aca="false">+V94*'CSF Rates'!D$12</f>
        <v>705192.043835616</v>
      </c>
      <c r="AI94" s="27" t="n">
        <f aca="false">+W94*'CSF Rates'!E$12</f>
        <v>0</v>
      </c>
      <c r="AJ94" s="27" t="n">
        <f aca="false">+X94*'CSF Rates'!F$12</f>
        <v>0</v>
      </c>
      <c r="AK94" s="27" t="n">
        <f aca="false">+Y94*'CSF Rates'!G$12</f>
        <v>0</v>
      </c>
      <c r="AL94" s="27" t="n">
        <f aca="false">+Z94*'CSF Rates'!H$12</f>
        <v>0</v>
      </c>
      <c r="AM94" s="27" t="n">
        <f aca="false">+AA94*'CSF Rates'!I$12</f>
        <v>0</v>
      </c>
      <c r="AN94" s="27" t="n">
        <f aca="false">+AB94*'CSF Rates'!J$12</f>
        <v>0</v>
      </c>
      <c r="AO94" s="27" t="n">
        <f aca="false">+AC94*'CSF Rates'!K$12</f>
        <v>0</v>
      </c>
      <c r="AP94" s="27" t="n">
        <f aca="false">+AD94*'CSF Rates'!L$12</f>
        <v>0</v>
      </c>
      <c r="AQ94" s="27" t="n">
        <f aca="false">+AE94*'CSF Rates'!M$12</f>
        <v>0</v>
      </c>
    </row>
    <row r="95" customFormat="false" ht="12.75" hidden="false" customHeight="false" outlineLevel="0" collapsed="false">
      <c r="A95" s="6" t="s">
        <v>97</v>
      </c>
      <c r="B95" s="22" t="s">
        <v>29</v>
      </c>
      <c r="C95" s="33" t="n">
        <v>26490</v>
      </c>
      <c r="D95" s="0" t="n">
        <v>70000</v>
      </c>
      <c r="E95" s="2" t="n">
        <v>0.14</v>
      </c>
      <c r="F95" s="34" t="n">
        <v>36100</v>
      </c>
      <c r="G95" s="35" t="n">
        <v>37925</v>
      </c>
      <c r="H95" s="36" t="n">
        <v>366</v>
      </c>
      <c r="I95" s="36" t="n">
        <v>365</v>
      </c>
      <c r="J95" s="36" t="n">
        <v>365</v>
      </c>
      <c r="K95" s="36" t="n">
        <f aca="false">+G95-"12/31/02"</f>
        <v>304</v>
      </c>
      <c r="L95" s="36" t="n">
        <v>0</v>
      </c>
      <c r="M95" s="36" t="n">
        <v>0</v>
      </c>
      <c r="N95" s="36" t="n">
        <v>0</v>
      </c>
      <c r="O95" s="36" t="n">
        <v>0</v>
      </c>
      <c r="P95" s="36" t="n">
        <v>0</v>
      </c>
      <c r="Q95" s="36" t="n">
        <v>0</v>
      </c>
      <c r="R95" s="36" t="n">
        <v>0</v>
      </c>
      <c r="S95" s="24"/>
      <c r="T95" s="28"/>
      <c r="U95" s="24" t="n">
        <f aca="false">+H95*$D95</f>
        <v>25620000</v>
      </c>
      <c r="V95" s="24" t="n">
        <f aca="false">+I95*$D95</f>
        <v>25550000</v>
      </c>
      <c r="W95" s="24" t="n">
        <f aca="false">+J95*$D95</f>
        <v>25550000</v>
      </c>
      <c r="X95" s="24" t="n">
        <f aca="false">+K95*$D95</f>
        <v>21280000</v>
      </c>
      <c r="Y95" s="24" t="n">
        <f aca="false">+L95*$D95</f>
        <v>0</v>
      </c>
      <c r="Z95" s="24" t="n">
        <f aca="false">+M95*$D95</f>
        <v>0</v>
      </c>
      <c r="AA95" s="24" t="n">
        <f aca="false">+N95*$D95</f>
        <v>0</v>
      </c>
      <c r="AB95" s="24" t="n">
        <f aca="false">+O95*$D95</f>
        <v>0</v>
      </c>
      <c r="AC95" s="24" t="n">
        <f aca="false">+P95*$D95</f>
        <v>0</v>
      </c>
      <c r="AD95" s="24" t="n">
        <f aca="false">+Q95*$D95</f>
        <v>0</v>
      </c>
      <c r="AE95" s="24" t="n">
        <f aca="false">+R95*$D95</f>
        <v>0</v>
      </c>
      <c r="AG95" s="27" t="n">
        <f aca="false">+U95*$E95</f>
        <v>3586800</v>
      </c>
      <c r="AH95" s="27" t="n">
        <f aca="false">+V95*$E95</f>
        <v>3577000</v>
      </c>
      <c r="AI95" s="27" t="n">
        <f aca="false">+W95*$E95</f>
        <v>3577000</v>
      </c>
      <c r="AJ95" s="27" t="n">
        <f aca="false">+X95*$E95</f>
        <v>2979200</v>
      </c>
      <c r="AK95" s="27" t="n">
        <f aca="false">+Y95*$E95</f>
        <v>0</v>
      </c>
      <c r="AL95" s="27" t="n">
        <f aca="false">+Z95*$E95</f>
        <v>0</v>
      </c>
      <c r="AM95" s="27" t="n">
        <f aca="false">+AA95*$E95</f>
        <v>0</v>
      </c>
      <c r="AN95" s="27" t="n">
        <f aca="false">+AB95*$E95</f>
        <v>0</v>
      </c>
      <c r="AO95" s="27" t="n">
        <f aca="false">+AC95*$E95</f>
        <v>0</v>
      </c>
      <c r="AP95" s="27" t="n">
        <f aca="false">+AD95*$E95</f>
        <v>0</v>
      </c>
      <c r="AQ95" s="27" t="n">
        <f aca="false">+AE95*$E95</f>
        <v>0</v>
      </c>
    </row>
    <row r="96" customFormat="false" ht="12.75" hidden="false" customHeight="false" outlineLevel="0" collapsed="false">
      <c r="A96" s="6" t="s">
        <v>97</v>
      </c>
      <c r="B96" s="22" t="s">
        <v>74</v>
      </c>
      <c r="C96" s="0" t="n">
        <v>25700</v>
      </c>
      <c r="D96" s="0" t="n">
        <v>25000</v>
      </c>
      <c r="E96" s="2" t="s">
        <v>60</v>
      </c>
      <c r="F96" s="34" t="n">
        <v>36525</v>
      </c>
      <c r="G96" s="35" t="n">
        <v>37621</v>
      </c>
      <c r="H96" s="24" t="n">
        <v>366</v>
      </c>
      <c r="I96" s="24" t="n">
        <v>365</v>
      </c>
      <c r="J96" s="24" t="n">
        <v>365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f aca="false">+G96-F96</f>
        <v>1096</v>
      </c>
      <c r="T96" s="24" t="n">
        <f aca="false">SUM(H96:R96)</f>
        <v>1096</v>
      </c>
      <c r="U96" s="24" t="n">
        <f aca="false">+H96*$D96</f>
        <v>9150000</v>
      </c>
      <c r="V96" s="24" t="n">
        <f aca="false">+I96*$D96</f>
        <v>9125000</v>
      </c>
      <c r="W96" s="24" t="n">
        <f aca="false">+J96*$D96</f>
        <v>9125000</v>
      </c>
      <c r="X96" s="24" t="n">
        <f aca="false">+K96*$D96</f>
        <v>0</v>
      </c>
      <c r="Y96" s="24" t="n">
        <f aca="false">+L96*$D96</f>
        <v>0</v>
      </c>
      <c r="Z96" s="24" t="n">
        <f aca="false">+M96*$D96</f>
        <v>0</v>
      </c>
      <c r="AA96" s="24" t="n">
        <f aca="false">+N96*$D96</f>
        <v>0</v>
      </c>
      <c r="AB96" s="24" t="n">
        <f aca="false">+O96*$D96</f>
        <v>0</v>
      </c>
      <c r="AC96" s="24" t="n">
        <f aca="false">+P96*$D96</f>
        <v>0</v>
      </c>
      <c r="AD96" s="24" t="n">
        <f aca="false">+Q96*$D96</f>
        <v>0</v>
      </c>
      <c r="AE96" s="24" t="n">
        <f aca="false">+R96*$D96</f>
        <v>0</v>
      </c>
      <c r="AG96" s="27" t="n">
        <f aca="false">+U96*'CSF Rates'!C$12</f>
        <v>946567.5</v>
      </c>
      <c r="AH96" s="27" t="n">
        <f aca="false">+V96*'CSF Rates'!D$12</f>
        <v>963305</v>
      </c>
      <c r="AI96" s="27" t="n">
        <f aca="false">+W96*'CSF Rates'!E$12</f>
        <v>983380</v>
      </c>
      <c r="AJ96" s="27" t="n">
        <f aca="false">+X96*'CSF Rates'!F$12</f>
        <v>0</v>
      </c>
      <c r="AK96" s="27" t="n">
        <f aca="false">+Y96*'CSF Rates'!G$12</f>
        <v>0</v>
      </c>
      <c r="AL96" s="27" t="n">
        <f aca="false">+Z96*'CSF Rates'!H$12</f>
        <v>0</v>
      </c>
      <c r="AM96" s="27" t="n">
        <f aca="false">+AA96*'CSF Rates'!I$12</f>
        <v>0</v>
      </c>
      <c r="AN96" s="27" t="n">
        <f aca="false">+AB96*'CSF Rates'!J$12</f>
        <v>0</v>
      </c>
      <c r="AO96" s="27" t="n">
        <f aca="false">+AC96*'CSF Rates'!K$12</f>
        <v>0</v>
      </c>
      <c r="AP96" s="27" t="n">
        <f aca="false">+AD96*'CSF Rates'!L$12</f>
        <v>0</v>
      </c>
      <c r="AQ96" s="27" t="n">
        <f aca="false">+AE96*'CSF Rates'!M$12</f>
        <v>0</v>
      </c>
    </row>
    <row r="97" customFormat="false" ht="12.75" hidden="false" customHeight="false" outlineLevel="0" collapsed="false">
      <c r="A97" s="6" t="s">
        <v>97</v>
      </c>
      <c r="B97" s="22" t="s">
        <v>98</v>
      </c>
      <c r="C97" s="0" t="n">
        <v>25071</v>
      </c>
      <c r="D97" s="0" t="n">
        <v>90000</v>
      </c>
      <c r="E97" s="2" t="s">
        <v>60</v>
      </c>
      <c r="F97" s="34" t="n">
        <v>35400</v>
      </c>
      <c r="G97" s="35" t="n">
        <v>39782</v>
      </c>
      <c r="H97" s="24" t="n">
        <v>366</v>
      </c>
      <c r="I97" s="24" t="n">
        <v>365</v>
      </c>
      <c r="J97" s="24" t="n">
        <v>365</v>
      </c>
      <c r="K97" s="24" t="n">
        <v>365</v>
      </c>
      <c r="L97" s="24" t="n">
        <v>366</v>
      </c>
      <c r="M97" s="24" t="n">
        <v>365</v>
      </c>
      <c r="N97" s="24" t="n">
        <v>365</v>
      </c>
      <c r="O97" s="24" t="n">
        <v>365</v>
      </c>
      <c r="P97" s="24" t="n">
        <f aca="false">G97-"12/31/07"</f>
        <v>335</v>
      </c>
      <c r="Q97" s="24" t="n">
        <v>0</v>
      </c>
      <c r="R97" s="24" t="n">
        <v>0</v>
      </c>
      <c r="S97" s="24"/>
      <c r="T97" s="28"/>
      <c r="U97" s="24" t="n">
        <f aca="false">+H97*$D97</f>
        <v>32940000</v>
      </c>
      <c r="V97" s="24" t="n">
        <f aca="false">+I97*$D97</f>
        <v>32850000</v>
      </c>
      <c r="W97" s="24" t="n">
        <f aca="false">+J97*$D97</f>
        <v>32850000</v>
      </c>
      <c r="X97" s="24" t="n">
        <f aca="false">+K97*$D97</f>
        <v>32850000</v>
      </c>
      <c r="Y97" s="24" t="n">
        <f aca="false">+L97*$D97</f>
        <v>32940000</v>
      </c>
      <c r="Z97" s="24" t="n">
        <f aca="false">+M97*$D97</f>
        <v>32850000</v>
      </c>
      <c r="AA97" s="24" t="n">
        <f aca="false">+N97*$D97</f>
        <v>32850000</v>
      </c>
      <c r="AB97" s="24" t="n">
        <f aca="false">+O97*$D97</f>
        <v>32850000</v>
      </c>
      <c r="AC97" s="24" t="n">
        <f aca="false">+P97*$D97</f>
        <v>30150000</v>
      </c>
      <c r="AD97" s="24" t="n">
        <f aca="false">+Q97*$D97</f>
        <v>0</v>
      </c>
      <c r="AE97" s="24" t="n">
        <f aca="false">+R97*$D97</f>
        <v>0</v>
      </c>
      <c r="AG97" s="27" t="e">
        <f aca="false">+U97*#REF!</f>
        <v>#REF!</v>
      </c>
      <c r="AH97" s="27" t="e">
        <f aca="false">+V97*#REF!</f>
        <v>#REF!</v>
      </c>
      <c r="AI97" s="27" t="e">
        <f aca="false">+W97*#REF!</f>
        <v>#REF!</v>
      </c>
      <c r="AJ97" s="27" t="e">
        <f aca="false">+X97*#REF!</f>
        <v>#REF!</v>
      </c>
      <c r="AK97" s="27" t="e">
        <f aca="false">+Y97*#REF!</f>
        <v>#REF!</v>
      </c>
      <c r="AL97" s="27" t="e">
        <f aca="false">+Z97*#REF!</f>
        <v>#REF!</v>
      </c>
      <c r="AM97" s="27" t="e">
        <f aca="false">+AA97*#REF!</f>
        <v>#REF!</v>
      </c>
      <c r="AN97" s="27" t="e">
        <f aca="false">+AB97*#REF!</f>
        <v>#REF!</v>
      </c>
      <c r="AO97" s="27" t="e">
        <f aca="false">+AC97*#REF!</f>
        <v>#REF!</v>
      </c>
      <c r="AP97" s="27" t="e">
        <f aca="false">+AD97*#REF!</f>
        <v>#REF!</v>
      </c>
      <c r="AQ97" s="27" t="e">
        <f aca="false">+AE97*#REF!</f>
        <v>#REF!</v>
      </c>
    </row>
    <row r="98" customFormat="false" ht="12.75" hidden="false" customHeight="false" outlineLevel="0" collapsed="false">
      <c r="A98" s="6" t="s">
        <v>97</v>
      </c>
      <c r="B98" s="22" t="s">
        <v>50</v>
      </c>
      <c r="C98" s="37" t="n">
        <v>27334</v>
      </c>
      <c r="D98" s="0" t="n">
        <v>14000</v>
      </c>
      <c r="E98" s="2"/>
      <c r="F98" s="34" t="n">
        <v>36982</v>
      </c>
      <c r="G98" s="35" t="n">
        <v>37195</v>
      </c>
      <c r="H98" s="36" t="n">
        <v>0</v>
      </c>
      <c r="I98" s="36" t="n">
        <f aca="false">"11/1/01"-F98</f>
        <v>214</v>
      </c>
      <c r="J98" s="36" t="n">
        <v>0</v>
      </c>
      <c r="K98" s="36" t="n">
        <v>0</v>
      </c>
      <c r="L98" s="36" t="n">
        <v>0</v>
      </c>
      <c r="M98" s="36" t="n">
        <v>0</v>
      </c>
      <c r="N98" s="36" t="n">
        <v>0</v>
      </c>
      <c r="O98" s="36" t="n">
        <v>0</v>
      </c>
      <c r="P98" s="36" t="n">
        <v>0</v>
      </c>
      <c r="Q98" s="36" t="n">
        <v>0</v>
      </c>
      <c r="R98" s="36" t="n">
        <v>0</v>
      </c>
      <c r="S98" s="38"/>
      <c r="T98" s="28"/>
      <c r="U98" s="24" t="n">
        <f aca="false">+H98*$D98</f>
        <v>0</v>
      </c>
      <c r="V98" s="24" t="n">
        <f aca="false">+I98*$D98</f>
        <v>2996000</v>
      </c>
      <c r="W98" s="24" t="n">
        <f aca="false">+J98*$D98</f>
        <v>0</v>
      </c>
      <c r="X98" s="24" t="n">
        <f aca="false">+K98*$D98</f>
        <v>0</v>
      </c>
      <c r="Y98" s="24" t="n">
        <f aca="false">+L98*$D98</f>
        <v>0</v>
      </c>
      <c r="Z98" s="24" t="n">
        <f aca="false">+M98*$D98</f>
        <v>0</v>
      </c>
      <c r="AA98" s="24" t="n">
        <f aca="false">+N98*$D98</f>
        <v>0</v>
      </c>
      <c r="AB98" s="24" t="n">
        <f aca="false">+O98*$D98</f>
        <v>0</v>
      </c>
      <c r="AC98" s="24" t="n">
        <f aca="false">+P98*$D98</f>
        <v>0</v>
      </c>
      <c r="AD98" s="24" t="n">
        <f aca="false">+Q98*$D98</f>
        <v>0</v>
      </c>
      <c r="AE98" s="24" t="n">
        <f aca="false">+R98*$D98</f>
        <v>0</v>
      </c>
      <c r="AG98" s="27" t="n">
        <f aca="false">+U98*$E98</f>
        <v>0</v>
      </c>
      <c r="AH98" s="27" t="n">
        <f aca="false">+V98*$E98</f>
        <v>0</v>
      </c>
      <c r="AI98" s="27" t="n">
        <f aca="false">+W98*$E98</f>
        <v>0</v>
      </c>
      <c r="AJ98" s="27" t="n">
        <f aca="false">+X98*$E98</f>
        <v>0</v>
      </c>
      <c r="AK98" s="27" t="n">
        <f aca="false">+Y98*$E98</f>
        <v>0</v>
      </c>
      <c r="AL98" s="27" t="n">
        <f aca="false">+Z98*$E98</f>
        <v>0</v>
      </c>
      <c r="AM98" s="27" t="n">
        <f aca="false">+AA98*$E98</f>
        <v>0</v>
      </c>
      <c r="AN98" s="27" t="n">
        <f aca="false">+AB98*$E98</f>
        <v>0</v>
      </c>
      <c r="AO98" s="27" t="n">
        <f aca="false">+AC98*$E98</f>
        <v>0</v>
      </c>
      <c r="AP98" s="27" t="n">
        <f aca="false">+AD98*$E98</f>
        <v>0</v>
      </c>
      <c r="AQ98" s="27" t="n">
        <f aca="false">+AE98*$E98</f>
        <v>0</v>
      </c>
    </row>
    <row r="99" customFormat="false" ht="12.75" hidden="false" customHeight="false" outlineLevel="0" collapsed="false">
      <c r="A99" s="6" t="s">
        <v>97</v>
      </c>
      <c r="B99" s="22" t="s">
        <v>51</v>
      </c>
      <c r="C99" s="33" t="n">
        <v>26683</v>
      </c>
      <c r="D99" s="0" t="n">
        <v>8000</v>
      </c>
      <c r="E99" s="2" t="n">
        <v>0.152</v>
      </c>
      <c r="F99" s="34" t="n">
        <v>36220</v>
      </c>
      <c r="G99" s="35" t="n">
        <v>37711</v>
      </c>
      <c r="H99" s="36" t="n">
        <v>366</v>
      </c>
      <c r="I99" s="36" t="n">
        <v>365</v>
      </c>
      <c r="J99" s="36" t="n">
        <v>365</v>
      </c>
      <c r="K99" s="36" t="n">
        <f aca="false">+G99-"12/31/02"</f>
        <v>90</v>
      </c>
      <c r="L99" s="36" t="n">
        <v>0</v>
      </c>
      <c r="M99" s="36" t="n">
        <v>0</v>
      </c>
      <c r="N99" s="36" t="n">
        <v>0</v>
      </c>
      <c r="O99" s="36" t="n">
        <v>0</v>
      </c>
      <c r="P99" s="36" t="n">
        <v>0</v>
      </c>
      <c r="Q99" s="36" t="n">
        <v>0</v>
      </c>
      <c r="R99" s="36" t="n">
        <v>0</v>
      </c>
      <c r="S99" s="24"/>
      <c r="T99" s="28"/>
      <c r="U99" s="24" t="n">
        <f aca="false">+H99*$D99</f>
        <v>2928000</v>
      </c>
      <c r="V99" s="24" t="n">
        <f aca="false">+I99*$D99</f>
        <v>2920000</v>
      </c>
      <c r="W99" s="24" t="n">
        <f aca="false">+J99*$D99</f>
        <v>2920000</v>
      </c>
      <c r="X99" s="24" t="n">
        <f aca="false">+K99*$D99</f>
        <v>720000</v>
      </c>
      <c r="Y99" s="24" t="n">
        <f aca="false">+L99*$D99</f>
        <v>0</v>
      </c>
      <c r="Z99" s="24" t="n">
        <f aca="false">+M99*$D99</f>
        <v>0</v>
      </c>
      <c r="AA99" s="24" t="n">
        <f aca="false">+N99*$D99</f>
        <v>0</v>
      </c>
      <c r="AB99" s="24" t="n">
        <f aca="false">+O99*$D99</f>
        <v>0</v>
      </c>
      <c r="AC99" s="24" t="n">
        <f aca="false">+P99*$D99</f>
        <v>0</v>
      </c>
      <c r="AD99" s="24" t="n">
        <f aca="false">+Q99*$D99</f>
        <v>0</v>
      </c>
      <c r="AE99" s="24" t="n">
        <f aca="false">+R99*$D99</f>
        <v>0</v>
      </c>
      <c r="AG99" s="27" t="n">
        <f aca="false">+U99*$E99</f>
        <v>445056</v>
      </c>
      <c r="AH99" s="27" t="n">
        <f aca="false">+V99*$E99</f>
        <v>443840</v>
      </c>
      <c r="AI99" s="27" t="n">
        <f aca="false">+W99*$E99</f>
        <v>443840</v>
      </c>
      <c r="AJ99" s="27" t="n">
        <f aca="false">+X99*$E99</f>
        <v>109440</v>
      </c>
      <c r="AK99" s="27" t="n">
        <f aca="false">+Y99*$E99</f>
        <v>0</v>
      </c>
      <c r="AL99" s="27" t="n">
        <f aca="false">+Z99*$E99</f>
        <v>0</v>
      </c>
      <c r="AM99" s="27" t="n">
        <f aca="false">+AA99*$E99</f>
        <v>0</v>
      </c>
      <c r="AN99" s="27" t="n">
        <f aca="false">+AB99*$E99</f>
        <v>0</v>
      </c>
      <c r="AO99" s="27" t="n">
        <f aca="false">+AC99*$E99</f>
        <v>0</v>
      </c>
      <c r="AP99" s="27" t="n">
        <f aca="false">+AD99*$E99</f>
        <v>0</v>
      </c>
      <c r="AQ99" s="27" t="n">
        <f aca="false">+AE99*$E99</f>
        <v>0</v>
      </c>
    </row>
    <row r="100" customFormat="false" ht="12.75" hidden="false" customHeight="false" outlineLevel="0" collapsed="false">
      <c r="A100" s="6" t="s">
        <v>97</v>
      </c>
      <c r="B100" s="22" t="s">
        <v>99</v>
      </c>
      <c r="C100" s="0" t="n">
        <v>24736</v>
      </c>
      <c r="D100" s="0" t="n">
        <v>4000</v>
      </c>
      <c r="E100" s="2" t="n">
        <v>0.07</v>
      </c>
      <c r="F100" s="2"/>
      <c r="G100" s="35" t="n">
        <v>36616</v>
      </c>
      <c r="H100" s="24" t="n">
        <f aca="false">G100-"12/31/99"</f>
        <v>91</v>
      </c>
      <c r="I100" s="24" t="n">
        <v>0</v>
      </c>
      <c r="J100" s="24" t="n">
        <v>0</v>
      </c>
      <c r="K100" s="24" t="n">
        <v>0</v>
      </c>
      <c r="L100" s="24" t="n">
        <v>0</v>
      </c>
      <c r="M100" s="24" t="n">
        <v>0</v>
      </c>
      <c r="N100" s="24" t="n">
        <v>0</v>
      </c>
      <c r="O100" s="24" t="n">
        <v>0</v>
      </c>
      <c r="P100" s="24" t="n">
        <v>0</v>
      </c>
      <c r="Q100" s="24" t="n">
        <v>0</v>
      </c>
      <c r="R100" s="24" t="n">
        <v>0</v>
      </c>
      <c r="S100" s="24"/>
      <c r="T100" s="28"/>
      <c r="U100" s="24" t="n">
        <f aca="false">+H100*$D100</f>
        <v>364000</v>
      </c>
      <c r="V100" s="24" t="n">
        <f aca="false">+I100*$D100</f>
        <v>0</v>
      </c>
      <c r="W100" s="24" t="n">
        <f aca="false">+J100*$D100</f>
        <v>0</v>
      </c>
      <c r="X100" s="24" t="n">
        <f aca="false">+K100*$D100</f>
        <v>0</v>
      </c>
      <c r="Y100" s="24" t="n">
        <f aca="false">+L100*$D100</f>
        <v>0</v>
      </c>
      <c r="Z100" s="24" t="n">
        <f aca="false">+M100*$D100</f>
        <v>0</v>
      </c>
      <c r="AA100" s="24" t="n">
        <f aca="false">+N100*$D100</f>
        <v>0</v>
      </c>
      <c r="AB100" s="24" t="n">
        <f aca="false">+O100*$D100</f>
        <v>0</v>
      </c>
      <c r="AC100" s="24" t="n">
        <f aca="false">+P100*$D100</f>
        <v>0</v>
      </c>
      <c r="AD100" s="24" t="n">
        <f aca="false">+Q100*$D100</f>
        <v>0</v>
      </c>
      <c r="AE100" s="24" t="n">
        <f aca="false">+R100*$D100</f>
        <v>0</v>
      </c>
      <c r="AG100" s="27" t="n">
        <f aca="false">+U100*$E100</f>
        <v>25480</v>
      </c>
      <c r="AH100" s="27" t="n">
        <f aca="false">+V100*$E100</f>
        <v>0</v>
      </c>
      <c r="AI100" s="27" t="n">
        <f aca="false">+W100*$E100</f>
        <v>0</v>
      </c>
      <c r="AJ100" s="27" t="n">
        <f aca="false">+X100*$E100</f>
        <v>0</v>
      </c>
      <c r="AK100" s="27" t="n">
        <f aca="false">+Y100*$E100</f>
        <v>0</v>
      </c>
      <c r="AL100" s="27" t="n">
        <f aca="false">+Z100*$E100</f>
        <v>0</v>
      </c>
      <c r="AM100" s="27" t="n">
        <f aca="false">+AA100*$E100</f>
        <v>0</v>
      </c>
      <c r="AN100" s="27" t="n">
        <f aca="false">+AB100*$E100</f>
        <v>0</v>
      </c>
      <c r="AO100" s="27" t="n">
        <f aca="false">+AC100*$E100</f>
        <v>0</v>
      </c>
      <c r="AP100" s="27" t="n">
        <f aca="false">+AD100*$E100</f>
        <v>0</v>
      </c>
      <c r="AQ100" s="27" t="n">
        <f aca="false">+AE100*$E100</f>
        <v>0</v>
      </c>
    </row>
    <row r="101" customFormat="false" ht="12.75" hidden="false" customHeight="false" outlineLevel="0" collapsed="false">
      <c r="A101" s="6" t="s">
        <v>97</v>
      </c>
      <c r="B101" s="22" t="s">
        <v>77</v>
      </c>
      <c r="C101" s="0" t="n">
        <v>27458</v>
      </c>
      <c r="D101" s="0" t="n">
        <v>14000</v>
      </c>
      <c r="E101" s="2" t="s">
        <v>60</v>
      </c>
      <c r="F101" s="34" t="n">
        <v>37621</v>
      </c>
      <c r="G101" s="35" t="n">
        <v>38717</v>
      </c>
      <c r="H101" s="24" t="n">
        <v>0</v>
      </c>
      <c r="I101" s="24" t="n">
        <v>0</v>
      </c>
      <c r="J101" s="24" t="n">
        <v>0</v>
      </c>
      <c r="K101" s="24" t="n">
        <v>365</v>
      </c>
      <c r="L101" s="24" t="n">
        <v>366</v>
      </c>
      <c r="M101" s="24" t="n">
        <f aca="false">+G101-"12/31/04"</f>
        <v>365</v>
      </c>
      <c r="N101" s="24" t="n">
        <v>0</v>
      </c>
      <c r="O101" s="24" t="n">
        <v>0</v>
      </c>
      <c r="P101" s="24" t="n">
        <v>0</v>
      </c>
      <c r="Q101" s="24" t="n">
        <v>0</v>
      </c>
      <c r="R101" s="24" t="n">
        <v>0</v>
      </c>
      <c r="S101" s="24" t="n">
        <f aca="false">+G101-F101</f>
        <v>1096</v>
      </c>
      <c r="T101" s="24" t="n">
        <f aca="false">SUM(H101:R101)</f>
        <v>1096</v>
      </c>
      <c r="U101" s="24" t="n">
        <f aca="false">+H101*$D101</f>
        <v>0</v>
      </c>
      <c r="V101" s="24" t="n">
        <f aca="false">+I101*$D101</f>
        <v>0</v>
      </c>
      <c r="W101" s="24" t="n">
        <f aca="false">+J101*$D101</f>
        <v>0</v>
      </c>
      <c r="X101" s="24" t="n">
        <f aca="false">+K101*$D101</f>
        <v>5110000</v>
      </c>
      <c r="Y101" s="24" t="n">
        <f aca="false">+L101*$D101</f>
        <v>5124000</v>
      </c>
      <c r="Z101" s="24" t="n">
        <f aca="false">+M101*$D101</f>
        <v>5110000</v>
      </c>
      <c r="AA101" s="24" t="n">
        <f aca="false">+N101*$D101</f>
        <v>0</v>
      </c>
      <c r="AB101" s="24" t="n">
        <f aca="false">+O101*$D101</f>
        <v>0</v>
      </c>
      <c r="AC101" s="24" t="n">
        <f aca="false">+P101*$D101</f>
        <v>0</v>
      </c>
      <c r="AD101" s="24" t="n">
        <f aca="false">+Q101*$D101</f>
        <v>0</v>
      </c>
      <c r="AE101" s="24" t="n">
        <f aca="false">+R101*$D101</f>
        <v>0</v>
      </c>
      <c r="AG101" s="27" t="n">
        <f aca="false">+U101*'CSF Rates'!C$12</f>
        <v>0</v>
      </c>
      <c r="AH101" s="27" t="n">
        <f aca="false">+V101*'CSF Rates'!D$12</f>
        <v>0</v>
      </c>
      <c r="AI101" s="27" t="n">
        <f aca="false">+W101*'CSF Rates'!E$12</f>
        <v>0</v>
      </c>
      <c r="AJ101" s="27" t="n">
        <f aca="false">+X101*'CSF Rates'!F$12</f>
        <v>561934.8</v>
      </c>
      <c r="AK101" s="27" t="n">
        <f aca="false">+Y101*'CSF Rates'!G$12</f>
        <v>574827.4</v>
      </c>
      <c r="AL101" s="27" t="n">
        <f aca="false">+Z101*'CSF Rates'!H$12</f>
        <v>585015.2</v>
      </c>
      <c r="AM101" s="27" t="n">
        <f aca="false">+AA101*'CSF Rates'!I$12</f>
        <v>0</v>
      </c>
      <c r="AN101" s="27" t="n">
        <f aca="false">+AB101*'CSF Rates'!J$12</f>
        <v>0</v>
      </c>
      <c r="AO101" s="27" t="n">
        <f aca="false">+AC101*'CSF Rates'!K$12</f>
        <v>0</v>
      </c>
      <c r="AP101" s="27" t="n">
        <f aca="false">+AD101*'CSF Rates'!L$12</f>
        <v>0</v>
      </c>
      <c r="AQ101" s="27" t="n">
        <f aca="false">+AE101*'CSF Rates'!M$12</f>
        <v>0</v>
      </c>
    </row>
    <row r="102" customFormat="false" ht="12.75" hidden="false" customHeight="false" outlineLevel="0" collapsed="false">
      <c r="A102" s="6" t="s">
        <v>97</v>
      </c>
      <c r="B102" s="22" t="s">
        <v>100</v>
      </c>
      <c r="C102" s="0" t="n">
        <v>26520</v>
      </c>
      <c r="D102" s="0" t="n">
        <v>25000</v>
      </c>
      <c r="E102" s="2" t="s">
        <v>60</v>
      </c>
      <c r="F102" s="34" t="n">
        <v>33664</v>
      </c>
      <c r="G102" s="35" t="n">
        <v>39141</v>
      </c>
      <c r="H102" s="24" t="n">
        <v>366</v>
      </c>
      <c r="I102" s="24" t="n">
        <v>365</v>
      </c>
      <c r="J102" s="24" t="n">
        <v>365</v>
      </c>
      <c r="K102" s="24" t="n">
        <v>365</v>
      </c>
      <c r="L102" s="24" t="n">
        <v>366</v>
      </c>
      <c r="M102" s="24" t="n">
        <v>365</v>
      </c>
      <c r="N102" s="24" t="n">
        <v>365</v>
      </c>
      <c r="O102" s="24" t="n">
        <f aca="false">G102-"12/31/06"</f>
        <v>59</v>
      </c>
      <c r="P102" s="24" t="n">
        <v>0</v>
      </c>
      <c r="Q102" s="24" t="n">
        <v>0</v>
      </c>
      <c r="R102" s="24" t="n">
        <v>0</v>
      </c>
      <c r="S102" s="24"/>
      <c r="T102" s="28"/>
      <c r="U102" s="24" t="n">
        <f aca="false">+H102*$D102</f>
        <v>9150000</v>
      </c>
      <c r="V102" s="24" t="n">
        <f aca="false">+I102*$D102</f>
        <v>9125000</v>
      </c>
      <c r="W102" s="24" t="n">
        <f aca="false">+J102*$D102</f>
        <v>9125000</v>
      </c>
      <c r="X102" s="24" t="n">
        <f aca="false">+K102*$D102</f>
        <v>9125000</v>
      </c>
      <c r="Y102" s="24" t="n">
        <f aca="false">+L102*$D102</f>
        <v>9150000</v>
      </c>
      <c r="Z102" s="24" t="n">
        <f aca="false">+M102*$D102</f>
        <v>9125000</v>
      </c>
      <c r="AA102" s="24" t="n">
        <f aca="false">+N102*$D102</f>
        <v>9125000</v>
      </c>
      <c r="AB102" s="24" t="n">
        <f aca="false">+O102*$D102</f>
        <v>1475000</v>
      </c>
      <c r="AC102" s="24" t="n">
        <f aca="false">+P102*$D102</f>
        <v>0</v>
      </c>
      <c r="AD102" s="24" t="n">
        <f aca="false">+Q102*$D102</f>
        <v>0</v>
      </c>
      <c r="AE102" s="24" t="n">
        <f aca="false">+R102*$D102</f>
        <v>0</v>
      </c>
      <c r="AG102" s="27" t="n">
        <f aca="false">+U102*'CSF Rates'!C15</f>
        <v>2087645.7</v>
      </c>
      <c r="AH102" s="27" t="n">
        <f aca="false">+V102*'CSF Rates'!D15</f>
        <v>2123599.914</v>
      </c>
      <c r="AI102" s="27" t="n">
        <f aca="false">+W102*'CSF Rates'!E15</f>
        <v>2166071.91228</v>
      </c>
      <c r="AJ102" s="27" t="n">
        <f aca="false">+X102*'CSF Rates'!F15</f>
        <v>2209393.3505256</v>
      </c>
      <c r="AK102" s="27" t="n">
        <f aca="false">+Y102*'CSF Rates'!G15</f>
        <v>2259734.84436571</v>
      </c>
      <c r="AL102" s="27" t="n">
        <f aca="false">+Z102*'CSF Rates'!H15</f>
        <v>2298652.84188683</v>
      </c>
      <c r="AM102" s="27" t="n">
        <f aca="false">+AA102*'CSF Rates'!I15</f>
        <v>2344625.89872457</v>
      </c>
      <c r="AN102" s="27" t="n">
        <f aca="false">+AB102*'CSF Rates'!J15</f>
        <v>386574.209822588</v>
      </c>
      <c r="AO102" s="27" t="n">
        <f aca="false">+AC102*'CSF Rates'!K15</f>
        <v>0</v>
      </c>
      <c r="AP102" s="27" t="n">
        <f aca="false">+AD102*'CSF Rates'!L15</f>
        <v>0</v>
      </c>
      <c r="AQ102" s="27" t="n">
        <f aca="false">+AE102*'CSF Rates'!M15</f>
        <v>0</v>
      </c>
    </row>
    <row r="103" customFormat="false" ht="12.75" hidden="false" customHeight="false" outlineLevel="0" collapsed="false">
      <c r="A103" s="6" t="s">
        <v>97</v>
      </c>
      <c r="B103" s="22" t="s">
        <v>79</v>
      </c>
      <c r="C103" s="0" t="n">
        <v>20747</v>
      </c>
      <c r="D103" s="0" t="n">
        <v>10000</v>
      </c>
      <c r="E103" s="2" t="s">
        <v>60</v>
      </c>
      <c r="F103" s="34" t="n">
        <v>33664</v>
      </c>
      <c r="G103" s="35" t="n">
        <v>37315</v>
      </c>
      <c r="H103" s="24" t="n">
        <v>366</v>
      </c>
      <c r="I103" s="24" t="n">
        <v>365</v>
      </c>
      <c r="J103" s="24" t="n">
        <f aca="false">G103-"12/31/01"</f>
        <v>59</v>
      </c>
      <c r="K103" s="24" t="n">
        <v>0</v>
      </c>
      <c r="L103" s="24" t="n">
        <v>0</v>
      </c>
      <c r="M103" s="24" t="n">
        <v>0</v>
      </c>
      <c r="N103" s="24" t="n">
        <v>0</v>
      </c>
      <c r="O103" s="24" t="n">
        <v>0</v>
      </c>
      <c r="P103" s="24" t="n">
        <v>0</v>
      </c>
      <c r="Q103" s="24" t="n">
        <v>0</v>
      </c>
      <c r="R103" s="24" t="n">
        <v>0</v>
      </c>
      <c r="S103" s="24"/>
      <c r="T103" s="28"/>
      <c r="U103" s="24" t="n">
        <f aca="false">+H103*$D103</f>
        <v>3660000</v>
      </c>
      <c r="V103" s="24" t="n">
        <f aca="false">+I103*$D103</f>
        <v>3650000</v>
      </c>
      <c r="W103" s="24" t="n">
        <f aca="false">+J103*$D103</f>
        <v>590000</v>
      </c>
      <c r="X103" s="24" t="n">
        <f aca="false">+K103*$D103</f>
        <v>0</v>
      </c>
      <c r="Y103" s="24" t="n">
        <f aca="false">+L103*$D103</f>
        <v>0</v>
      </c>
      <c r="Z103" s="24" t="n">
        <f aca="false">+M103*$D103</f>
        <v>0</v>
      </c>
      <c r="AA103" s="24" t="n">
        <f aca="false">+N103*$D103</f>
        <v>0</v>
      </c>
      <c r="AB103" s="24" t="n">
        <f aca="false">+O103*$D103</f>
        <v>0</v>
      </c>
      <c r="AC103" s="24" t="n">
        <f aca="false">+P103*$D103</f>
        <v>0</v>
      </c>
      <c r="AD103" s="24" t="n">
        <f aca="false">+Q103*$D103</f>
        <v>0</v>
      </c>
      <c r="AE103" s="24" t="n">
        <f aca="false">+R103*$D103</f>
        <v>0</v>
      </c>
      <c r="AG103" s="27" t="n">
        <f aca="false">+U103*'CSF Rates'!C14</f>
        <v>939644</v>
      </c>
      <c r="AH103" s="27" t="n">
        <f aca="false">+V103*'CSF Rates'!D14</f>
        <v>966454.58</v>
      </c>
      <c r="AI103" s="27" t="n">
        <f aca="false">+W103*'CSF Rates'!E14</f>
        <v>159345.85376548</v>
      </c>
      <c r="AJ103" s="27" t="n">
        <f aca="false">+X103*'CSF Rates'!F14</f>
        <v>0</v>
      </c>
      <c r="AK103" s="27" t="n">
        <f aca="false">+Y103*'CSF Rates'!G14</f>
        <v>0</v>
      </c>
      <c r="AL103" s="27" t="n">
        <f aca="false">+Z103*'CSF Rates'!H14</f>
        <v>0</v>
      </c>
      <c r="AM103" s="27" t="n">
        <f aca="false">+AA103*'CSF Rates'!I14</f>
        <v>0</v>
      </c>
      <c r="AN103" s="27" t="n">
        <f aca="false">+AB103*'CSF Rates'!J14</f>
        <v>0</v>
      </c>
      <c r="AO103" s="27" t="n">
        <f aca="false">+AC103*'CSF Rates'!K14</f>
        <v>0</v>
      </c>
      <c r="AP103" s="27" t="n">
        <f aca="false">+AD103*'CSF Rates'!L14</f>
        <v>0</v>
      </c>
      <c r="AQ103" s="27" t="n">
        <f aca="false">+AE103*'CSF Rates'!M14</f>
        <v>0</v>
      </c>
    </row>
    <row r="104" customFormat="false" ht="12.75" hidden="false" customHeight="false" outlineLevel="0" collapsed="false">
      <c r="A104" s="6" t="s">
        <v>97</v>
      </c>
      <c r="B104" s="22" t="s">
        <v>79</v>
      </c>
      <c r="C104" s="0" t="n">
        <v>20748</v>
      </c>
      <c r="D104" s="0" t="n">
        <v>10000</v>
      </c>
      <c r="E104" s="2" t="s">
        <v>60</v>
      </c>
      <c r="F104" s="34" t="n">
        <v>33664</v>
      </c>
      <c r="G104" s="35" t="n">
        <v>37315</v>
      </c>
      <c r="H104" s="24" t="n">
        <v>366</v>
      </c>
      <c r="I104" s="24" t="n">
        <v>365</v>
      </c>
      <c r="J104" s="24" t="n">
        <f aca="false">G104-"12/31/01"</f>
        <v>59</v>
      </c>
      <c r="K104" s="24" t="n">
        <v>0</v>
      </c>
      <c r="L104" s="24" t="n">
        <v>0</v>
      </c>
      <c r="M104" s="24" t="n">
        <v>0</v>
      </c>
      <c r="N104" s="24" t="n">
        <v>0</v>
      </c>
      <c r="O104" s="24" t="n">
        <v>0</v>
      </c>
      <c r="P104" s="24" t="n">
        <v>0</v>
      </c>
      <c r="Q104" s="24" t="n">
        <v>0</v>
      </c>
      <c r="R104" s="24" t="n">
        <v>0</v>
      </c>
      <c r="S104" s="24"/>
      <c r="T104" s="28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customFormat="false" ht="12.75" hidden="false" customHeight="false" outlineLevel="0" collapsed="false">
      <c r="A105" s="6" t="s">
        <v>97</v>
      </c>
      <c r="B105" s="22" t="s">
        <v>79</v>
      </c>
      <c r="C105" s="0" t="n">
        <v>27566</v>
      </c>
      <c r="D105" s="0" t="n">
        <v>20000</v>
      </c>
      <c r="E105" s="2" t="s">
        <v>60</v>
      </c>
      <c r="F105" s="34" t="n">
        <v>37316</v>
      </c>
      <c r="G105" s="35" t="n">
        <v>39172</v>
      </c>
      <c r="H105" s="24" t="n">
        <v>0</v>
      </c>
      <c r="I105" s="24" t="n">
        <v>0</v>
      </c>
      <c r="J105" s="24" t="n">
        <f aca="false">"1/1/03"-"3/01/02"</f>
        <v>306</v>
      </c>
      <c r="K105" s="24" t="n">
        <v>365</v>
      </c>
      <c r="L105" s="24" t="n">
        <v>366</v>
      </c>
      <c r="M105" s="24" t="n">
        <v>365</v>
      </c>
      <c r="N105" s="24" t="n">
        <v>365</v>
      </c>
      <c r="O105" s="24" t="n">
        <f aca="false">+G105-"12/31/06"</f>
        <v>90</v>
      </c>
      <c r="P105" s="24" t="n">
        <v>0</v>
      </c>
      <c r="Q105" s="24" t="n">
        <v>0</v>
      </c>
      <c r="R105" s="24" t="n">
        <v>0</v>
      </c>
      <c r="S105" s="24" t="n">
        <f aca="false">+G105-F105</f>
        <v>1856</v>
      </c>
      <c r="T105" s="24" t="n">
        <f aca="false">SUM(H105:R105)</f>
        <v>1857</v>
      </c>
      <c r="U105" s="24" t="n">
        <f aca="false">+H105*$D105</f>
        <v>0</v>
      </c>
      <c r="V105" s="24" t="n">
        <f aca="false">+I105*$D105</f>
        <v>0</v>
      </c>
      <c r="W105" s="24" t="n">
        <f aca="false">+J105*$D105</f>
        <v>6120000</v>
      </c>
      <c r="X105" s="24" t="n">
        <f aca="false">+K105*$D105</f>
        <v>7300000</v>
      </c>
      <c r="Y105" s="24" t="n">
        <f aca="false">+L105*$D105</f>
        <v>7320000</v>
      </c>
      <c r="Z105" s="24" t="n">
        <f aca="false">+M105*$D105</f>
        <v>7300000</v>
      </c>
      <c r="AA105" s="24" t="n">
        <f aca="false">+N105*$D105</f>
        <v>7300000</v>
      </c>
      <c r="AB105" s="24" t="n">
        <f aca="false">+O105*$D105</f>
        <v>1800000</v>
      </c>
      <c r="AC105" s="24" t="n">
        <f aca="false">+P105*$D105</f>
        <v>0</v>
      </c>
      <c r="AD105" s="24" t="n">
        <f aca="false">+Q105*$D105</f>
        <v>0</v>
      </c>
      <c r="AE105" s="24" t="n">
        <f aca="false">+R105*$D105</f>
        <v>0</v>
      </c>
      <c r="AG105" s="27" t="n">
        <f aca="false">+U105*'CSF Rates'!C$12</f>
        <v>0</v>
      </c>
      <c r="AH105" s="27" t="n">
        <f aca="false">+V105*'CSF Rates'!D$12</f>
        <v>0</v>
      </c>
      <c r="AI105" s="27" t="n">
        <f aca="false">+W105*'CSF Rates'!E$12</f>
        <v>659538.147945205</v>
      </c>
      <c r="AJ105" s="27" t="n">
        <f aca="false">+X105*'CSF Rates'!F$12</f>
        <v>802764</v>
      </c>
      <c r="AK105" s="27" t="n">
        <f aca="false">+Y105*'CSF Rates'!G$12</f>
        <v>821182</v>
      </c>
      <c r="AL105" s="27" t="n">
        <f aca="false">+Z105*'CSF Rates'!H$12</f>
        <v>835736</v>
      </c>
      <c r="AM105" s="27" t="n">
        <f aca="false">+AA105*'CSF Rates'!I$12</f>
        <v>852648</v>
      </c>
      <c r="AN105" s="27" t="n">
        <f aca="false">+AB105*'CSF Rates'!J$12</f>
        <v>214561.97260274</v>
      </c>
      <c r="AO105" s="27" t="n">
        <f aca="false">+AC105*'CSF Rates'!K$12</f>
        <v>0</v>
      </c>
      <c r="AP105" s="27" t="n">
        <f aca="false">+AD105*'CSF Rates'!L$12</f>
        <v>0</v>
      </c>
      <c r="AQ105" s="27" t="n">
        <f aca="false">+AE105*'CSF Rates'!M$12</f>
        <v>0</v>
      </c>
    </row>
    <row r="106" customFormat="false" ht="12.75" hidden="false" customHeight="false" outlineLevel="0" collapsed="false">
      <c r="A106" s="6" t="s">
        <v>97</v>
      </c>
      <c r="B106" s="22" t="s">
        <v>35</v>
      </c>
      <c r="C106" s="0" t="n">
        <v>25838</v>
      </c>
      <c r="D106" s="0" t="n">
        <v>10475</v>
      </c>
      <c r="E106" s="2" t="n">
        <v>0.085</v>
      </c>
      <c r="F106" s="34"/>
      <c r="G106" s="35" t="n">
        <v>36556</v>
      </c>
      <c r="H106" s="36" t="n">
        <f aca="false">G106-"12/31/99"</f>
        <v>31</v>
      </c>
      <c r="I106" s="36" t="n">
        <v>0</v>
      </c>
      <c r="J106" s="36" t="n">
        <v>0</v>
      </c>
      <c r="K106" s="36" t="n">
        <v>0</v>
      </c>
      <c r="L106" s="36" t="n">
        <v>0</v>
      </c>
      <c r="M106" s="36" t="n">
        <v>0</v>
      </c>
      <c r="N106" s="36" t="n">
        <v>0</v>
      </c>
      <c r="O106" s="36" t="n">
        <v>0</v>
      </c>
      <c r="P106" s="36" t="n">
        <v>0</v>
      </c>
      <c r="Q106" s="36" t="n">
        <v>0</v>
      </c>
      <c r="R106" s="36" t="n">
        <v>0</v>
      </c>
      <c r="S106" s="24"/>
      <c r="T106" s="28"/>
      <c r="U106" s="24" t="n">
        <f aca="false">+H106*$D106</f>
        <v>324725</v>
      </c>
      <c r="V106" s="24" t="n">
        <f aca="false">+I106*$D106</f>
        <v>0</v>
      </c>
      <c r="W106" s="24" t="n">
        <f aca="false">+J106*$D106</f>
        <v>0</v>
      </c>
      <c r="X106" s="24" t="n">
        <f aca="false">+K106*$D106</f>
        <v>0</v>
      </c>
      <c r="Y106" s="24" t="n">
        <f aca="false">+L106*$D106</f>
        <v>0</v>
      </c>
      <c r="Z106" s="24" t="n">
        <f aca="false">+M106*$D106</f>
        <v>0</v>
      </c>
      <c r="AA106" s="24" t="n">
        <f aca="false">+N106*$D106</f>
        <v>0</v>
      </c>
      <c r="AB106" s="24" t="n">
        <f aca="false">+O106*$D106</f>
        <v>0</v>
      </c>
      <c r="AC106" s="24" t="n">
        <f aca="false">+P106*$D106</f>
        <v>0</v>
      </c>
      <c r="AD106" s="24" t="n">
        <f aca="false">+Q106*$D106</f>
        <v>0</v>
      </c>
      <c r="AE106" s="24" t="n">
        <f aca="false">+R106*$D106</f>
        <v>0</v>
      </c>
      <c r="AG106" s="27" t="n">
        <f aca="false">+U106*$E106</f>
        <v>27601.625</v>
      </c>
      <c r="AH106" s="27" t="n">
        <f aca="false">+V106*$E106</f>
        <v>0</v>
      </c>
      <c r="AI106" s="27" t="n">
        <f aca="false">+W106*$E106</f>
        <v>0</v>
      </c>
      <c r="AJ106" s="27" t="n">
        <f aca="false">+X106*$E106</f>
        <v>0</v>
      </c>
      <c r="AK106" s="27" t="n">
        <f aca="false">+Y106*$E106</f>
        <v>0</v>
      </c>
      <c r="AL106" s="27" t="n">
        <f aca="false">+Z106*$E106</f>
        <v>0</v>
      </c>
      <c r="AM106" s="27" t="n">
        <f aca="false">+AA106*$E106</f>
        <v>0</v>
      </c>
      <c r="AN106" s="27" t="n">
        <f aca="false">+AB106*$E106</f>
        <v>0</v>
      </c>
      <c r="AO106" s="27" t="n">
        <f aca="false">+AC106*$E106</f>
        <v>0</v>
      </c>
      <c r="AP106" s="27" t="n">
        <f aca="false">+AD106*$E106</f>
        <v>0</v>
      </c>
      <c r="AQ106" s="27" t="n">
        <f aca="false">+AE106*$E106</f>
        <v>0</v>
      </c>
    </row>
    <row r="107" customFormat="false" ht="12.75" hidden="false" customHeight="false" outlineLevel="0" collapsed="false">
      <c r="A107" s="6" t="s">
        <v>97</v>
      </c>
      <c r="B107" s="22" t="s">
        <v>35</v>
      </c>
      <c r="C107" s="37" t="n">
        <v>26758</v>
      </c>
      <c r="D107" s="0" t="n">
        <v>40000</v>
      </c>
      <c r="E107" s="2"/>
      <c r="F107" s="34" t="n">
        <v>36647</v>
      </c>
      <c r="G107" s="35" t="n">
        <v>38472</v>
      </c>
      <c r="H107" s="36" t="n">
        <f aca="false">"1/01/01"-F107</f>
        <v>245</v>
      </c>
      <c r="I107" s="36" t="n">
        <v>365</v>
      </c>
      <c r="J107" s="36" t="n">
        <v>365</v>
      </c>
      <c r="K107" s="36" t="n">
        <v>365</v>
      </c>
      <c r="L107" s="36" t="n">
        <v>366</v>
      </c>
      <c r="M107" s="36" t="n">
        <f aca="false">G107-"12/31/04"</f>
        <v>120</v>
      </c>
      <c r="N107" s="36" t="n">
        <v>0</v>
      </c>
      <c r="O107" s="36" t="n">
        <v>0</v>
      </c>
      <c r="P107" s="36" t="n">
        <v>0</v>
      </c>
      <c r="Q107" s="36" t="n">
        <v>0</v>
      </c>
      <c r="R107" s="36" t="n">
        <v>0</v>
      </c>
      <c r="S107" s="24"/>
      <c r="T107" s="28"/>
      <c r="U107" s="24"/>
      <c r="V107" s="24" t="n">
        <f aca="false">+I107*$D107</f>
        <v>14600000</v>
      </c>
      <c r="W107" s="24" t="n">
        <f aca="false">+J107*$D107</f>
        <v>14600000</v>
      </c>
      <c r="X107" s="24" t="n">
        <f aca="false">+K107*$D107</f>
        <v>14600000</v>
      </c>
      <c r="Y107" s="24" t="n">
        <f aca="false">+L107*$D107</f>
        <v>14640000</v>
      </c>
      <c r="Z107" s="24" t="n">
        <f aca="false">+M107*$D107</f>
        <v>4800000</v>
      </c>
      <c r="AA107" s="24" t="n">
        <f aca="false">+N107*$D107</f>
        <v>0</v>
      </c>
      <c r="AB107" s="24" t="n">
        <f aca="false">+O107*$D107</f>
        <v>0</v>
      </c>
      <c r="AC107" s="24" t="n">
        <f aca="false">+P107*$D107</f>
        <v>0</v>
      </c>
      <c r="AD107" s="24" t="n">
        <f aca="false">+Q107*$D107</f>
        <v>0</v>
      </c>
      <c r="AE107" s="24" t="n">
        <f aca="false">+R107*$D107</f>
        <v>0</v>
      </c>
      <c r="AG107" s="27" t="n">
        <f aca="false">+U107*$E107</f>
        <v>0</v>
      </c>
      <c r="AH107" s="27" t="n">
        <f aca="false">+V107*$E107</f>
        <v>0</v>
      </c>
      <c r="AI107" s="27" t="n">
        <f aca="false">+W107*$E107</f>
        <v>0</v>
      </c>
      <c r="AJ107" s="27" t="n">
        <f aca="false">+X107*$E107</f>
        <v>0</v>
      </c>
      <c r="AK107" s="27" t="n">
        <f aca="false">+Y107*$E107</f>
        <v>0</v>
      </c>
      <c r="AL107" s="27" t="n">
        <f aca="false">+Z107*$E107</f>
        <v>0</v>
      </c>
      <c r="AM107" s="27" t="n">
        <f aca="false">+AA107*$E107</f>
        <v>0</v>
      </c>
      <c r="AN107" s="27" t="n">
        <f aca="false">+AB107*$E107</f>
        <v>0</v>
      </c>
      <c r="AO107" s="27" t="n">
        <f aca="false">+AC107*$E107</f>
        <v>0</v>
      </c>
      <c r="AP107" s="27" t="n">
        <f aca="false">+AD107*$E107</f>
        <v>0</v>
      </c>
      <c r="AQ107" s="27" t="n">
        <f aca="false">+AE107*$E107</f>
        <v>0</v>
      </c>
    </row>
    <row r="108" customFormat="false" ht="12.75" hidden="false" customHeight="false" outlineLevel="0" collapsed="false">
      <c r="A108" s="6" t="s">
        <v>97</v>
      </c>
      <c r="B108" s="22" t="s">
        <v>81</v>
      </c>
      <c r="C108" s="0" t="n">
        <v>26372</v>
      </c>
      <c r="D108" s="0" t="n">
        <v>25000</v>
      </c>
      <c r="E108" s="2" t="s">
        <v>60</v>
      </c>
      <c r="F108" s="34" t="n">
        <v>36525</v>
      </c>
      <c r="G108" s="35" t="n">
        <v>39172</v>
      </c>
      <c r="H108" s="24" t="n">
        <v>366</v>
      </c>
      <c r="I108" s="24" t="n">
        <v>365</v>
      </c>
      <c r="J108" s="24" t="n">
        <v>365</v>
      </c>
      <c r="K108" s="24" t="n">
        <v>365</v>
      </c>
      <c r="L108" s="24" t="n">
        <v>366</v>
      </c>
      <c r="M108" s="24" t="n">
        <v>365</v>
      </c>
      <c r="N108" s="24" t="n">
        <v>365</v>
      </c>
      <c r="O108" s="24" t="n">
        <f aca="false">+G108-"12/31/06"</f>
        <v>90</v>
      </c>
      <c r="P108" s="24" t="n">
        <v>0</v>
      </c>
      <c r="Q108" s="24" t="n">
        <v>0</v>
      </c>
      <c r="R108" s="24" t="n">
        <v>0</v>
      </c>
      <c r="S108" s="24" t="n">
        <f aca="false">+G108-F108</f>
        <v>2647</v>
      </c>
      <c r="T108" s="24" t="n">
        <f aca="false">SUM(H108:R108)</f>
        <v>2647</v>
      </c>
      <c r="U108" s="24" t="n">
        <f aca="false">+H108*$D108</f>
        <v>9150000</v>
      </c>
      <c r="V108" s="24" t="n">
        <f aca="false">+I108*$D108</f>
        <v>9125000</v>
      </c>
      <c r="W108" s="24" t="n">
        <f aca="false">+J108*$D108</f>
        <v>9125000</v>
      </c>
      <c r="X108" s="24" t="n">
        <f aca="false">+K108*$D108</f>
        <v>9125000</v>
      </c>
      <c r="Y108" s="24" t="n">
        <f aca="false">+L108*$D108</f>
        <v>9150000</v>
      </c>
      <c r="Z108" s="24" t="n">
        <f aca="false">+M108*$D108</f>
        <v>9125000</v>
      </c>
      <c r="AA108" s="24" t="n">
        <f aca="false">+N108*$D108</f>
        <v>9125000</v>
      </c>
      <c r="AB108" s="24" t="n">
        <f aca="false">+O108*$D108</f>
        <v>2250000</v>
      </c>
      <c r="AC108" s="24" t="n">
        <f aca="false">+P108*$D108</f>
        <v>0</v>
      </c>
      <c r="AD108" s="24" t="n">
        <f aca="false">+Q108*$D108</f>
        <v>0</v>
      </c>
      <c r="AE108" s="24" t="n">
        <f aca="false">+R108*$D108</f>
        <v>0</v>
      </c>
      <c r="AG108" s="27" t="n">
        <f aca="false">+U108*'CSF Rates'!C$12</f>
        <v>946567.5</v>
      </c>
      <c r="AH108" s="27" t="n">
        <f aca="false">+V108*'CSF Rates'!D$12</f>
        <v>963305</v>
      </c>
      <c r="AI108" s="27" t="n">
        <f aca="false">+W108*'CSF Rates'!E$12</f>
        <v>983380</v>
      </c>
      <c r="AJ108" s="27" t="n">
        <f aca="false">+X108*'CSF Rates'!F$12</f>
        <v>1003455</v>
      </c>
      <c r="AK108" s="27" t="n">
        <f aca="false">+Y108*'CSF Rates'!G$12</f>
        <v>1026477.5</v>
      </c>
      <c r="AL108" s="27" t="n">
        <f aca="false">+Z108*'CSF Rates'!H$12</f>
        <v>1044670</v>
      </c>
      <c r="AM108" s="27" t="n">
        <f aca="false">+AA108*'CSF Rates'!I$12</f>
        <v>1065810</v>
      </c>
      <c r="AN108" s="27" t="n">
        <f aca="false">+AB108*'CSF Rates'!J$12</f>
        <v>268202.465753425</v>
      </c>
      <c r="AO108" s="27" t="n">
        <f aca="false">+AC108*'CSF Rates'!K$12</f>
        <v>0</v>
      </c>
      <c r="AP108" s="27" t="n">
        <f aca="false">+AD108*'CSF Rates'!L$12</f>
        <v>0</v>
      </c>
      <c r="AQ108" s="27" t="n">
        <f aca="false">+AE108*'CSF Rates'!M$12</f>
        <v>0</v>
      </c>
    </row>
    <row r="109" customFormat="false" ht="12.75" hidden="false" customHeight="false" outlineLevel="0" collapsed="false">
      <c r="A109" s="6" t="s">
        <v>97</v>
      </c>
      <c r="B109" s="22" t="s">
        <v>82</v>
      </c>
      <c r="C109" s="0" t="n">
        <v>27453</v>
      </c>
      <c r="D109" s="0" t="n">
        <v>35000</v>
      </c>
      <c r="E109" s="2" t="s">
        <v>60</v>
      </c>
      <c r="F109" s="34" t="n">
        <v>37621</v>
      </c>
      <c r="G109" s="35" t="n">
        <v>37986</v>
      </c>
      <c r="H109" s="24" t="n">
        <v>0</v>
      </c>
      <c r="I109" s="24" t="n">
        <v>0</v>
      </c>
      <c r="J109" s="24" t="n">
        <v>0</v>
      </c>
      <c r="K109" s="24" t="n">
        <v>365</v>
      </c>
      <c r="L109" s="24" t="n">
        <v>0</v>
      </c>
      <c r="M109" s="24" t="n">
        <v>0</v>
      </c>
      <c r="N109" s="24" t="n">
        <v>0</v>
      </c>
      <c r="O109" s="24" t="n">
        <v>0</v>
      </c>
      <c r="P109" s="24" t="n">
        <v>0</v>
      </c>
      <c r="Q109" s="24" t="n">
        <v>0</v>
      </c>
      <c r="R109" s="24" t="n">
        <v>0</v>
      </c>
      <c r="S109" s="24" t="n">
        <f aca="false">+G109-F109</f>
        <v>365</v>
      </c>
      <c r="T109" s="24" t="n">
        <f aca="false">SUM(H109:R109)</f>
        <v>365</v>
      </c>
      <c r="U109" s="24" t="n">
        <f aca="false">+H109*$D109</f>
        <v>0</v>
      </c>
      <c r="V109" s="24" t="n">
        <f aca="false">+I109*$D109</f>
        <v>0</v>
      </c>
      <c r="W109" s="24" t="n">
        <f aca="false">+J109*$D109</f>
        <v>0</v>
      </c>
      <c r="X109" s="24" t="n">
        <f aca="false">+K109*$D109</f>
        <v>12775000</v>
      </c>
      <c r="Y109" s="24" t="n">
        <f aca="false">+L109*$D109</f>
        <v>0</v>
      </c>
      <c r="Z109" s="24" t="n">
        <f aca="false">+M109*$D109</f>
        <v>0</v>
      </c>
      <c r="AA109" s="24" t="n">
        <f aca="false">+N109*$D109</f>
        <v>0</v>
      </c>
      <c r="AB109" s="24" t="n">
        <f aca="false">+O109*$D109</f>
        <v>0</v>
      </c>
      <c r="AC109" s="24" t="n">
        <f aca="false">+P109*$D109</f>
        <v>0</v>
      </c>
      <c r="AD109" s="24" t="n">
        <f aca="false">+Q109*$D109</f>
        <v>0</v>
      </c>
      <c r="AE109" s="24" t="n">
        <f aca="false">+R109*$D109</f>
        <v>0</v>
      </c>
      <c r="AG109" s="27" t="n">
        <f aca="false">+U109*'CSF Rates'!C$12</f>
        <v>0</v>
      </c>
      <c r="AH109" s="27" t="n">
        <f aca="false">+V109*'CSF Rates'!D$12</f>
        <v>0</v>
      </c>
      <c r="AI109" s="27" t="n">
        <f aca="false">+W109*'CSF Rates'!E$12</f>
        <v>0</v>
      </c>
      <c r="AJ109" s="27" t="n">
        <f aca="false">+X109*'CSF Rates'!F$12</f>
        <v>1404837</v>
      </c>
      <c r="AK109" s="27" t="n">
        <f aca="false">+Y109*'CSF Rates'!G$12</f>
        <v>0</v>
      </c>
      <c r="AL109" s="27" t="n">
        <f aca="false">+Z109*'CSF Rates'!H$12</f>
        <v>0</v>
      </c>
      <c r="AM109" s="27" t="n">
        <f aca="false">+AA109*'CSF Rates'!I$12</f>
        <v>0</v>
      </c>
      <c r="AN109" s="27" t="n">
        <f aca="false">+AB109*'CSF Rates'!J$12</f>
        <v>0</v>
      </c>
      <c r="AO109" s="27" t="n">
        <f aca="false">+AC109*'CSF Rates'!K$12</f>
        <v>0</v>
      </c>
      <c r="AP109" s="27" t="n">
        <f aca="false">+AD109*'CSF Rates'!L$12</f>
        <v>0</v>
      </c>
      <c r="AQ109" s="27" t="n">
        <f aca="false">+AE109*'CSF Rates'!M$12</f>
        <v>0</v>
      </c>
    </row>
    <row r="110" customFormat="false" ht="12.75" hidden="false" customHeight="false" outlineLevel="0" collapsed="false">
      <c r="A110" s="6" t="s">
        <v>97</v>
      </c>
      <c r="B110" s="22" t="s">
        <v>82</v>
      </c>
      <c r="C110" s="0" t="n">
        <v>27456</v>
      </c>
      <c r="D110" s="0" t="n">
        <v>21500</v>
      </c>
      <c r="E110" s="2" t="s">
        <v>60</v>
      </c>
      <c r="F110" s="34" t="n">
        <v>37560</v>
      </c>
      <c r="G110" s="35" t="n">
        <v>37621</v>
      </c>
      <c r="H110" s="24" t="n">
        <v>0</v>
      </c>
      <c r="I110" s="24" t="n">
        <v>0</v>
      </c>
      <c r="J110" s="24" t="n">
        <f aca="false">+G110-"10/31/02"</f>
        <v>61</v>
      </c>
      <c r="K110" s="24" t="n">
        <v>0</v>
      </c>
      <c r="L110" s="24" t="n">
        <v>0</v>
      </c>
      <c r="M110" s="24" t="n">
        <v>0</v>
      </c>
      <c r="N110" s="24" t="n">
        <v>0</v>
      </c>
      <c r="O110" s="24" t="n">
        <v>0</v>
      </c>
      <c r="P110" s="24" t="n">
        <v>0</v>
      </c>
      <c r="Q110" s="24" t="n">
        <v>0</v>
      </c>
      <c r="R110" s="24" t="n">
        <v>0</v>
      </c>
      <c r="S110" s="24" t="n">
        <f aca="false">+G110-F110</f>
        <v>61</v>
      </c>
      <c r="T110" s="24" t="n">
        <f aca="false">SUM(H110:R110)</f>
        <v>61</v>
      </c>
      <c r="U110" s="24" t="n">
        <f aca="false">+H110*$D110</f>
        <v>0</v>
      </c>
      <c r="V110" s="24" t="n">
        <f aca="false">+I110*$D110</f>
        <v>0</v>
      </c>
      <c r="W110" s="24" t="n">
        <f aca="false">+J110*$D110</f>
        <v>1311500</v>
      </c>
      <c r="X110" s="24" t="n">
        <f aca="false">+K110*$D110</f>
        <v>0</v>
      </c>
      <c r="Y110" s="24" t="n">
        <f aca="false">+L110*$D110</f>
        <v>0</v>
      </c>
      <c r="Z110" s="24" t="n">
        <f aca="false">+M110*$D110</f>
        <v>0</v>
      </c>
      <c r="AA110" s="24" t="n">
        <f aca="false">+N110*$D110</f>
        <v>0</v>
      </c>
      <c r="AB110" s="24" t="n">
        <f aca="false">+O110*$D110</f>
        <v>0</v>
      </c>
      <c r="AC110" s="24" t="n">
        <f aca="false">+P110*$D110</f>
        <v>0</v>
      </c>
      <c r="AD110" s="24" t="n">
        <f aca="false">+Q110*$D110</f>
        <v>0</v>
      </c>
      <c r="AE110" s="24" t="n">
        <f aca="false">+R110*$D110</f>
        <v>0</v>
      </c>
      <c r="AG110" s="27" t="n">
        <f aca="false">+U110*'CSF Rates'!C$12</f>
        <v>0</v>
      </c>
      <c r="AH110" s="27" t="n">
        <f aca="false">+V110*'CSF Rates'!D$12</f>
        <v>0</v>
      </c>
      <c r="AI110" s="27" t="n">
        <f aca="false">+W110*'CSF Rates'!E$12</f>
        <v>141337.300821918</v>
      </c>
      <c r="AJ110" s="27" t="n">
        <f aca="false">+X110*'CSF Rates'!F$12</f>
        <v>0</v>
      </c>
      <c r="AK110" s="27" t="n">
        <f aca="false">+Y110*'CSF Rates'!G$12</f>
        <v>0</v>
      </c>
      <c r="AL110" s="27" t="n">
        <f aca="false">+Z110*'CSF Rates'!H$12</f>
        <v>0</v>
      </c>
      <c r="AM110" s="27" t="n">
        <f aca="false">+AA110*'CSF Rates'!I$12</f>
        <v>0</v>
      </c>
      <c r="AN110" s="27" t="n">
        <f aca="false">+AB110*'CSF Rates'!J$12</f>
        <v>0</v>
      </c>
      <c r="AO110" s="27" t="n">
        <f aca="false">+AC110*'CSF Rates'!K$12</f>
        <v>0</v>
      </c>
      <c r="AP110" s="27" t="n">
        <f aca="false">+AD110*'CSF Rates'!L$12</f>
        <v>0</v>
      </c>
      <c r="AQ110" s="27" t="n">
        <f aca="false">+AE110*'CSF Rates'!M$12</f>
        <v>0</v>
      </c>
    </row>
    <row r="111" customFormat="false" ht="12.75" hidden="false" customHeight="false" outlineLevel="0" collapsed="false">
      <c r="A111" s="6" t="s">
        <v>97</v>
      </c>
      <c r="B111" s="22" t="s">
        <v>82</v>
      </c>
      <c r="C111" s="0" t="n">
        <v>27457</v>
      </c>
      <c r="D111" s="0" t="n">
        <v>13500</v>
      </c>
      <c r="E111" s="2" t="s">
        <v>60</v>
      </c>
      <c r="F111" s="34" t="n">
        <v>37225</v>
      </c>
      <c r="G111" s="35" t="n">
        <v>37256</v>
      </c>
      <c r="H111" s="24" t="n">
        <v>0</v>
      </c>
      <c r="I111" s="24" t="n">
        <v>31</v>
      </c>
      <c r="J111" s="24" t="n">
        <v>0</v>
      </c>
      <c r="K111" s="24" t="n">
        <v>0</v>
      </c>
      <c r="L111" s="24" t="n">
        <v>0</v>
      </c>
      <c r="M111" s="24" t="n">
        <v>0</v>
      </c>
      <c r="N111" s="24" t="n">
        <v>0</v>
      </c>
      <c r="O111" s="24" t="n">
        <v>0</v>
      </c>
      <c r="P111" s="24" t="n">
        <v>0</v>
      </c>
      <c r="Q111" s="24" t="n">
        <v>0</v>
      </c>
      <c r="R111" s="24" t="n">
        <v>0</v>
      </c>
      <c r="S111" s="24" t="n">
        <f aca="false">+G111-F111</f>
        <v>31</v>
      </c>
      <c r="T111" s="24" t="n">
        <f aca="false">SUM(H111:R111)</f>
        <v>31</v>
      </c>
      <c r="U111" s="24" t="n">
        <f aca="false">+H111*$D111</f>
        <v>0</v>
      </c>
      <c r="V111" s="24" t="n">
        <f aca="false">+I111*$D111</f>
        <v>418500</v>
      </c>
      <c r="W111" s="24" t="n">
        <f aca="false">+J111*$D111</f>
        <v>0</v>
      </c>
      <c r="X111" s="24" t="n">
        <f aca="false">+K111*$D111</f>
        <v>0</v>
      </c>
      <c r="Y111" s="24" t="n">
        <f aca="false">+L111*$D111</f>
        <v>0</v>
      </c>
      <c r="Z111" s="24" t="n">
        <f aca="false">+M111*$D111</f>
        <v>0</v>
      </c>
      <c r="AA111" s="24" t="n">
        <f aca="false">+N111*$D111</f>
        <v>0</v>
      </c>
      <c r="AB111" s="24" t="n">
        <f aca="false">+O111*$D111</f>
        <v>0</v>
      </c>
      <c r="AC111" s="24" t="n">
        <f aca="false">+P111*$D111</f>
        <v>0</v>
      </c>
      <c r="AD111" s="24" t="n">
        <f aca="false">+Q111*$D111</f>
        <v>0</v>
      </c>
      <c r="AE111" s="24" t="n">
        <f aca="false">+R111*$D111</f>
        <v>0</v>
      </c>
      <c r="AG111" s="27" t="n">
        <f aca="false">+U111*'CSF Rates'!C$12</f>
        <v>0</v>
      </c>
      <c r="AH111" s="27" t="n">
        <f aca="false">+V111*'CSF Rates'!D$12</f>
        <v>44180.0704109589</v>
      </c>
      <c r="AI111" s="27" t="n">
        <f aca="false">+W111*'CSF Rates'!E$12</f>
        <v>0</v>
      </c>
      <c r="AJ111" s="27" t="n">
        <f aca="false">+X111*'CSF Rates'!F$12</f>
        <v>0</v>
      </c>
      <c r="AK111" s="27" t="n">
        <f aca="false">+Y111*'CSF Rates'!G$12</f>
        <v>0</v>
      </c>
      <c r="AL111" s="27" t="n">
        <f aca="false">+Z111*'CSF Rates'!H$12</f>
        <v>0</v>
      </c>
      <c r="AM111" s="27" t="n">
        <f aca="false">+AA111*'CSF Rates'!I$12</f>
        <v>0</v>
      </c>
      <c r="AN111" s="27" t="n">
        <f aca="false">+AB111*'CSF Rates'!J$12</f>
        <v>0</v>
      </c>
      <c r="AO111" s="27" t="n">
        <f aca="false">+AC111*'CSF Rates'!K$12</f>
        <v>0</v>
      </c>
      <c r="AP111" s="27" t="n">
        <f aca="false">+AD111*'CSF Rates'!L$12</f>
        <v>0</v>
      </c>
      <c r="AQ111" s="27" t="n">
        <f aca="false">+AE111*'CSF Rates'!M$12</f>
        <v>0</v>
      </c>
    </row>
    <row r="112" customFormat="false" ht="12.75" hidden="false" customHeight="false" outlineLevel="0" collapsed="false">
      <c r="A112" s="6" t="s">
        <v>97</v>
      </c>
      <c r="B112" s="22" t="s">
        <v>84</v>
      </c>
      <c r="C112" s="0" t="n">
        <v>26125</v>
      </c>
      <c r="D112" s="0" t="n">
        <v>8600</v>
      </c>
      <c r="E112" s="2" t="n">
        <v>0.0279</v>
      </c>
      <c r="F112" s="34" t="n">
        <v>35947</v>
      </c>
      <c r="G112" s="35" t="n">
        <v>37772</v>
      </c>
      <c r="H112" s="24" t="n">
        <v>366</v>
      </c>
      <c r="I112" s="24" t="n">
        <v>365</v>
      </c>
      <c r="J112" s="24" t="n">
        <v>365</v>
      </c>
      <c r="K112" s="24" t="n">
        <f aca="false">G112-"12/31/02"</f>
        <v>151</v>
      </c>
      <c r="L112" s="24" t="n">
        <v>0</v>
      </c>
      <c r="M112" s="24" t="n">
        <v>0</v>
      </c>
      <c r="N112" s="24" t="n">
        <v>0</v>
      </c>
      <c r="O112" s="24" t="n">
        <v>0</v>
      </c>
      <c r="P112" s="24" t="n">
        <v>0</v>
      </c>
      <c r="Q112" s="24" t="n">
        <v>0</v>
      </c>
      <c r="R112" s="24" t="n">
        <v>0</v>
      </c>
      <c r="S112" s="24"/>
      <c r="T112" s="28"/>
      <c r="U112" s="24" t="n">
        <f aca="false">+H112*$D112</f>
        <v>3147600</v>
      </c>
      <c r="V112" s="24" t="n">
        <f aca="false">+I112*$D112</f>
        <v>3139000</v>
      </c>
      <c r="W112" s="24" t="n">
        <f aca="false">+J112*$D112</f>
        <v>3139000</v>
      </c>
      <c r="X112" s="24" t="n">
        <f aca="false">+K112*$D112</f>
        <v>1298600</v>
      </c>
      <c r="Y112" s="24" t="n">
        <f aca="false">+L112*$D112</f>
        <v>0</v>
      </c>
      <c r="Z112" s="24" t="n">
        <f aca="false">+M112*$D112</f>
        <v>0</v>
      </c>
      <c r="AA112" s="24" t="n">
        <f aca="false">+N112*$D112</f>
        <v>0</v>
      </c>
      <c r="AB112" s="24" t="n">
        <f aca="false">+O112*$D112</f>
        <v>0</v>
      </c>
      <c r="AC112" s="24" t="n">
        <f aca="false">+P112*$D112</f>
        <v>0</v>
      </c>
      <c r="AD112" s="24" t="n">
        <f aca="false">+Q112*$D112</f>
        <v>0</v>
      </c>
      <c r="AE112" s="24" t="n">
        <f aca="false">+R112*$D112</f>
        <v>0</v>
      </c>
      <c r="AG112" s="27" t="n">
        <f aca="false">+U112*$E112</f>
        <v>87818.04</v>
      </c>
      <c r="AH112" s="27" t="n">
        <f aca="false">+V112*$E112</f>
        <v>87578.1</v>
      </c>
      <c r="AI112" s="27" t="n">
        <f aca="false">+W112*$E112</f>
        <v>87578.1</v>
      </c>
      <c r="AJ112" s="27" t="n">
        <f aca="false">+X112*$E112</f>
        <v>36230.94</v>
      </c>
      <c r="AK112" s="27" t="n">
        <f aca="false">+Y112*$E112</f>
        <v>0</v>
      </c>
      <c r="AL112" s="27" t="n">
        <f aca="false">+Z112*$E112</f>
        <v>0</v>
      </c>
      <c r="AM112" s="27" t="n">
        <f aca="false">+AA112*$E112</f>
        <v>0</v>
      </c>
      <c r="AN112" s="27" t="n">
        <f aca="false">+AB112*$E112</f>
        <v>0</v>
      </c>
      <c r="AO112" s="27" t="n">
        <f aca="false">+AC112*$E112</f>
        <v>0</v>
      </c>
      <c r="AP112" s="27" t="n">
        <f aca="false">+AD112*$E112</f>
        <v>0</v>
      </c>
      <c r="AQ112" s="27" t="n">
        <f aca="false">+AE112*$E112</f>
        <v>0</v>
      </c>
    </row>
    <row r="113" customFormat="false" ht="12.75" hidden="false" customHeight="false" outlineLevel="0" collapsed="false">
      <c r="A113" s="6" t="s">
        <v>97</v>
      </c>
      <c r="B113" s="22" t="s">
        <v>85</v>
      </c>
      <c r="C113" s="0" t="n">
        <v>26884</v>
      </c>
      <c r="D113" s="0" t="n">
        <v>40000</v>
      </c>
      <c r="E113" s="2" t="s">
        <v>60</v>
      </c>
      <c r="F113" s="34" t="n">
        <v>36646</v>
      </c>
      <c r="G113" s="35" t="n">
        <v>38656</v>
      </c>
      <c r="H113" s="24" t="n">
        <f aca="false">"1/1/2001"-"5/1/2000"</f>
        <v>245</v>
      </c>
      <c r="I113" s="24" t="n">
        <v>365</v>
      </c>
      <c r="J113" s="24" t="n">
        <v>365</v>
      </c>
      <c r="K113" s="24" t="n">
        <v>365</v>
      </c>
      <c r="L113" s="24" t="n">
        <v>366</v>
      </c>
      <c r="M113" s="24" t="n">
        <f aca="false">+G113-"12/31/04"</f>
        <v>304</v>
      </c>
      <c r="N113" s="24" t="n">
        <v>0</v>
      </c>
      <c r="O113" s="24" t="n">
        <v>0</v>
      </c>
      <c r="P113" s="24" t="n">
        <v>0</v>
      </c>
      <c r="Q113" s="24" t="n">
        <v>0</v>
      </c>
      <c r="R113" s="24" t="n">
        <v>0</v>
      </c>
      <c r="S113" s="24" t="n">
        <f aca="false">+G113-F113</f>
        <v>2010</v>
      </c>
      <c r="T113" s="24" t="n">
        <f aca="false">SUM(H113:R113)</f>
        <v>2010</v>
      </c>
      <c r="U113" s="24" t="n">
        <f aca="false">+H113*$D113</f>
        <v>9800000</v>
      </c>
      <c r="V113" s="24" t="n">
        <f aca="false">+I113*$D113</f>
        <v>14600000</v>
      </c>
      <c r="W113" s="24" t="n">
        <f aca="false">+J113*$D113</f>
        <v>14600000</v>
      </c>
      <c r="X113" s="24" t="n">
        <f aca="false">+K113*$D113</f>
        <v>14600000</v>
      </c>
      <c r="Y113" s="24" t="n">
        <f aca="false">+L113*$D113</f>
        <v>14640000</v>
      </c>
      <c r="Z113" s="24" t="n">
        <f aca="false">+M113*$D113</f>
        <v>12160000</v>
      </c>
      <c r="AA113" s="24" t="n">
        <f aca="false">+N113*$D113</f>
        <v>0</v>
      </c>
      <c r="AB113" s="24" t="n">
        <f aca="false">+O113*$D113</f>
        <v>0</v>
      </c>
      <c r="AC113" s="24" t="n">
        <f aca="false">+P113*$D113</f>
        <v>0</v>
      </c>
      <c r="AD113" s="24" t="n">
        <f aca="false">+Q113*$D113</f>
        <v>0</v>
      </c>
      <c r="AE113" s="24" t="n">
        <f aca="false">+R113*$D113</f>
        <v>0</v>
      </c>
      <c r="AG113" s="27" t="n">
        <f aca="false">+U113*'CSF Rates'!C$12</f>
        <v>1013810</v>
      </c>
      <c r="AH113" s="27" t="n">
        <f aca="false">+V113*'CSF Rates'!D$12</f>
        <v>1541288</v>
      </c>
      <c r="AI113" s="27" t="n">
        <f aca="false">+W113*'CSF Rates'!E$12</f>
        <v>1573408</v>
      </c>
      <c r="AJ113" s="27" t="n">
        <f aca="false">+X113*'CSF Rates'!F$12</f>
        <v>1605528</v>
      </c>
      <c r="AK113" s="27" t="n">
        <f aca="false">+Y113*'CSF Rates'!G$12</f>
        <v>1642364</v>
      </c>
      <c r="AL113" s="27" t="n">
        <f aca="false">+Z113*'CSF Rates'!H$12</f>
        <v>1392130.10410959</v>
      </c>
      <c r="AM113" s="27" t="n">
        <f aca="false">+AA113*'CSF Rates'!I$12</f>
        <v>0</v>
      </c>
      <c r="AN113" s="27" t="n">
        <f aca="false">+AB113*'CSF Rates'!J$12</f>
        <v>0</v>
      </c>
      <c r="AO113" s="27" t="n">
        <f aca="false">+AC113*'CSF Rates'!K$12</f>
        <v>0</v>
      </c>
      <c r="AP113" s="27" t="n">
        <f aca="false">+AD113*'CSF Rates'!L$12</f>
        <v>0</v>
      </c>
      <c r="AQ113" s="27" t="n">
        <f aca="false">+AE113*'CSF Rates'!M$12</f>
        <v>0</v>
      </c>
    </row>
    <row r="114" customFormat="false" ht="12.75" hidden="false" customHeight="false" outlineLevel="0" collapsed="false">
      <c r="A114" s="6" t="s">
        <v>97</v>
      </c>
      <c r="B114" s="22" t="s">
        <v>86</v>
      </c>
      <c r="C114" s="0" t="n">
        <v>26678</v>
      </c>
      <c r="D114" s="0" t="n">
        <v>25000</v>
      </c>
      <c r="E114" s="2" t="s">
        <v>60</v>
      </c>
      <c r="F114" s="34" t="n">
        <v>36525</v>
      </c>
      <c r="G114" s="35" t="n">
        <v>39172</v>
      </c>
      <c r="H114" s="24" t="n">
        <v>366</v>
      </c>
      <c r="I114" s="24" t="n">
        <v>365</v>
      </c>
      <c r="J114" s="24" t="n">
        <v>365</v>
      </c>
      <c r="K114" s="24" t="n">
        <v>365</v>
      </c>
      <c r="L114" s="24" t="n">
        <v>366</v>
      </c>
      <c r="M114" s="24" t="n">
        <v>365</v>
      </c>
      <c r="N114" s="24" t="n">
        <v>365</v>
      </c>
      <c r="O114" s="24" t="n">
        <f aca="false">+G114-"12/31/06"</f>
        <v>90</v>
      </c>
      <c r="P114" s="24" t="n">
        <v>0</v>
      </c>
      <c r="Q114" s="24" t="n">
        <v>0</v>
      </c>
      <c r="R114" s="24" t="n">
        <v>0</v>
      </c>
      <c r="S114" s="24" t="n">
        <f aca="false">+G114-F114</f>
        <v>2647</v>
      </c>
      <c r="T114" s="24" t="n">
        <f aca="false">SUM(H114:R114)</f>
        <v>2647</v>
      </c>
      <c r="U114" s="24" t="n">
        <f aca="false">+H114*$D114</f>
        <v>9150000</v>
      </c>
      <c r="V114" s="24" t="n">
        <f aca="false">+I114*$D114</f>
        <v>9125000</v>
      </c>
      <c r="W114" s="24" t="n">
        <f aca="false">+J114*$D114</f>
        <v>9125000</v>
      </c>
      <c r="X114" s="24" t="n">
        <f aca="false">+K114*$D114</f>
        <v>9125000</v>
      </c>
      <c r="Y114" s="24" t="n">
        <f aca="false">+L114*$D114</f>
        <v>9150000</v>
      </c>
      <c r="Z114" s="24" t="n">
        <f aca="false">+M114*$D114</f>
        <v>9125000</v>
      </c>
      <c r="AA114" s="24" t="n">
        <f aca="false">+N114*$D114</f>
        <v>9125000</v>
      </c>
      <c r="AB114" s="24" t="n">
        <f aca="false">+O114*$D114</f>
        <v>2250000</v>
      </c>
      <c r="AC114" s="24" t="n">
        <f aca="false">+P114*$D114</f>
        <v>0</v>
      </c>
      <c r="AD114" s="24" t="n">
        <f aca="false">+Q114*$D114</f>
        <v>0</v>
      </c>
      <c r="AE114" s="24" t="n">
        <f aca="false">+R114*$D114</f>
        <v>0</v>
      </c>
      <c r="AG114" s="27" t="n">
        <f aca="false">+U114*'CSF Rates'!C$12</f>
        <v>946567.5</v>
      </c>
      <c r="AH114" s="27" t="n">
        <f aca="false">+V114*'CSF Rates'!D$12</f>
        <v>963305</v>
      </c>
      <c r="AI114" s="27" t="n">
        <f aca="false">+W114*'CSF Rates'!E$12</f>
        <v>983380</v>
      </c>
      <c r="AJ114" s="27" t="n">
        <f aca="false">+X114*'CSF Rates'!F$12</f>
        <v>1003455</v>
      </c>
      <c r="AK114" s="27" t="n">
        <f aca="false">+Y114*'CSF Rates'!G$12</f>
        <v>1026477.5</v>
      </c>
      <c r="AL114" s="27" t="n">
        <f aca="false">+Z114*'CSF Rates'!H$12</f>
        <v>1044670</v>
      </c>
      <c r="AM114" s="27" t="n">
        <f aca="false">+AA114*'CSF Rates'!I$12</f>
        <v>1065810</v>
      </c>
      <c r="AN114" s="27" t="n">
        <f aca="false">+AB114*'CSF Rates'!J$12</f>
        <v>268202.465753425</v>
      </c>
      <c r="AO114" s="27" t="n">
        <f aca="false">+AC114*'CSF Rates'!K$12</f>
        <v>0</v>
      </c>
      <c r="AP114" s="27" t="n">
        <f aca="false">+AD114*'CSF Rates'!L$12</f>
        <v>0</v>
      </c>
      <c r="AQ114" s="27" t="n">
        <f aca="false">+AE114*'CSF Rates'!M$12</f>
        <v>0</v>
      </c>
    </row>
    <row r="115" customFormat="false" ht="12.75" hidden="false" customHeight="false" outlineLevel="0" collapsed="false">
      <c r="A115" s="6" t="s">
        <v>97</v>
      </c>
      <c r="B115" s="22" t="s">
        <v>52</v>
      </c>
      <c r="C115" s="0" t="n">
        <v>25847</v>
      </c>
      <c r="D115" s="0" t="n">
        <v>20000</v>
      </c>
      <c r="E115" s="2" t="n">
        <v>0.126</v>
      </c>
      <c r="F115" s="34"/>
      <c r="G115" s="35" t="n">
        <v>36556</v>
      </c>
      <c r="H115" s="36" t="n">
        <f aca="false">G115-"12/31/99"</f>
        <v>31</v>
      </c>
      <c r="I115" s="36" t="n">
        <v>0</v>
      </c>
      <c r="J115" s="36" t="n">
        <v>0</v>
      </c>
      <c r="K115" s="36" t="n">
        <v>0</v>
      </c>
      <c r="L115" s="36" t="n">
        <v>0</v>
      </c>
      <c r="M115" s="36" t="n">
        <v>0</v>
      </c>
      <c r="N115" s="36" t="n">
        <v>0</v>
      </c>
      <c r="O115" s="36" t="n">
        <v>0</v>
      </c>
      <c r="P115" s="36" t="n">
        <v>0</v>
      </c>
      <c r="Q115" s="36" t="n">
        <v>0</v>
      </c>
      <c r="R115" s="36" t="n">
        <v>0</v>
      </c>
      <c r="S115" s="24"/>
      <c r="T115" s="28"/>
      <c r="U115" s="24" t="n">
        <f aca="false">+H115*$D115</f>
        <v>620000</v>
      </c>
      <c r="V115" s="24" t="n">
        <f aca="false">+I115*$D115</f>
        <v>0</v>
      </c>
      <c r="W115" s="24" t="n">
        <f aca="false">+J115*$D115</f>
        <v>0</v>
      </c>
      <c r="X115" s="24" t="n">
        <f aca="false">+K115*$D115</f>
        <v>0</v>
      </c>
      <c r="Y115" s="24" t="n">
        <f aca="false">+L115*$D115</f>
        <v>0</v>
      </c>
      <c r="Z115" s="24" t="n">
        <f aca="false">+M115*$D115</f>
        <v>0</v>
      </c>
      <c r="AA115" s="24" t="n">
        <f aca="false">+N115*$D115</f>
        <v>0</v>
      </c>
      <c r="AB115" s="24" t="n">
        <f aca="false">+O115*$D115</f>
        <v>0</v>
      </c>
      <c r="AC115" s="24" t="n">
        <f aca="false">+P115*$D115</f>
        <v>0</v>
      </c>
      <c r="AD115" s="24" t="n">
        <f aca="false">+Q115*$D115</f>
        <v>0</v>
      </c>
      <c r="AE115" s="24" t="n">
        <f aca="false">+R115*$D115</f>
        <v>0</v>
      </c>
      <c r="AG115" s="27" t="n">
        <f aca="false">+U115*$E115</f>
        <v>78120</v>
      </c>
      <c r="AH115" s="27" t="n">
        <f aca="false">+V115*$E115</f>
        <v>0</v>
      </c>
      <c r="AI115" s="27" t="n">
        <f aca="false">+W115*$E115</f>
        <v>0</v>
      </c>
      <c r="AJ115" s="27" t="n">
        <f aca="false">+X115*$E115</f>
        <v>0</v>
      </c>
      <c r="AK115" s="27" t="n">
        <f aca="false">+Y115*$E115</f>
        <v>0</v>
      </c>
      <c r="AL115" s="27" t="n">
        <f aca="false">+Z115*$E115</f>
        <v>0</v>
      </c>
      <c r="AM115" s="27" t="n">
        <f aca="false">+AA115*$E115</f>
        <v>0</v>
      </c>
      <c r="AN115" s="27" t="n">
        <f aca="false">+AB115*$E115</f>
        <v>0</v>
      </c>
      <c r="AO115" s="27" t="n">
        <f aca="false">+AC115*$E115</f>
        <v>0</v>
      </c>
      <c r="AP115" s="27" t="n">
        <f aca="false">+AD115*$E115</f>
        <v>0</v>
      </c>
      <c r="AQ115" s="27" t="n">
        <f aca="false">+AE115*$E115</f>
        <v>0</v>
      </c>
    </row>
    <row r="116" customFormat="false" ht="12.75" hidden="false" customHeight="false" outlineLevel="0" collapsed="false">
      <c r="A116" s="6" t="s">
        <v>97</v>
      </c>
      <c r="B116" s="22" t="s">
        <v>87</v>
      </c>
      <c r="C116" s="0" t="n">
        <v>27581</v>
      </c>
      <c r="D116" s="0" t="n">
        <v>27500</v>
      </c>
      <c r="E116" s="2" t="s">
        <v>60</v>
      </c>
      <c r="F116" s="34" t="n">
        <v>37196</v>
      </c>
      <c r="G116" s="35" t="n">
        <v>37925</v>
      </c>
      <c r="H116" s="24" t="n">
        <v>0</v>
      </c>
      <c r="I116" s="24" t="n">
        <v>30</v>
      </c>
      <c r="J116" s="24" t="n">
        <v>0</v>
      </c>
      <c r="K116" s="24" t="n">
        <v>0</v>
      </c>
      <c r="L116" s="24" t="n">
        <v>0</v>
      </c>
      <c r="M116" s="24" t="n">
        <v>0</v>
      </c>
      <c r="N116" s="24" t="n">
        <v>0</v>
      </c>
      <c r="O116" s="24" t="n">
        <v>0</v>
      </c>
      <c r="P116" s="24" t="n">
        <v>0</v>
      </c>
      <c r="Q116" s="24" t="n">
        <v>0</v>
      </c>
      <c r="R116" s="24" t="n">
        <v>0</v>
      </c>
      <c r="S116" s="24" t="n">
        <f aca="false">+G116-F116</f>
        <v>729</v>
      </c>
      <c r="T116" s="24" t="n">
        <f aca="false">SUM(H116:R116)</f>
        <v>30</v>
      </c>
      <c r="U116" s="24" t="n">
        <f aca="false">+H116*$D116</f>
        <v>0</v>
      </c>
      <c r="V116" s="24" t="n">
        <f aca="false">+I116*$D116</f>
        <v>825000</v>
      </c>
      <c r="W116" s="24" t="n">
        <f aca="false">+J116*$D116</f>
        <v>0</v>
      </c>
      <c r="X116" s="24" t="n">
        <f aca="false">+K116*$D116</f>
        <v>0</v>
      </c>
      <c r="Y116" s="24" t="n">
        <f aca="false">+L116*$D116</f>
        <v>0</v>
      </c>
      <c r="Z116" s="24" t="n">
        <f aca="false">+M116*$D116</f>
        <v>0</v>
      </c>
      <c r="AA116" s="24" t="n">
        <f aca="false">+N116*$D116</f>
        <v>0</v>
      </c>
      <c r="AB116" s="24" t="n">
        <f aca="false">+O116*$D116</f>
        <v>0</v>
      </c>
      <c r="AC116" s="24" t="n">
        <f aca="false">+P116*$D116</f>
        <v>0</v>
      </c>
      <c r="AD116" s="24" t="n">
        <f aca="false">+Q116*$D116</f>
        <v>0</v>
      </c>
      <c r="AE116" s="24" t="n">
        <f aca="false">+R116*$D116</f>
        <v>0</v>
      </c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customFormat="false" ht="12.75" hidden="false" customHeight="false" outlineLevel="0" collapsed="false">
      <c r="A117" s="6" t="s">
        <v>97</v>
      </c>
      <c r="B117" s="22" t="s">
        <v>87</v>
      </c>
      <c r="C117" s="0" t="n">
        <v>27581</v>
      </c>
      <c r="D117" s="0" t="n">
        <v>14000</v>
      </c>
      <c r="E117" s="2" t="s">
        <v>60</v>
      </c>
      <c r="F117" s="34" t="n">
        <v>37196</v>
      </c>
      <c r="G117" s="35" t="n">
        <v>37925</v>
      </c>
      <c r="H117" s="24" t="n">
        <v>0</v>
      </c>
      <c r="I117" s="24" t="n">
        <v>31</v>
      </c>
      <c r="J117" s="24" t="n">
        <v>214</v>
      </c>
      <c r="K117" s="24" t="n">
        <v>214</v>
      </c>
      <c r="L117" s="24" t="n">
        <v>0</v>
      </c>
      <c r="M117" s="24" t="n">
        <v>0</v>
      </c>
      <c r="N117" s="24" t="n">
        <v>0</v>
      </c>
      <c r="O117" s="24" t="n">
        <v>0</v>
      </c>
      <c r="P117" s="24" t="n">
        <v>0</v>
      </c>
      <c r="Q117" s="24" t="n">
        <v>0</v>
      </c>
      <c r="R117" s="24" t="n">
        <v>0</v>
      </c>
      <c r="S117" s="24" t="n">
        <f aca="false">+G117-F117</f>
        <v>729</v>
      </c>
      <c r="T117" s="24" t="n">
        <f aca="false">SUM(H117:R117)</f>
        <v>459</v>
      </c>
      <c r="U117" s="24" t="n">
        <f aca="false">+H117*$D117</f>
        <v>0</v>
      </c>
      <c r="V117" s="24" t="n">
        <f aca="false">+I117*$D117</f>
        <v>434000</v>
      </c>
      <c r="W117" s="24" t="n">
        <f aca="false">+J117*$D117</f>
        <v>2996000</v>
      </c>
      <c r="X117" s="24" t="n">
        <f aca="false">+K117*$D117</f>
        <v>2996000</v>
      </c>
      <c r="Y117" s="24" t="n">
        <f aca="false">+L117*$D117</f>
        <v>0</v>
      </c>
      <c r="Z117" s="24" t="n">
        <f aca="false">+M117*$D117</f>
        <v>0</v>
      </c>
      <c r="AA117" s="24" t="n">
        <f aca="false">+N117*$D117</f>
        <v>0</v>
      </c>
      <c r="AB117" s="24" t="n">
        <f aca="false">+O117*$D117</f>
        <v>0</v>
      </c>
      <c r="AC117" s="24" t="n">
        <f aca="false">+P117*$D117</f>
        <v>0</v>
      </c>
      <c r="AD117" s="24" t="n">
        <f aca="false">+Q117*$D117</f>
        <v>0</v>
      </c>
      <c r="AE117" s="24" t="n">
        <f aca="false">+R117*$D117</f>
        <v>0</v>
      </c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customFormat="false" ht="12.75" hidden="false" customHeight="false" outlineLevel="0" collapsed="false">
      <c r="A118" s="6" t="s">
        <v>97</v>
      </c>
      <c r="B118" s="22" t="s">
        <v>101</v>
      </c>
      <c r="D118" s="0" t="n">
        <v>3400</v>
      </c>
      <c r="E118" s="2"/>
      <c r="F118" s="34"/>
      <c r="G118" s="35"/>
      <c r="H118" s="24" t="n">
        <v>0</v>
      </c>
      <c r="I118" s="24" t="n">
        <v>365</v>
      </c>
      <c r="J118" s="24" t="n">
        <v>365</v>
      </c>
      <c r="K118" s="24" t="n">
        <v>365</v>
      </c>
      <c r="L118" s="24" t="n">
        <v>366</v>
      </c>
      <c r="M118" s="24" t="n">
        <v>365</v>
      </c>
      <c r="N118" s="24" t="n">
        <v>0</v>
      </c>
      <c r="O118" s="24" t="n">
        <v>0</v>
      </c>
      <c r="P118" s="24" t="n">
        <v>0</v>
      </c>
      <c r="Q118" s="24" t="n">
        <v>0</v>
      </c>
      <c r="R118" s="24" t="n">
        <v>0</v>
      </c>
      <c r="S118" s="24" t="n">
        <f aca="false">+G118-F118</f>
        <v>0</v>
      </c>
      <c r="T118" s="24" t="n">
        <f aca="false">SUM(H118:R118)</f>
        <v>1826</v>
      </c>
      <c r="U118" s="24" t="n">
        <f aca="false">+H118*$D118</f>
        <v>0</v>
      </c>
      <c r="V118" s="24" t="n">
        <f aca="false">+I118*$D118</f>
        <v>1241000</v>
      </c>
      <c r="W118" s="24" t="n">
        <f aca="false">+J118*$D118</f>
        <v>1241000</v>
      </c>
      <c r="X118" s="24" t="n">
        <f aca="false">+K118*$D118</f>
        <v>1241000</v>
      </c>
      <c r="Y118" s="24" t="n">
        <f aca="false">+L118*$D118</f>
        <v>1244400</v>
      </c>
      <c r="Z118" s="24" t="n">
        <f aca="false">+M118*$D118</f>
        <v>1241000</v>
      </c>
      <c r="AA118" s="24" t="n">
        <f aca="false">+N118*$D118</f>
        <v>0</v>
      </c>
      <c r="AB118" s="24" t="n">
        <f aca="false">+O118*$D118</f>
        <v>0</v>
      </c>
      <c r="AC118" s="24" t="n">
        <f aca="false">+P118*$D118</f>
        <v>0</v>
      </c>
      <c r="AD118" s="24" t="n">
        <f aca="false">+Q118*$D118</f>
        <v>0</v>
      </c>
      <c r="AE118" s="24" t="n">
        <f aca="false">+R118*$D118</f>
        <v>0</v>
      </c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customFormat="false" ht="12.75" hidden="false" customHeight="false" outlineLevel="0" collapsed="false">
      <c r="A119" s="6" t="s">
        <v>97</v>
      </c>
      <c r="B119" s="22" t="s">
        <v>54</v>
      </c>
      <c r="C119" s="0" t="n">
        <v>26123</v>
      </c>
      <c r="D119" s="0" t="n">
        <v>2900</v>
      </c>
      <c r="E119" s="2" t="n">
        <v>0.15</v>
      </c>
      <c r="F119" s="34"/>
      <c r="G119" s="35" t="n">
        <v>36616</v>
      </c>
      <c r="H119" s="36" t="n">
        <f aca="false">G119-"12/31/99"</f>
        <v>91</v>
      </c>
      <c r="I119" s="36" t="n">
        <v>0</v>
      </c>
      <c r="J119" s="36" t="n">
        <v>0</v>
      </c>
      <c r="K119" s="36" t="n">
        <v>0</v>
      </c>
      <c r="L119" s="36" t="n">
        <v>0</v>
      </c>
      <c r="M119" s="36" t="n">
        <v>0</v>
      </c>
      <c r="N119" s="36" t="n">
        <v>0</v>
      </c>
      <c r="O119" s="36" t="n">
        <v>0</v>
      </c>
      <c r="P119" s="36" t="n">
        <v>0</v>
      </c>
      <c r="Q119" s="36" t="n">
        <v>0</v>
      </c>
      <c r="R119" s="36" t="n">
        <v>0</v>
      </c>
      <c r="S119" s="24"/>
      <c r="T119" s="28"/>
      <c r="U119" s="24" t="n">
        <f aca="false">+H119*$D119</f>
        <v>263900</v>
      </c>
      <c r="V119" s="24" t="n">
        <f aca="false">+I119*$D119</f>
        <v>0</v>
      </c>
      <c r="W119" s="24" t="n">
        <f aca="false">+J119*$D119</f>
        <v>0</v>
      </c>
      <c r="X119" s="24" t="n">
        <f aca="false">+K119*$D119</f>
        <v>0</v>
      </c>
      <c r="Y119" s="24" t="n">
        <f aca="false">+L119*$D119</f>
        <v>0</v>
      </c>
      <c r="Z119" s="24" t="n">
        <f aca="false">+M119*$D119</f>
        <v>0</v>
      </c>
      <c r="AA119" s="24" t="n">
        <f aca="false">+N119*$D119</f>
        <v>0</v>
      </c>
      <c r="AB119" s="24" t="n">
        <f aca="false">+O119*$D119</f>
        <v>0</v>
      </c>
      <c r="AC119" s="24" t="n">
        <f aca="false">+P119*$D119</f>
        <v>0</v>
      </c>
      <c r="AD119" s="24" t="n">
        <f aca="false">+Q119*$D119</f>
        <v>0</v>
      </c>
      <c r="AE119" s="24" t="n">
        <f aca="false">+R119*$D119</f>
        <v>0</v>
      </c>
      <c r="AG119" s="27" t="n">
        <f aca="false">+U119*$E119</f>
        <v>39585</v>
      </c>
      <c r="AH119" s="27" t="n">
        <f aca="false">+V119*$E119</f>
        <v>0</v>
      </c>
      <c r="AI119" s="27" t="n">
        <f aca="false">+W119*$E119</f>
        <v>0</v>
      </c>
      <c r="AJ119" s="27" t="n">
        <f aca="false">+X119*$E119</f>
        <v>0</v>
      </c>
      <c r="AK119" s="27" t="n">
        <f aca="false">+Y119*$E119</f>
        <v>0</v>
      </c>
      <c r="AL119" s="27" t="n">
        <f aca="false">+Z119*$E119</f>
        <v>0</v>
      </c>
      <c r="AM119" s="27" t="n">
        <f aca="false">+AA119*$E119</f>
        <v>0</v>
      </c>
      <c r="AN119" s="27" t="n">
        <f aca="false">+AB119*$E119</f>
        <v>0</v>
      </c>
      <c r="AO119" s="27" t="n">
        <f aca="false">+AC119*$E119</f>
        <v>0</v>
      </c>
      <c r="AP119" s="27" t="n">
        <f aca="false">+AD119*$E119</f>
        <v>0</v>
      </c>
      <c r="AQ119" s="27" t="n">
        <f aca="false">+AE119*$E119</f>
        <v>0</v>
      </c>
    </row>
    <row r="120" customFormat="false" ht="12.75" hidden="false" customHeight="false" outlineLevel="0" collapsed="false">
      <c r="A120" s="6" t="s">
        <v>97</v>
      </c>
      <c r="B120" s="22" t="s">
        <v>54</v>
      </c>
      <c r="C120" s="0" t="n">
        <v>26813</v>
      </c>
      <c r="D120" s="0" t="n">
        <v>3500</v>
      </c>
      <c r="E120" s="2" t="s">
        <v>60</v>
      </c>
      <c r="F120" s="34" t="n">
        <v>36646</v>
      </c>
      <c r="G120" s="35" t="n">
        <v>39506</v>
      </c>
      <c r="H120" s="24" t="n">
        <v>245</v>
      </c>
      <c r="I120" s="24" t="n">
        <v>365</v>
      </c>
      <c r="J120" s="24" t="n">
        <v>365</v>
      </c>
      <c r="K120" s="24" t="n">
        <v>365</v>
      </c>
      <c r="L120" s="24" t="n">
        <v>366</v>
      </c>
      <c r="M120" s="24" t="n">
        <v>365</v>
      </c>
      <c r="N120" s="24" t="n">
        <v>365</v>
      </c>
      <c r="O120" s="24" t="n">
        <v>365</v>
      </c>
      <c r="P120" s="24" t="n">
        <f aca="false">+G120-"12/31/2007"</f>
        <v>59</v>
      </c>
      <c r="Q120" s="24" t="n">
        <v>0</v>
      </c>
      <c r="R120" s="24" t="n">
        <v>0</v>
      </c>
      <c r="S120" s="24" t="n">
        <f aca="false">+G120-F120</f>
        <v>2860</v>
      </c>
      <c r="T120" s="24" t="n">
        <f aca="false">SUM(H120:R120)</f>
        <v>2860</v>
      </c>
      <c r="U120" s="24" t="n">
        <f aca="false">+H120*$D120</f>
        <v>857500</v>
      </c>
      <c r="V120" s="24" t="n">
        <f aca="false">+I120*$D120</f>
        <v>1277500</v>
      </c>
      <c r="W120" s="24" t="n">
        <f aca="false">+J120*$D120</f>
        <v>1277500</v>
      </c>
      <c r="X120" s="24" t="n">
        <f aca="false">+K120*$D120</f>
        <v>1277500</v>
      </c>
      <c r="Y120" s="24" t="n">
        <f aca="false">+L120*$D120</f>
        <v>1281000</v>
      </c>
      <c r="Z120" s="24" t="n">
        <f aca="false">+M120*$D120</f>
        <v>1277500</v>
      </c>
      <c r="AA120" s="24" t="n">
        <f aca="false">+N120*$D120</f>
        <v>1277500</v>
      </c>
      <c r="AB120" s="24" t="n">
        <f aca="false">+O120*$D120</f>
        <v>1277500</v>
      </c>
      <c r="AC120" s="24" t="n">
        <f aca="false">+P120*$D120</f>
        <v>206500</v>
      </c>
      <c r="AD120" s="24" t="n">
        <f aca="false">+Q120*$D120</f>
        <v>0</v>
      </c>
      <c r="AE120" s="24" t="n">
        <f aca="false">+R120*$D120</f>
        <v>0</v>
      </c>
      <c r="AG120" s="27" t="n">
        <f aca="false">+U120*'CSF Rates'!C$12</f>
        <v>88708.375</v>
      </c>
      <c r="AH120" s="27" t="n">
        <f aca="false">+V120*'CSF Rates'!D$12</f>
        <v>134862.7</v>
      </c>
      <c r="AI120" s="27" t="n">
        <f aca="false">+W120*'CSF Rates'!E$12</f>
        <v>137673.2</v>
      </c>
      <c r="AJ120" s="27" t="n">
        <f aca="false">+X120*'CSF Rates'!F$12</f>
        <v>140483.7</v>
      </c>
      <c r="AK120" s="27" t="n">
        <f aca="false">+Y120*'CSF Rates'!G$12</f>
        <v>143706.85</v>
      </c>
      <c r="AL120" s="27" t="n">
        <f aca="false">+Z120*'CSF Rates'!H$12</f>
        <v>146253.8</v>
      </c>
      <c r="AM120" s="27" t="n">
        <f aca="false">+AA120*'CSF Rates'!I$12</f>
        <v>149213.4</v>
      </c>
      <c r="AN120" s="27" t="n">
        <f aca="false">+AB120*'CSF Rates'!J$12</f>
        <v>152279.4</v>
      </c>
      <c r="AO120" s="27" t="n">
        <f aca="false">+AC120*'CSF Rates'!K$12</f>
        <v>25027.8</v>
      </c>
      <c r="AP120" s="27" t="n">
        <f aca="false">+AD120*'CSF Rates'!L$12</f>
        <v>0</v>
      </c>
      <c r="AQ120" s="27" t="n">
        <f aca="false">+AE120*'CSF Rates'!M$12</f>
        <v>0</v>
      </c>
    </row>
    <row r="121" customFormat="false" ht="12.75" hidden="false" customHeight="false" outlineLevel="0" collapsed="false">
      <c r="A121" s="6" t="s">
        <v>97</v>
      </c>
      <c r="B121" s="22" t="s">
        <v>54</v>
      </c>
      <c r="C121" s="0" t="n">
        <v>27583</v>
      </c>
      <c r="D121" s="0" t="n">
        <v>1300</v>
      </c>
      <c r="E121" s="2"/>
      <c r="F121" s="34" t="n">
        <v>37012</v>
      </c>
      <c r="G121" s="35" t="n">
        <v>37407</v>
      </c>
      <c r="H121" s="24" t="n">
        <v>0</v>
      </c>
      <c r="I121" s="36" t="n">
        <f aca="false">"1/01/02"-F121</f>
        <v>245</v>
      </c>
      <c r="J121" s="39" t="n">
        <f aca="false">+G121-"12/31/01"</f>
        <v>151</v>
      </c>
      <c r="K121" s="24" t="n">
        <v>0</v>
      </c>
      <c r="L121" s="24" t="n">
        <v>0</v>
      </c>
      <c r="M121" s="24" t="n">
        <v>0</v>
      </c>
      <c r="N121" s="24" t="n">
        <v>0</v>
      </c>
      <c r="O121" s="24" t="n">
        <v>0</v>
      </c>
      <c r="P121" s="24" t="n">
        <v>0</v>
      </c>
      <c r="Q121" s="24" t="n">
        <v>0</v>
      </c>
      <c r="R121" s="24" t="n">
        <v>0</v>
      </c>
      <c r="S121" s="24" t="n">
        <f aca="false">+G121-F121</f>
        <v>395</v>
      </c>
      <c r="T121" s="24"/>
      <c r="U121" s="24" t="n">
        <f aca="false">+H121*$D121</f>
        <v>0</v>
      </c>
      <c r="V121" s="24"/>
      <c r="W121" s="24"/>
      <c r="X121" s="24" t="n">
        <f aca="false">+K121*$D121</f>
        <v>0</v>
      </c>
      <c r="Y121" s="24"/>
      <c r="Z121" s="24"/>
      <c r="AA121" s="24"/>
      <c r="AB121" s="24"/>
      <c r="AC121" s="24"/>
      <c r="AD121" s="24"/>
      <c r="AE121" s="24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customFormat="false" ht="12.75" hidden="false" customHeight="false" outlineLevel="0" collapsed="false">
      <c r="A122" s="6" t="s">
        <v>97</v>
      </c>
      <c r="B122" s="22" t="s">
        <v>55</v>
      </c>
      <c r="C122" s="37" t="n">
        <v>27340</v>
      </c>
      <c r="D122" s="0" t="n">
        <v>20000</v>
      </c>
      <c r="E122" s="2"/>
      <c r="F122" s="34" t="n">
        <v>36923</v>
      </c>
      <c r="G122" s="35" t="n">
        <v>37287</v>
      </c>
      <c r="H122" s="36" t="n">
        <v>0</v>
      </c>
      <c r="I122" s="36" t="n">
        <f aca="false">"1/1/02"-F122</f>
        <v>334</v>
      </c>
      <c r="J122" s="36" t="n">
        <f aca="false">+G122-"12/31/01"</f>
        <v>31</v>
      </c>
      <c r="K122" s="36" t="n">
        <v>0</v>
      </c>
      <c r="L122" s="36" t="n">
        <v>0</v>
      </c>
      <c r="M122" s="36" t="n">
        <v>0</v>
      </c>
      <c r="N122" s="36" t="n">
        <v>0</v>
      </c>
      <c r="O122" s="36" t="n">
        <v>0</v>
      </c>
      <c r="P122" s="36" t="n">
        <v>0</v>
      </c>
      <c r="Q122" s="36" t="n">
        <v>0</v>
      </c>
      <c r="R122" s="36" t="n">
        <v>0</v>
      </c>
      <c r="S122" s="38"/>
      <c r="T122" s="28"/>
      <c r="U122" s="24" t="n">
        <f aca="false">+H122*$D122</f>
        <v>0</v>
      </c>
      <c r="V122" s="24" t="n">
        <f aca="false">+I122*$D122</f>
        <v>6680000</v>
      </c>
      <c r="W122" s="24" t="n">
        <f aca="false">+J122*$D122</f>
        <v>620000</v>
      </c>
      <c r="X122" s="24" t="n">
        <f aca="false">+K122*$D122</f>
        <v>0</v>
      </c>
      <c r="Y122" s="24" t="n">
        <f aca="false">+L122*$D122</f>
        <v>0</v>
      </c>
      <c r="Z122" s="24" t="n">
        <f aca="false">+M122*$D122</f>
        <v>0</v>
      </c>
      <c r="AA122" s="24" t="n">
        <f aca="false">+N122*$D122</f>
        <v>0</v>
      </c>
      <c r="AB122" s="24" t="n">
        <f aca="false">+O122*$D122</f>
        <v>0</v>
      </c>
      <c r="AC122" s="24" t="n">
        <f aca="false">+P122*$D122</f>
        <v>0</v>
      </c>
      <c r="AD122" s="24" t="n">
        <f aca="false">+Q122*$D122</f>
        <v>0</v>
      </c>
      <c r="AE122" s="24" t="n">
        <f aca="false">+R122*$D122</f>
        <v>0</v>
      </c>
      <c r="AG122" s="27" t="n">
        <f aca="false">+U122*$E122</f>
        <v>0</v>
      </c>
      <c r="AH122" s="27" t="n">
        <f aca="false">+V122*$E122</f>
        <v>0</v>
      </c>
      <c r="AI122" s="27" t="n">
        <f aca="false">+W122*$E122</f>
        <v>0</v>
      </c>
      <c r="AJ122" s="27" t="n">
        <f aca="false">+X122*$E122</f>
        <v>0</v>
      </c>
      <c r="AK122" s="27" t="n">
        <f aca="false">+Y122*$E122</f>
        <v>0</v>
      </c>
      <c r="AL122" s="27" t="n">
        <f aca="false">+Z122*$E122</f>
        <v>0</v>
      </c>
      <c r="AM122" s="27" t="n">
        <f aca="false">+AA122*$E122</f>
        <v>0</v>
      </c>
      <c r="AN122" s="27" t="n">
        <f aca="false">+AB122*$E122</f>
        <v>0</v>
      </c>
      <c r="AO122" s="27" t="n">
        <f aca="false">+AC122*$E122</f>
        <v>0</v>
      </c>
      <c r="AP122" s="27" t="n">
        <f aca="false">+AD122*$E122</f>
        <v>0</v>
      </c>
      <c r="AQ122" s="27" t="n">
        <f aca="false">+AE122*$E122</f>
        <v>0</v>
      </c>
    </row>
    <row r="123" customFormat="false" ht="12.75" hidden="false" customHeight="false" outlineLevel="0" collapsed="false">
      <c r="A123" s="6" t="s">
        <v>97</v>
      </c>
      <c r="B123" s="22" t="s">
        <v>102</v>
      </c>
      <c r="C123" s="0" t="n">
        <v>21165</v>
      </c>
      <c r="D123" s="0" t="n">
        <v>150000</v>
      </c>
      <c r="E123" s="2" t="s">
        <v>60</v>
      </c>
      <c r="F123" s="34" t="n">
        <v>33679</v>
      </c>
      <c r="G123" s="35" t="n">
        <v>39172</v>
      </c>
      <c r="H123" s="24" t="n">
        <v>366</v>
      </c>
      <c r="I123" s="24" t="n">
        <v>365</v>
      </c>
      <c r="J123" s="24" t="n">
        <v>365</v>
      </c>
      <c r="K123" s="24" t="n">
        <v>365</v>
      </c>
      <c r="L123" s="24" t="n">
        <v>366</v>
      </c>
      <c r="M123" s="24" t="n">
        <v>365</v>
      </c>
      <c r="N123" s="24" t="n">
        <v>365</v>
      </c>
      <c r="O123" s="24" t="n">
        <f aca="false">G123-"12/31/06"</f>
        <v>90</v>
      </c>
      <c r="P123" s="24" t="n">
        <v>0</v>
      </c>
      <c r="Q123" s="24" t="n">
        <v>0</v>
      </c>
      <c r="R123" s="24" t="n">
        <v>0</v>
      </c>
      <c r="S123" s="24"/>
      <c r="T123" s="28"/>
      <c r="U123" s="24" t="n">
        <f aca="false">+H123*$D123</f>
        <v>54900000</v>
      </c>
      <c r="V123" s="24" t="n">
        <f aca="false">+I123*$D123</f>
        <v>54750000</v>
      </c>
      <c r="W123" s="24" t="n">
        <f aca="false">+J123*$D123</f>
        <v>54750000</v>
      </c>
      <c r="X123" s="24" t="n">
        <f aca="false">+K123*$D123</f>
        <v>54750000</v>
      </c>
      <c r="Y123" s="24" t="n">
        <f aca="false">+L123*$D123</f>
        <v>54900000</v>
      </c>
      <c r="Z123" s="24" t="n">
        <f aca="false">+M123*$D123</f>
        <v>54750000</v>
      </c>
      <c r="AA123" s="24" t="n">
        <f aca="false">+N123*$D123</f>
        <v>54750000</v>
      </c>
      <c r="AB123" s="24" t="n">
        <f aca="false">+O123*$D123</f>
        <v>13500000</v>
      </c>
      <c r="AC123" s="24" t="n">
        <f aca="false">+P123*$D123</f>
        <v>0</v>
      </c>
      <c r="AD123" s="24" t="n">
        <f aca="false">+Q123*$D123</f>
        <v>0</v>
      </c>
      <c r="AE123" s="24" t="n">
        <f aca="false">+R123*$D123</f>
        <v>0</v>
      </c>
      <c r="AG123" s="27" t="n">
        <f aca="false">+U123*'CSF Rates'!C14</f>
        <v>14094660</v>
      </c>
      <c r="AH123" s="27" t="n">
        <f aca="false">+V123*'CSF Rates'!D14</f>
        <v>14496818.7</v>
      </c>
      <c r="AI123" s="27" t="n">
        <f aca="false">+W123*'CSF Rates'!E14</f>
        <v>14786755.074</v>
      </c>
      <c r="AJ123" s="27" t="n">
        <f aca="false">+X123*'CSF Rates'!F14</f>
        <v>15082490.17548</v>
      </c>
      <c r="AK123" s="27" t="n">
        <f aca="false">+Y123*'CSF Rates'!G14</f>
        <v>15426147.8976696</v>
      </c>
      <c r="AL123" s="27" t="n">
        <f aca="false">+Z123*'CSF Rates'!H14</f>
        <v>15691822.7785694</v>
      </c>
      <c r="AM123" s="27" t="n">
        <f aca="false">+AA123*'CSF Rates'!I14</f>
        <v>16005659.2341408</v>
      </c>
      <c r="AN123" s="27" t="n">
        <f aca="false">+AB123*'CSF Rates'!J14</f>
        <v>4025532.92518938</v>
      </c>
      <c r="AO123" s="27" t="n">
        <f aca="false">+AC123*'CSF Rates'!K14</f>
        <v>0</v>
      </c>
      <c r="AP123" s="27" t="n">
        <f aca="false">+AD123*'CSF Rates'!L14</f>
        <v>0</v>
      </c>
      <c r="AQ123" s="27" t="n">
        <f aca="false">+AE123*'CSF Rates'!M14</f>
        <v>0</v>
      </c>
    </row>
    <row r="124" customFormat="false" ht="12.75" hidden="false" customHeight="false" outlineLevel="0" collapsed="false">
      <c r="A124" s="6" t="s">
        <v>97</v>
      </c>
      <c r="B124" s="22" t="s">
        <v>103</v>
      </c>
      <c r="C124" s="0" t="n">
        <v>21162</v>
      </c>
      <c r="D124" s="0" t="n">
        <v>0</v>
      </c>
      <c r="E124" s="2" t="s">
        <v>60</v>
      </c>
      <c r="F124" s="34"/>
      <c r="G124" s="35" t="n">
        <v>39156</v>
      </c>
      <c r="H124" s="24" t="n">
        <v>366</v>
      </c>
      <c r="I124" s="24" t="n">
        <v>365</v>
      </c>
      <c r="J124" s="24" t="n">
        <v>365</v>
      </c>
      <c r="K124" s="24" t="n">
        <v>365</v>
      </c>
      <c r="L124" s="24" t="n">
        <v>366</v>
      </c>
      <c r="M124" s="24" t="n">
        <v>365</v>
      </c>
      <c r="N124" s="24" t="n">
        <v>365</v>
      </c>
      <c r="O124" s="24" t="n">
        <f aca="false">G124-"12/31/06"</f>
        <v>74</v>
      </c>
      <c r="P124" s="24" t="n">
        <v>0</v>
      </c>
      <c r="Q124" s="24" t="n">
        <v>0</v>
      </c>
      <c r="R124" s="24" t="n">
        <v>0</v>
      </c>
      <c r="S124" s="24"/>
      <c r="T124" s="28"/>
      <c r="U124" s="24" t="n">
        <f aca="false">+H124*$D124</f>
        <v>0</v>
      </c>
      <c r="V124" s="24" t="n">
        <f aca="false">+I124*$D124</f>
        <v>0</v>
      </c>
      <c r="W124" s="24" t="n">
        <f aca="false">+J124*$D124</f>
        <v>0</v>
      </c>
      <c r="X124" s="24" t="n">
        <f aca="false">+K124*$D124</f>
        <v>0</v>
      </c>
      <c r="Y124" s="24" t="n">
        <f aca="false">+L124*$D124</f>
        <v>0</v>
      </c>
      <c r="Z124" s="24" t="n">
        <f aca="false">+M124*$D124</f>
        <v>0</v>
      </c>
      <c r="AA124" s="24" t="n">
        <f aca="false">+N124*$D124</f>
        <v>0</v>
      </c>
      <c r="AB124" s="24" t="n">
        <f aca="false">+O124*$D124</f>
        <v>0</v>
      </c>
      <c r="AC124" s="24" t="n">
        <f aca="false">+P124*$D124</f>
        <v>0</v>
      </c>
      <c r="AD124" s="24" t="n">
        <f aca="false">+Q124*$D124</f>
        <v>0</v>
      </c>
      <c r="AE124" s="24" t="n">
        <f aca="false">+R124*$D124</f>
        <v>0</v>
      </c>
      <c r="AG124" s="27" t="n">
        <f aca="false">+U124*'CSF Rates'!C14</f>
        <v>0</v>
      </c>
      <c r="AH124" s="27" t="n">
        <f aca="false">+V124*'CSF Rates'!D14</f>
        <v>0</v>
      </c>
      <c r="AI124" s="27" t="n">
        <f aca="false">+W124*'CSF Rates'!E14</f>
        <v>0</v>
      </c>
      <c r="AJ124" s="27" t="n">
        <f aca="false">+X124*'CSF Rates'!F14</f>
        <v>0</v>
      </c>
      <c r="AK124" s="27" t="n">
        <f aca="false">+Y124*'CSF Rates'!G14</f>
        <v>0</v>
      </c>
      <c r="AL124" s="27" t="n">
        <f aca="false">+Z124*'CSF Rates'!H14</f>
        <v>0</v>
      </c>
      <c r="AM124" s="27" t="n">
        <f aca="false">+AA124*'CSF Rates'!I14</f>
        <v>0</v>
      </c>
      <c r="AN124" s="27" t="n">
        <f aca="false">+AB124*'CSF Rates'!J14</f>
        <v>0</v>
      </c>
      <c r="AO124" s="27" t="n">
        <f aca="false">+AC124*'CSF Rates'!K14</f>
        <v>0</v>
      </c>
      <c r="AP124" s="27" t="n">
        <f aca="false">+AD124*'CSF Rates'!L14</f>
        <v>0</v>
      </c>
      <c r="AQ124" s="27" t="n">
        <f aca="false">+AE124*'CSF Rates'!M14</f>
        <v>0</v>
      </c>
    </row>
    <row r="125" customFormat="false" ht="12.75" hidden="false" customHeight="false" outlineLevel="0" collapsed="false">
      <c r="A125" s="6" t="s">
        <v>97</v>
      </c>
      <c r="B125" s="22" t="s">
        <v>56</v>
      </c>
      <c r="C125" s="33" t="n">
        <v>25841</v>
      </c>
      <c r="D125" s="0" t="n">
        <v>40000</v>
      </c>
      <c r="E125" s="2" t="n">
        <v>0.0875</v>
      </c>
      <c r="F125" s="34" t="n">
        <v>35827</v>
      </c>
      <c r="G125" s="35" t="n">
        <v>37560</v>
      </c>
      <c r="H125" s="36" t="n">
        <v>366</v>
      </c>
      <c r="I125" s="36" t="n">
        <v>365</v>
      </c>
      <c r="J125" s="36" t="n">
        <f aca="false">+G125-"12/31/01"</f>
        <v>304</v>
      </c>
      <c r="K125" s="36" t="n">
        <v>0</v>
      </c>
      <c r="L125" s="36" t="n">
        <v>0</v>
      </c>
      <c r="M125" s="36" t="n">
        <v>0</v>
      </c>
      <c r="N125" s="36" t="n">
        <v>0</v>
      </c>
      <c r="O125" s="36" t="n">
        <v>0</v>
      </c>
      <c r="P125" s="36" t="n">
        <v>0</v>
      </c>
      <c r="Q125" s="36" t="n">
        <v>0</v>
      </c>
      <c r="R125" s="36" t="n">
        <v>0</v>
      </c>
      <c r="S125" s="24"/>
      <c r="T125" s="28"/>
      <c r="U125" s="24" t="n">
        <f aca="false">+H125*$D125</f>
        <v>14640000</v>
      </c>
      <c r="V125" s="24" t="n">
        <f aca="false">+I125*$D125</f>
        <v>14600000</v>
      </c>
      <c r="W125" s="24" t="n">
        <f aca="false">+J125*$D125</f>
        <v>12160000</v>
      </c>
      <c r="X125" s="24" t="n">
        <f aca="false">+K125*$D125</f>
        <v>0</v>
      </c>
      <c r="Y125" s="24" t="n">
        <f aca="false">+L125*$D125</f>
        <v>0</v>
      </c>
      <c r="Z125" s="24" t="n">
        <f aca="false">+M125*$D125</f>
        <v>0</v>
      </c>
      <c r="AA125" s="24" t="n">
        <f aca="false">+N125*$D125</f>
        <v>0</v>
      </c>
      <c r="AB125" s="24" t="n">
        <f aca="false">+O125*$D125</f>
        <v>0</v>
      </c>
      <c r="AC125" s="24" t="n">
        <f aca="false">+P125*$D125</f>
        <v>0</v>
      </c>
      <c r="AD125" s="24" t="n">
        <f aca="false">+Q125*$D125</f>
        <v>0</v>
      </c>
      <c r="AE125" s="24" t="n">
        <f aca="false">+R125*$D125</f>
        <v>0</v>
      </c>
      <c r="AG125" s="27" t="n">
        <f aca="false">+U125*$E125</f>
        <v>1281000</v>
      </c>
      <c r="AH125" s="27" t="n">
        <f aca="false">+V125*$E125</f>
        <v>1277500</v>
      </c>
      <c r="AI125" s="27" t="n">
        <f aca="false">+W125*$E125</f>
        <v>1064000</v>
      </c>
      <c r="AJ125" s="27" t="n">
        <f aca="false">+X125*$E125</f>
        <v>0</v>
      </c>
      <c r="AK125" s="27" t="n">
        <f aca="false">+Y125*$E125</f>
        <v>0</v>
      </c>
      <c r="AL125" s="27" t="n">
        <f aca="false">+Z125*$E125</f>
        <v>0</v>
      </c>
      <c r="AM125" s="27" t="n">
        <f aca="false">+AA125*$E125</f>
        <v>0</v>
      </c>
      <c r="AN125" s="27" t="n">
        <f aca="false">+AB125*$E125</f>
        <v>0</v>
      </c>
      <c r="AO125" s="27" t="n">
        <f aca="false">+AC125*$E125</f>
        <v>0</v>
      </c>
      <c r="AP125" s="27" t="n">
        <f aca="false">+AD125*$E125</f>
        <v>0</v>
      </c>
      <c r="AQ125" s="27" t="n">
        <f aca="false">+AE125*$E125</f>
        <v>0</v>
      </c>
    </row>
    <row r="126" customFormat="false" ht="12.75" hidden="false" customHeight="false" outlineLevel="0" collapsed="false">
      <c r="A126" s="6" t="s">
        <v>97</v>
      </c>
      <c r="B126" s="22" t="s">
        <v>56</v>
      </c>
      <c r="C126" s="33" t="n">
        <v>26511</v>
      </c>
      <c r="D126" s="0" t="n">
        <v>21000</v>
      </c>
      <c r="E126" s="2"/>
      <c r="F126" s="34" t="n">
        <v>36100</v>
      </c>
      <c r="G126" s="35" t="n">
        <v>37560</v>
      </c>
      <c r="H126" s="36" t="n">
        <v>366</v>
      </c>
      <c r="I126" s="36" t="n">
        <v>365</v>
      </c>
      <c r="J126" s="36" t="n">
        <f aca="false">+G126-"12/31/01"</f>
        <v>304</v>
      </c>
      <c r="K126" s="36" t="n">
        <v>0</v>
      </c>
      <c r="L126" s="36" t="n">
        <v>0</v>
      </c>
      <c r="M126" s="36" t="n">
        <v>0</v>
      </c>
      <c r="N126" s="36" t="n">
        <v>0</v>
      </c>
      <c r="O126" s="36" t="n">
        <v>0</v>
      </c>
      <c r="P126" s="36" t="n">
        <v>0</v>
      </c>
      <c r="Q126" s="36" t="n">
        <v>0</v>
      </c>
      <c r="R126" s="36" t="n">
        <v>0</v>
      </c>
      <c r="S126" s="24"/>
      <c r="T126" s="28"/>
      <c r="U126" s="24" t="n">
        <f aca="false">+H126*$D126</f>
        <v>7686000</v>
      </c>
      <c r="V126" s="24" t="n">
        <f aca="false">+I126*$D126</f>
        <v>7665000</v>
      </c>
      <c r="W126" s="24" t="n">
        <f aca="false">+J126*$D126</f>
        <v>6384000</v>
      </c>
      <c r="X126" s="24" t="n">
        <f aca="false">+K126*$D126</f>
        <v>0</v>
      </c>
      <c r="Y126" s="24" t="n">
        <f aca="false">+L126*$D126</f>
        <v>0</v>
      </c>
      <c r="Z126" s="24" t="n">
        <f aca="false">+M126*$D126</f>
        <v>0</v>
      </c>
      <c r="AA126" s="24" t="n">
        <f aca="false">+N126*$D126</f>
        <v>0</v>
      </c>
      <c r="AB126" s="24" t="n">
        <f aca="false">+O126*$D126</f>
        <v>0</v>
      </c>
      <c r="AC126" s="24" t="n">
        <f aca="false">+P126*$D126</f>
        <v>0</v>
      </c>
      <c r="AD126" s="24" t="n">
        <f aca="false">+Q126*$D126</f>
        <v>0</v>
      </c>
      <c r="AE126" s="24" t="n">
        <f aca="false">+R126*$D126</f>
        <v>0</v>
      </c>
      <c r="AG126" s="27" t="n">
        <f aca="false">+U126*'CSF Rates'!C53</f>
        <v>0</v>
      </c>
      <c r="AH126" s="27" t="n">
        <f aca="false">+V126*'CSF Rates'!D53</f>
        <v>0</v>
      </c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customFormat="false" ht="12.75" hidden="false" customHeight="false" outlineLevel="0" collapsed="false">
      <c r="A127" s="6" t="s">
        <v>97</v>
      </c>
      <c r="B127" s="22" t="s">
        <v>57</v>
      </c>
      <c r="C127" s="37" t="n">
        <v>26819</v>
      </c>
      <c r="D127" s="0" t="n">
        <v>10000</v>
      </c>
      <c r="E127" s="2"/>
      <c r="F127" s="34" t="n">
        <v>36647</v>
      </c>
      <c r="G127" s="35" t="n">
        <v>38472</v>
      </c>
      <c r="H127" s="36" t="n">
        <f aca="false">"1/01/01"-F127</f>
        <v>245</v>
      </c>
      <c r="I127" s="36" t="n">
        <v>365</v>
      </c>
      <c r="J127" s="36" t="n">
        <v>365</v>
      </c>
      <c r="K127" s="36" t="n">
        <v>365</v>
      </c>
      <c r="L127" s="36" t="n">
        <v>366</v>
      </c>
      <c r="M127" s="36" t="n">
        <f aca="false">+G127-"12/31/04"</f>
        <v>120</v>
      </c>
      <c r="N127" s="36" t="n">
        <v>0</v>
      </c>
      <c r="O127" s="36" t="n">
        <v>0</v>
      </c>
      <c r="P127" s="36" t="n">
        <v>0</v>
      </c>
      <c r="Q127" s="36" t="n">
        <v>0</v>
      </c>
      <c r="R127" s="36" t="n">
        <v>0</v>
      </c>
      <c r="S127" s="24"/>
      <c r="T127" s="28"/>
      <c r="U127" s="24" t="n">
        <f aca="false">+H127*$D127</f>
        <v>2450000</v>
      </c>
      <c r="V127" s="24" t="n">
        <f aca="false">+I127*$D127</f>
        <v>3650000</v>
      </c>
      <c r="W127" s="24" t="n">
        <f aca="false">+J127*$D127</f>
        <v>3650000</v>
      </c>
      <c r="X127" s="24" t="n">
        <f aca="false">+K127*$D127</f>
        <v>3650000</v>
      </c>
      <c r="Y127" s="24" t="n">
        <f aca="false">+L127*$D127</f>
        <v>3660000</v>
      </c>
      <c r="Z127" s="24" t="n">
        <f aca="false">+M127*$D127</f>
        <v>1200000</v>
      </c>
      <c r="AA127" s="24" t="n">
        <f aca="false">+N127*$D127</f>
        <v>0</v>
      </c>
      <c r="AB127" s="24" t="n">
        <f aca="false">+O127*$D127</f>
        <v>0</v>
      </c>
      <c r="AC127" s="24" t="n">
        <f aca="false">+P127*$D127</f>
        <v>0</v>
      </c>
      <c r="AD127" s="24" t="n">
        <f aca="false">+Q127*$D127</f>
        <v>0</v>
      </c>
      <c r="AE127" s="24" t="n">
        <f aca="false">+R127*$D127</f>
        <v>0</v>
      </c>
      <c r="AG127" s="27" t="n">
        <f aca="false">+U127*$E127</f>
        <v>0</v>
      </c>
      <c r="AH127" s="27" t="n">
        <f aca="false">+V127*$E127</f>
        <v>0</v>
      </c>
      <c r="AI127" s="27" t="n">
        <f aca="false">+W127*$E127</f>
        <v>0</v>
      </c>
      <c r="AJ127" s="27" t="n">
        <f aca="false">+X127*$E127</f>
        <v>0</v>
      </c>
      <c r="AK127" s="27" t="n">
        <f aca="false">+Y127*$E127</f>
        <v>0</v>
      </c>
      <c r="AL127" s="27" t="n">
        <f aca="false">+Z127*$E127</f>
        <v>0</v>
      </c>
      <c r="AM127" s="27" t="n">
        <f aca="false">+AA127*$E127</f>
        <v>0</v>
      </c>
      <c r="AN127" s="27" t="n">
        <f aca="false">+AB127*$E127</f>
        <v>0</v>
      </c>
      <c r="AO127" s="27" t="n">
        <f aca="false">+AC127*$E127</f>
        <v>0</v>
      </c>
      <c r="AP127" s="27" t="n">
        <f aca="false">+AD127*$E127</f>
        <v>0</v>
      </c>
      <c r="AQ127" s="27" t="n">
        <f aca="false">+AE127*$E127</f>
        <v>0</v>
      </c>
    </row>
    <row r="128" customFormat="false" ht="13.5" hidden="false" customHeight="false" outlineLevel="0" collapsed="false">
      <c r="A128" s="6" t="s">
        <v>97</v>
      </c>
      <c r="B128" s="51" t="s">
        <v>91</v>
      </c>
      <c r="C128" s="12" t="n">
        <v>27454</v>
      </c>
      <c r="D128" s="12" t="n">
        <v>27500</v>
      </c>
      <c r="E128" s="14" t="s">
        <v>60</v>
      </c>
      <c r="F128" s="52" t="n">
        <v>37256</v>
      </c>
      <c r="G128" s="53" t="n">
        <v>37621</v>
      </c>
      <c r="H128" s="49" t="n">
        <v>0</v>
      </c>
      <c r="I128" s="49" t="n">
        <v>0</v>
      </c>
      <c r="J128" s="49" t="n">
        <v>365</v>
      </c>
      <c r="K128" s="49" t="n">
        <v>0</v>
      </c>
      <c r="L128" s="49" t="n">
        <v>0</v>
      </c>
      <c r="M128" s="49" t="n">
        <v>0</v>
      </c>
      <c r="N128" s="49" t="n">
        <v>0</v>
      </c>
      <c r="O128" s="49" t="n">
        <v>0</v>
      </c>
      <c r="P128" s="49" t="n">
        <v>0</v>
      </c>
      <c r="Q128" s="49" t="n">
        <v>0</v>
      </c>
      <c r="R128" s="49" t="n">
        <v>0</v>
      </c>
      <c r="S128" s="24" t="n">
        <f aca="false">+G128-F128</f>
        <v>365</v>
      </c>
      <c r="T128" s="24" t="n">
        <f aca="false">SUM(H128:R128)</f>
        <v>365</v>
      </c>
      <c r="U128" s="49" t="n">
        <f aca="false">+H128*$D128</f>
        <v>0</v>
      </c>
      <c r="V128" s="49" t="n">
        <v>0</v>
      </c>
      <c r="W128" s="49" t="n">
        <f aca="false">+J128*$D128</f>
        <v>10037500</v>
      </c>
      <c r="X128" s="49" t="n">
        <f aca="false">+K128*$D128</f>
        <v>0</v>
      </c>
      <c r="Y128" s="49" t="n">
        <f aca="false">+L128*$D128</f>
        <v>0</v>
      </c>
      <c r="Z128" s="49" t="n">
        <f aca="false">+M128*$D128</f>
        <v>0</v>
      </c>
      <c r="AA128" s="49" t="n">
        <f aca="false">+N128*$D128</f>
        <v>0</v>
      </c>
      <c r="AB128" s="49" t="n">
        <f aca="false">+O128*$D128</f>
        <v>0</v>
      </c>
      <c r="AC128" s="49" t="n">
        <f aca="false">+P128*$D128</f>
        <v>0</v>
      </c>
      <c r="AD128" s="49" t="n">
        <f aca="false">+Q128*$D128</f>
        <v>0</v>
      </c>
      <c r="AE128" s="49" t="n">
        <f aca="false">+R128*$D128</f>
        <v>0</v>
      </c>
      <c r="AG128" s="54" t="n">
        <f aca="false">+U128*'CSF Rates'!C$12</f>
        <v>0</v>
      </c>
      <c r="AH128" s="54" t="n">
        <f aca="false">+V128*'CSF Rates'!D$12</f>
        <v>0</v>
      </c>
      <c r="AI128" s="54" t="n">
        <f aca="false">+W128*'CSF Rates'!E$12</f>
        <v>1081718</v>
      </c>
      <c r="AJ128" s="54" t="n">
        <f aca="false">+X128*'CSF Rates'!F$12</f>
        <v>0</v>
      </c>
      <c r="AK128" s="54" t="n">
        <f aca="false">+Y128*'CSF Rates'!G$12</f>
        <v>0</v>
      </c>
      <c r="AL128" s="54" t="n">
        <f aca="false">+Z128*'CSF Rates'!H$12</f>
        <v>0</v>
      </c>
      <c r="AM128" s="54" t="n">
        <f aca="false">+AA128*'CSF Rates'!I$12</f>
        <v>0</v>
      </c>
      <c r="AN128" s="54" t="n">
        <f aca="false">+AB128*'CSF Rates'!J$12</f>
        <v>0</v>
      </c>
      <c r="AO128" s="54" t="n">
        <f aca="false">+AC128*'CSF Rates'!K$12</f>
        <v>0</v>
      </c>
      <c r="AP128" s="54" t="n">
        <f aca="false">+AD128*'CSF Rates'!L$12</f>
        <v>0</v>
      </c>
      <c r="AQ128" s="54" t="n">
        <f aca="false">+AE128*'CSF Rates'!M$12</f>
        <v>0</v>
      </c>
    </row>
    <row r="129" customFormat="false" ht="12.75" hidden="false" customHeight="false" outlineLevel="0" collapsed="false">
      <c r="A129" s="6" t="s">
        <v>97</v>
      </c>
      <c r="B129" s="22" t="s">
        <v>92</v>
      </c>
      <c r="C129" s="0" t="n">
        <v>20746</v>
      </c>
      <c r="D129" s="0" t="n">
        <v>20000</v>
      </c>
      <c r="E129" s="2" t="s">
        <v>60</v>
      </c>
      <c r="F129" s="34" t="n">
        <v>35855</v>
      </c>
      <c r="G129" s="35" t="n">
        <v>39141</v>
      </c>
      <c r="H129" s="24" t="n">
        <v>366</v>
      </c>
      <c r="I129" s="24" t="n">
        <v>365</v>
      </c>
      <c r="J129" s="24" t="n">
        <v>365</v>
      </c>
      <c r="K129" s="24" t="n">
        <v>365</v>
      </c>
      <c r="L129" s="24" t="n">
        <v>366</v>
      </c>
      <c r="M129" s="24" t="n">
        <v>365</v>
      </c>
      <c r="N129" s="24" t="n">
        <f aca="false">G129-"12/31/05"</f>
        <v>424</v>
      </c>
      <c r="O129" s="24" t="n">
        <v>0</v>
      </c>
      <c r="P129" s="24" t="n">
        <v>0</v>
      </c>
      <c r="Q129" s="24" t="n">
        <v>0</v>
      </c>
      <c r="R129" s="24" t="n">
        <v>0</v>
      </c>
      <c r="S129" s="24"/>
      <c r="T129" s="28"/>
      <c r="U129" s="24" t="n">
        <f aca="false">+H129*$D129</f>
        <v>7320000</v>
      </c>
      <c r="V129" s="24" t="n">
        <f aca="false">+I129*$D129</f>
        <v>7300000</v>
      </c>
      <c r="W129" s="24" t="n">
        <f aca="false">+J129*$D129</f>
        <v>7300000</v>
      </c>
      <c r="X129" s="24" t="n">
        <f aca="false">+K129*$D129</f>
        <v>7300000</v>
      </c>
      <c r="Y129" s="24" t="n">
        <f aca="false">+L129*$D129</f>
        <v>7320000</v>
      </c>
      <c r="Z129" s="24" t="n">
        <f aca="false">+M129*$D129</f>
        <v>7300000</v>
      </c>
      <c r="AA129" s="24" t="n">
        <f aca="false">+N129*$D129</f>
        <v>8480000</v>
      </c>
      <c r="AB129" s="24" t="n">
        <f aca="false">+O129*$D129</f>
        <v>0</v>
      </c>
      <c r="AC129" s="24" t="n">
        <f aca="false">+P129*$D129</f>
        <v>0</v>
      </c>
      <c r="AD129" s="24" t="n">
        <f aca="false">+Q129*$D129</f>
        <v>0</v>
      </c>
      <c r="AE129" s="24" t="n">
        <f aca="false">+R129*$D129</f>
        <v>0</v>
      </c>
      <c r="AG129" s="27" t="n">
        <f aca="false">+U129*'CSF Rates'!C14</f>
        <v>1879288</v>
      </c>
      <c r="AH129" s="27" t="n">
        <f aca="false">+V129*'CSF Rates'!D14</f>
        <v>1932909.16</v>
      </c>
      <c r="AI129" s="27" t="n">
        <f aca="false">+W129*'CSF Rates'!E14</f>
        <v>1971567.3432</v>
      </c>
      <c r="AJ129" s="27" t="n">
        <f aca="false">+X129*'CSF Rates'!F14</f>
        <v>2010998.690064</v>
      </c>
      <c r="AK129" s="27" t="n">
        <f aca="false">+Y129*'CSF Rates'!G14</f>
        <v>2056819.71968928</v>
      </c>
      <c r="AL129" s="27" t="n">
        <f aca="false">+Z129*'CSF Rates'!H14</f>
        <v>2092243.03714259</v>
      </c>
      <c r="AM129" s="27" t="n">
        <f aca="false">+AA129*'CSF Rates'!I14</f>
        <v>2479050.05124226</v>
      </c>
      <c r="AN129" s="27" t="n">
        <f aca="false">+AB129*'CSF Rates'!J14</f>
        <v>0</v>
      </c>
      <c r="AO129" s="27" t="n">
        <f aca="false">+AC129*'CSF Rates'!K14</f>
        <v>0</v>
      </c>
      <c r="AP129" s="27" t="n">
        <f aca="false">+AD129*'CSF Rates'!L14</f>
        <v>0</v>
      </c>
      <c r="AQ129" s="27" t="n">
        <f aca="false">+AE129*'CSF Rates'!M14</f>
        <v>0</v>
      </c>
    </row>
    <row r="130" customFormat="false" ht="12.75" hidden="false" customHeight="false" outlineLevel="0" collapsed="false">
      <c r="A130" s="6" t="s">
        <v>97</v>
      </c>
      <c r="B130" s="22" t="s">
        <v>58</v>
      </c>
      <c r="C130" s="0" t="n">
        <v>26816</v>
      </c>
      <c r="D130" s="0" t="n">
        <v>21500</v>
      </c>
      <c r="E130" s="2" t="s">
        <v>60</v>
      </c>
      <c r="F130" s="34" t="n">
        <v>36646</v>
      </c>
      <c r="G130" s="35" t="n">
        <v>38472</v>
      </c>
      <c r="H130" s="24" t="n">
        <v>245</v>
      </c>
      <c r="I130" s="24" t="n">
        <v>365</v>
      </c>
      <c r="J130" s="24" t="n">
        <v>365</v>
      </c>
      <c r="K130" s="24" t="n">
        <v>365</v>
      </c>
      <c r="L130" s="24" t="n">
        <v>366</v>
      </c>
      <c r="M130" s="24" t="n">
        <f aca="false">G130-"12/31/2004"</f>
        <v>120</v>
      </c>
      <c r="N130" s="24" t="n">
        <v>0</v>
      </c>
      <c r="O130" s="24" t="n">
        <v>0</v>
      </c>
      <c r="P130" s="24" t="n">
        <v>0</v>
      </c>
      <c r="Q130" s="24" t="n">
        <v>0</v>
      </c>
      <c r="R130" s="24" t="n">
        <v>0</v>
      </c>
      <c r="S130" s="24" t="n">
        <f aca="false">+G130-F130</f>
        <v>1826</v>
      </c>
      <c r="T130" s="24" t="n">
        <f aca="false">SUM(H130:R130)</f>
        <v>1826</v>
      </c>
      <c r="U130" s="24" t="n">
        <f aca="false">+H130*$D130</f>
        <v>5267500</v>
      </c>
      <c r="V130" s="24" t="n">
        <f aca="false">+I130*$D130</f>
        <v>7847500</v>
      </c>
      <c r="W130" s="24" t="n">
        <f aca="false">+J130*$D130</f>
        <v>7847500</v>
      </c>
      <c r="X130" s="24" t="n">
        <f aca="false">+K130*$D130</f>
        <v>7847500</v>
      </c>
      <c r="Y130" s="24" t="n">
        <f aca="false">+L130*$D130</f>
        <v>7869000</v>
      </c>
      <c r="Z130" s="24" t="n">
        <f aca="false">+M130*$D130</f>
        <v>2580000</v>
      </c>
      <c r="AA130" s="24" t="n">
        <f aca="false">+N130*$D130</f>
        <v>0</v>
      </c>
      <c r="AB130" s="24" t="n">
        <f aca="false">+O130*$D130</f>
        <v>0</v>
      </c>
      <c r="AC130" s="24" t="n">
        <f aca="false">+P130*$D130</f>
        <v>0</v>
      </c>
      <c r="AD130" s="24" t="n">
        <f aca="false">+Q130*$D130</f>
        <v>0</v>
      </c>
      <c r="AE130" s="24" t="n">
        <f aca="false">+R130*$D130</f>
        <v>0</v>
      </c>
      <c r="AG130" s="27" t="n">
        <f aca="false">+U130*'CSF Rates'!C$12</f>
        <v>544922.875</v>
      </c>
      <c r="AH130" s="27" t="n">
        <f aca="false">+V130*'CSF Rates'!D$12</f>
        <v>828442.3</v>
      </c>
      <c r="AI130" s="27" t="n">
        <f aca="false">+W130*'CSF Rates'!E$12</f>
        <v>845706.8</v>
      </c>
      <c r="AJ130" s="27" t="n">
        <f aca="false">+X130*'CSF Rates'!F$12</f>
        <v>862971.3</v>
      </c>
      <c r="AK130" s="27" t="n">
        <f aca="false">+Y130*'CSF Rates'!G$12</f>
        <v>882770.65</v>
      </c>
      <c r="AL130" s="27" t="n">
        <f aca="false">+Z130*'CSF Rates'!H$12</f>
        <v>295369.709589041</v>
      </c>
      <c r="AM130" s="27" t="n">
        <f aca="false">+AA130*'CSF Rates'!I$12</f>
        <v>0</v>
      </c>
      <c r="AN130" s="27" t="n">
        <f aca="false">+AB130*'CSF Rates'!J$12</f>
        <v>0</v>
      </c>
      <c r="AO130" s="27" t="n">
        <f aca="false">+AC130*'CSF Rates'!K$12</f>
        <v>0</v>
      </c>
      <c r="AP130" s="27" t="n">
        <f aca="false">+AD130*'CSF Rates'!L$12</f>
        <v>0</v>
      </c>
      <c r="AQ130" s="27" t="n">
        <f aca="false">+AE130*'CSF Rates'!M$12</f>
        <v>0</v>
      </c>
    </row>
    <row r="131" customFormat="false" ht="12.75" hidden="false" customHeight="false" outlineLevel="0" collapsed="false">
      <c r="A131" s="6" t="s">
        <v>97</v>
      </c>
      <c r="B131" s="22" t="s">
        <v>58</v>
      </c>
      <c r="C131" s="37" t="n">
        <v>27293</v>
      </c>
      <c r="D131" s="0" t="n">
        <v>49000</v>
      </c>
      <c r="E131" s="2"/>
      <c r="F131" s="34" t="n">
        <v>36831</v>
      </c>
      <c r="G131" s="35" t="n">
        <v>37195</v>
      </c>
      <c r="H131" s="36" t="n">
        <f aca="false">"1/01/01"-F131</f>
        <v>61</v>
      </c>
      <c r="I131" s="39" t="n">
        <f aca="false">+G131-"12/31/00"</f>
        <v>304</v>
      </c>
      <c r="J131" s="36" t="n">
        <v>0</v>
      </c>
      <c r="K131" s="36" t="n">
        <v>0</v>
      </c>
      <c r="L131" s="36" t="n">
        <v>0</v>
      </c>
      <c r="M131" s="36" t="n">
        <v>0</v>
      </c>
      <c r="N131" s="36" t="n">
        <v>0</v>
      </c>
      <c r="O131" s="36" t="n">
        <v>0</v>
      </c>
      <c r="P131" s="36" t="n">
        <v>0</v>
      </c>
      <c r="Q131" s="36" t="n">
        <v>0</v>
      </c>
      <c r="R131" s="36" t="n">
        <v>0</v>
      </c>
      <c r="S131" s="24"/>
      <c r="T131" s="28"/>
      <c r="U131" s="24" t="n">
        <f aca="false">+H131*$D131</f>
        <v>2989000</v>
      </c>
      <c r="V131" s="24" t="n">
        <f aca="false">+I131*$D131</f>
        <v>14896000</v>
      </c>
      <c r="W131" s="24" t="n">
        <f aca="false">+J131*$D131</f>
        <v>0</v>
      </c>
      <c r="X131" s="24" t="n">
        <f aca="false">+K131*$D131</f>
        <v>0</v>
      </c>
      <c r="Y131" s="24" t="n">
        <f aca="false">+L131*$D131</f>
        <v>0</v>
      </c>
      <c r="Z131" s="24" t="n">
        <f aca="false">+M131*$D131</f>
        <v>0</v>
      </c>
      <c r="AA131" s="24" t="n">
        <f aca="false">+N131*$D131</f>
        <v>0</v>
      </c>
      <c r="AB131" s="24" t="n">
        <f aca="false">+O131*$D131</f>
        <v>0</v>
      </c>
      <c r="AC131" s="24" t="n">
        <f aca="false">+P131*$D131</f>
        <v>0</v>
      </c>
      <c r="AD131" s="24" t="n">
        <f aca="false">+Q131*$D131</f>
        <v>0</v>
      </c>
      <c r="AE131" s="24" t="n">
        <f aca="false">+R131*$D131</f>
        <v>0</v>
      </c>
      <c r="AG131" s="27" t="n">
        <f aca="false">+U131*$E131</f>
        <v>0</v>
      </c>
      <c r="AH131" s="27" t="n">
        <f aca="false">+V131*$E131</f>
        <v>0</v>
      </c>
      <c r="AI131" s="27" t="n">
        <f aca="false">+W131*$E131</f>
        <v>0</v>
      </c>
      <c r="AJ131" s="27" t="n">
        <f aca="false">+X131*$E131</f>
        <v>0</v>
      </c>
      <c r="AK131" s="27" t="n">
        <f aca="false">+Y131*$E131</f>
        <v>0</v>
      </c>
      <c r="AL131" s="27" t="n">
        <f aca="false">+Z131*$E131</f>
        <v>0</v>
      </c>
      <c r="AM131" s="27" t="n">
        <f aca="false">+AA131*$E131</f>
        <v>0</v>
      </c>
      <c r="AN131" s="27" t="n">
        <f aca="false">+AB131*$E131</f>
        <v>0</v>
      </c>
      <c r="AO131" s="27" t="n">
        <f aca="false">+AC131*$E131</f>
        <v>0</v>
      </c>
      <c r="AP131" s="27" t="n">
        <f aca="false">+AD131*$E131</f>
        <v>0</v>
      </c>
      <c r="AQ131" s="27" t="n">
        <f aca="false">+AE131*$E131</f>
        <v>0</v>
      </c>
    </row>
    <row r="132" customFormat="false" ht="12.75" hidden="false" customHeight="false" outlineLevel="0" collapsed="false">
      <c r="A132" s="6" t="s">
        <v>97</v>
      </c>
      <c r="B132" s="22" t="s">
        <v>58</v>
      </c>
      <c r="C132" s="37" t="n">
        <v>27352</v>
      </c>
      <c r="D132" s="0" t="n">
        <v>21500</v>
      </c>
      <c r="E132" s="2"/>
      <c r="F132" s="34" t="n">
        <v>37196</v>
      </c>
      <c r="G132" s="35" t="n">
        <v>37560</v>
      </c>
      <c r="H132" s="36" t="n">
        <v>0</v>
      </c>
      <c r="I132" s="36" t="n">
        <f aca="false">"1/01/02"-F132</f>
        <v>61</v>
      </c>
      <c r="J132" s="39" t="n">
        <f aca="false">+G132-"12/31/01"</f>
        <v>304</v>
      </c>
      <c r="K132" s="36" t="n">
        <v>0</v>
      </c>
      <c r="L132" s="36" t="n">
        <v>0</v>
      </c>
      <c r="M132" s="36" t="n">
        <v>0</v>
      </c>
      <c r="N132" s="36" t="n">
        <v>0</v>
      </c>
      <c r="O132" s="36" t="n">
        <v>0</v>
      </c>
      <c r="P132" s="36" t="n">
        <v>0</v>
      </c>
      <c r="Q132" s="36" t="n">
        <v>0</v>
      </c>
      <c r="R132" s="36" t="n">
        <v>0</v>
      </c>
      <c r="S132" s="38"/>
      <c r="T132" s="28"/>
      <c r="U132" s="24" t="n">
        <f aca="false">+H132*$D132</f>
        <v>0</v>
      </c>
      <c r="V132" s="24" t="n">
        <f aca="false">+I132*$D132</f>
        <v>1311500</v>
      </c>
      <c r="W132" s="24" t="n">
        <f aca="false">+J132*$D132</f>
        <v>6536000</v>
      </c>
      <c r="X132" s="24" t="n">
        <f aca="false">+K132*$D132</f>
        <v>0</v>
      </c>
      <c r="Y132" s="24" t="n">
        <f aca="false">+L132*$D132</f>
        <v>0</v>
      </c>
      <c r="Z132" s="24" t="n">
        <f aca="false">+M132*$D132</f>
        <v>0</v>
      </c>
      <c r="AA132" s="24" t="n">
        <f aca="false">+N132*$D132</f>
        <v>0</v>
      </c>
      <c r="AB132" s="24" t="n">
        <f aca="false">+O132*$D132</f>
        <v>0</v>
      </c>
      <c r="AC132" s="24" t="n">
        <f aca="false">+P132*$D132</f>
        <v>0</v>
      </c>
      <c r="AD132" s="24" t="n">
        <f aca="false">+Q132*$D132</f>
        <v>0</v>
      </c>
      <c r="AE132" s="24" t="n">
        <f aca="false">+R132*$D132</f>
        <v>0</v>
      </c>
      <c r="AG132" s="27" t="n">
        <f aca="false">+U132*$E132</f>
        <v>0</v>
      </c>
      <c r="AH132" s="27" t="n">
        <f aca="false">+V132*$E132</f>
        <v>0</v>
      </c>
      <c r="AI132" s="27" t="n">
        <f aca="false">+W132*$E132</f>
        <v>0</v>
      </c>
      <c r="AJ132" s="27" t="n">
        <f aca="false">+X132*$E132</f>
        <v>0</v>
      </c>
      <c r="AK132" s="27" t="n">
        <f aca="false">+Y132*$E132</f>
        <v>0</v>
      </c>
      <c r="AL132" s="27" t="n">
        <f aca="false">+Z132*$E132</f>
        <v>0</v>
      </c>
      <c r="AM132" s="27" t="n">
        <f aca="false">+AA132*$E132</f>
        <v>0</v>
      </c>
      <c r="AN132" s="27" t="n">
        <f aca="false">+AB132*$E132</f>
        <v>0</v>
      </c>
      <c r="AO132" s="27" t="n">
        <f aca="false">+AC132*$E132</f>
        <v>0</v>
      </c>
      <c r="AP132" s="27" t="n">
        <f aca="false">+AD132*$E132</f>
        <v>0</v>
      </c>
      <c r="AQ132" s="27" t="n">
        <f aca="false">+AE132*$E132</f>
        <v>0</v>
      </c>
    </row>
    <row r="133" customFormat="false" ht="12.75" hidden="false" customHeight="false" outlineLevel="0" collapsed="false">
      <c r="A133" s="6" t="s">
        <v>97</v>
      </c>
      <c r="B133" s="22" t="s">
        <v>58</v>
      </c>
      <c r="C133" s="0" t="n">
        <v>27504</v>
      </c>
      <c r="D133" s="0" t="n">
        <v>35000</v>
      </c>
      <c r="E133" s="2" t="s">
        <v>60</v>
      </c>
      <c r="F133" s="34" t="n">
        <v>37986</v>
      </c>
      <c r="G133" s="35" t="n">
        <v>38717</v>
      </c>
      <c r="H133" s="24" t="n">
        <v>0</v>
      </c>
      <c r="I133" s="24" t="n">
        <v>0</v>
      </c>
      <c r="J133" s="24" t="n">
        <v>0</v>
      </c>
      <c r="K133" s="24" t="n">
        <v>0</v>
      </c>
      <c r="L133" s="24" t="n">
        <v>366</v>
      </c>
      <c r="M133" s="24" t="n">
        <v>365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f aca="false">+G133-F133</f>
        <v>731</v>
      </c>
      <c r="T133" s="24" t="n">
        <f aca="false">SUM(H133:R133)</f>
        <v>731</v>
      </c>
      <c r="U133" s="24" t="n">
        <f aca="false">+H133*$D133</f>
        <v>0</v>
      </c>
      <c r="V133" s="24" t="n">
        <f aca="false">+I133*$D133</f>
        <v>0</v>
      </c>
      <c r="W133" s="24" t="n">
        <f aca="false">+J133*$D133</f>
        <v>0</v>
      </c>
      <c r="X133" s="24" t="n">
        <f aca="false">+K133*$D133</f>
        <v>0</v>
      </c>
      <c r="Y133" s="24" t="n">
        <f aca="false">+L133*$D133</f>
        <v>12810000</v>
      </c>
      <c r="Z133" s="24" t="n">
        <f aca="false">+M133*$D133</f>
        <v>12775000</v>
      </c>
      <c r="AA133" s="24" t="n">
        <f aca="false">+N133*$D133</f>
        <v>0</v>
      </c>
      <c r="AB133" s="24" t="n">
        <f aca="false">+O133*$D133</f>
        <v>0</v>
      </c>
      <c r="AC133" s="24" t="n">
        <f aca="false">+P133*$D133</f>
        <v>0</v>
      </c>
      <c r="AD133" s="24" t="n">
        <f aca="false">+Q133*$D133</f>
        <v>0</v>
      </c>
      <c r="AE133" s="24" t="n">
        <f aca="false">+R133*$D133</f>
        <v>0</v>
      </c>
      <c r="AG133" s="27" t="n">
        <f aca="false">+U133*'CSF Rates'!C$12</f>
        <v>0</v>
      </c>
      <c r="AH133" s="27" t="n">
        <f aca="false">+V133*'CSF Rates'!D$12</f>
        <v>0</v>
      </c>
      <c r="AI133" s="27" t="n">
        <f aca="false">+W133*'CSF Rates'!E$12</f>
        <v>0</v>
      </c>
      <c r="AJ133" s="27" t="n">
        <f aca="false">+X133*'CSF Rates'!F$12</f>
        <v>0</v>
      </c>
      <c r="AK133" s="27" t="n">
        <f aca="false">+Y133*'CSF Rates'!G$12</f>
        <v>1437068.5</v>
      </c>
      <c r="AL133" s="27" t="n">
        <f aca="false">+Z133*'CSF Rates'!H$12</f>
        <v>1462538</v>
      </c>
      <c r="AM133" s="27" t="n">
        <f aca="false">+AA133*'CSF Rates'!I$12</f>
        <v>0</v>
      </c>
      <c r="AN133" s="27" t="n">
        <f aca="false">+AB133*'CSF Rates'!J$12</f>
        <v>0</v>
      </c>
      <c r="AO133" s="27" t="n">
        <f aca="false">+AC133*'CSF Rates'!K$12</f>
        <v>0</v>
      </c>
      <c r="AP133" s="27" t="n">
        <f aca="false">+AD133*'CSF Rates'!L$12</f>
        <v>0</v>
      </c>
      <c r="AQ133" s="27" t="n">
        <f aca="false">+AE133*'CSF Rates'!M$12</f>
        <v>0</v>
      </c>
    </row>
    <row r="134" customFormat="false" ht="12.75" hidden="false" customHeight="false" outlineLevel="0" collapsed="false">
      <c r="A134" s="6" t="s">
        <v>97</v>
      </c>
      <c r="B134" s="22" t="s">
        <v>93</v>
      </c>
      <c r="C134" s="0" t="n">
        <v>24670</v>
      </c>
      <c r="D134" s="0" t="n">
        <v>10000</v>
      </c>
      <c r="E134" s="2" t="s">
        <v>60</v>
      </c>
      <c r="F134" s="34" t="n">
        <v>35490</v>
      </c>
      <c r="G134" s="35" t="n">
        <v>39172</v>
      </c>
      <c r="H134" s="24" t="n">
        <v>366</v>
      </c>
      <c r="I134" s="24" t="n">
        <v>365</v>
      </c>
      <c r="J134" s="24" t="n">
        <v>365</v>
      </c>
      <c r="K134" s="24" t="n">
        <v>365</v>
      </c>
      <c r="L134" s="24" t="n">
        <v>366</v>
      </c>
      <c r="M134" s="24" t="n">
        <v>365</v>
      </c>
      <c r="N134" s="24" t="n">
        <v>365</v>
      </c>
      <c r="O134" s="24" t="n">
        <f aca="false">G134-"12/31/06"</f>
        <v>90</v>
      </c>
      <c r="P134" s="24" t="n">
        <v>0</v>
      </c>
      <c r="Q134" s="24" t="n">
        <v>0</v>
      </c>
      <c r="R134" s="24" t="n">
        <v>0</v>
      </c>
      <c r="S134" s="24"/>
      <c r="T134" s="28"/>
      <c r="U134" s="24" t="n">
        <f aca="false">+H134*$D134</f>
        <v>3660000</v>
      </c>
      <c r="V134" s="24" t="n">
        <f aca="false">+I134*$D134</f>
        <v>3650000</v>
      </c>
      <c r="W134" s="24" t="n">
        <f aca="false">+J134*$D134</f>
        <v>3650000</v>
      </c>
      <c r="X134" s="24" t="n">
        <f aca="false">+K134*$D134</f>
        <v>3650000</v>
      </c>
      <c r="Y134" s="24" t="n">
        <f aca="false">+L134*$D134</f>
        <v>3660000</v>
      </c>
      <c r="Z134" s="24" t="n">
        <f aca="false">+M134*$D134</f>
        <v>3650000</v>
      </c>
      <c r="AA134" s="24" t="n">
        <f aca="false">+N134*$D134</f>
        <v>3650000</v>
      </c>
      <c r="AB134" s="24" t="n">
        <f aca="false">+O134*$D134</f>
        <v>900000</v>
      </c>
      <c r="AC134" s="24" t="n">
        <f aca="false">+P134*$D134</f>
        <v>0</v>
      </c>
      <c r="AD134" s="24" t="n">
        <f aca="false">+Q134*$D134</f>
        <v>0</v>
      </c>
      <c r="AE134" s="24" t="n">
        <f aca="false">+R134*$D134</f>
        <v>0</v>
      </c>
      <c r="AG134" s="27" t="e">
        <f aca="false">+U134*#REF!</f>
        <v>#REF!</v>
      </c>
      <c r="AH134" s="27" t="e">
        <f aca="false">+V134*#REF!</f>
        <v>#REF!</v>
      </c>
      <c r="AI134" s="27" t="e">
        <f aca="false">+W134*#REF!</f>
        <v>#REF!</v>
      </c>
      <c r="AJ134" s="27" t="e">
        <f aca="false">+X134*#REF!</f>
        <v>#REF!</v>
      </c>
      <c r="AK134" s="27" t="e">
        <f aca="false">+Y134*#REF!</f>
        <v>#REF!</v>
      </c>
      <c r="AL134" s="27" t="e">
        <f aca="false">+Z134*#REF!</f>
        <v>#REF!</v>
      </c>
      <c r="AM134" s="27" t="e">
        <f aca="false">+AA134*#REF!</f>
        <v>#REF!</v>
      </c>
      <c r="AN134" s="27" t="e">
        <f aca="false">+AB134*#REF!</f>
        <v>#REF!</v>
      </c>
      <c r="AO134" s="27" t="e">
        <f aca="false">+AC134*#REF!</f>
        <v>#REF!</v>
      </c>
      <c r="AP134" s="27" t="e">
        <f aca="false">+AD134*#REF!</f>
        <v>#REF!</v>
      </c>
      <c r="AQ134" s="27" t="e">
        <f aca="false">+AE134*#REF!</f>
        <v>#REF!</v>
      </c>
    </row>
    <row r="135" customFormat="false" ht="12.75" hidden="false" customHeight="false" outlineLevel="0" collapsed="false">
      <c r="A135" s="6" t="s">
        <v>97</v>
      </c>
      <c r="B135" s="22" t="s">
        <v>59</v>
      </c>
      <c r="C135" s="0" t="n">
        <v>8255</v>
      </c>
      <c r="D135" s="0" t="n">
        <v>306000</v>
      </c>
      <c r="E135" s="2" t="s">
        <v>60</v>
      </c>
      <c r="F135" s="34" t="n">
        <v>32782</v>
      </c>
      <c r="G135" s="35" t="n">
        <v>38656</v>
      </c>
      <c r="H135" s="24" t="n">
        <v>366</v>
      </c>
      <c r="I135" s="24" t="n">
        <v>365</v>
      </c>
      <c r="J135" s="24" t="n">
        <v>365</v>
      </c>
      <c r="K135" s="24" t="n">
        <v>365</v>
      </c>
      <c r="L135" s="24" t="n">
        <v>366</v>
      </c>
      <c r="M135" s="24" t="n">
        <f aca="false">G135-"12/31/04"</f>
        <v>304</v>
      </c>
      <c r="N135" s="24" t="n">
        <v>0</v>
      </c>
      <c r="O135" s="24" t="n">
        <v>0</v>
      </c>
      <c r="P135" s="24" t="n">
        <v>0</v>
      </c>
      <c r="Q135" s="24" t="n">
        <v>0</v>
      </c>
      <c r="R135" s="24" t="n">
        <v>0</v>
      </c>
      <c r="S135" s="24"/>
      <c r="T135" s="28"/>
      <c r="U135" s="24" t="n">
        <f aca="false">+H135*$D135</f>
        <v>111996000</v>
      </c>
      <c r="V135" s="24" t="n">
        <f aca="false">+I135*$D135</f>
        <v>111690000</v>
      </c>
      <c r="W135" s="24" t="n">
        <f aca="false">+J135*$D135</f>
        <v>111690000</v>
      </c>
      <c r="X135" s="24" t="n">
        <f aca="false">+K135*$D135</f>
        <v>111690000</v>
      </c>
      <c r="Y135" s="24" t="n">
        <f aca="false">+L135*$D135</f>
        <v>111996000</v>
      </c>
      <c r="Z135" s="24" t="n">
        <f aca="false">+M135*$D135</f>
        <v>93024000</v>
      </c>
      <c r="AA135" s="24" t="n">
        <f aca="false">+N135*$D135</f>
        <v>0</v>
      </c>
      <c r="AB135" s="24" t="n">
        <f aca="false">+O135*$D135</f>
        <v>0</v>
      </c>
      <c r="AC135" s="24" t="n">
        <f aca="false">+P135*$D135</f>
        <v>0</v>
      </c>
      <c r="AD135" s="24" t="n">
        <f aca="false">+Q135*$D135</f>
        <v>0</v>
      </c>
      <c r="AE135" s="24" t="n">
        <f aca="false">+R135*$D135</f>
        <v>0</v>
      </c>
      <c r="AG135" s="27" t="n">
        <f aca="false">+U135*'CSF Rates'!C16</f>
        <v>0</v>
      </c>
      <c r="AH135" s="27" t="n">
        <f aca="false">+V135*'CSF Rates'!D16</f>
        <v>0</v>
      </c>
      <c r="AI135" s="27" t="n">
        <f aca="false">+W135*'CSF Rates'!E16</f>
        <v>0</v>
      </c>
      <c r="AJ135" s="27" t="n">
        <f aca="false">+X135*'CSF Rates'!F16</f>
        <v>0</v>
      </c>
      <c r="AK135" s="27" t="n">
        <f aca="false">+Y135*'CSF Rates'!G16</f>
        <v>0</v>
      </c>
      <c r="AL135" s="27" t="n">
        <f aca="false">+Z135*'CSF Rates'!H16</f>
        <v>0</v>
      </c>
      <c r="AM135" s="27" t="n">
        <f aca="false">+AA135*'CSF Rates'!I16</f>
        <v>0</v>
      </c>
      <c r="AN135" s="27" t="n">
        <f aca="false">+AB135*'CSF Rates'!J16</f>
        <v>0</v>
      </c>
      <c r="AO135" s="27" t="n">
        <f aca="false">+AC135*'CSF Rates'!K16</f>
        <v>0</v>
      </c>
      <c r="AP135" s="27" t="n">
        <f aca="false">+AD135*'CSF Rates'!L16</f>
        <v>0</v>
      </c>
      <c r="AQ135" s="27" t="n">
        <f aca="false">+AE135*'CSF Rates'!M16</f>
        <v>0</v>
      </c>
    </row>
    <row r="136" customFormat="false" ht="12.75" hidden="false" customHeight="false" outlineLevel="0" collapsed="false">
      <c r="A136" s="6" t="s">
        <v>97</v>
      </c>
      <c r="B136" s="22" t="s">
        <v>95</v>
      </c>
      <c r="C136" s="0" t="n">
        <v>26719</v>
      </c>
      <c r="D136" s="0" t="n">
        <v>25000</v>
      </c>
      <c r="E136" s="2" t="s">
        <v>60</v>
      </c>
      <c r="F136" s="34" t="n">
        <v>36646</v>
      </c>
      <c r="G136" s="35" t="n">
        <v>38472</v>
      </c>
      <c r="H136" s="24" t="n">
        <f aca="false">"1/1/2001"-"5/1/2000"</f>
        <v>245</v>
      </c>
      <c r="I136" s="24" t="n">
        <v>365</v>
      </c>
      <c r="J136" s="24" t="n">
        <v>365</v>
      </c>
      <c r="K136" s="24" t="n">
        <v>365</v>
      </c>
      <c r="L136" s="24" t="n">
        <v>366</v>
      </c>
      <c r="M136" s="24" t="n">
        <f aca="false">G136-"12/31/2004"</f>
        <v>120</v>
      </c>
      <c r="N136" s="24" t="n">
        <v>0</v>
      </c>
      <c r="O136" s="24" t="n">
        <v>0</v>
      </c>
      <c r="P136" s="24" t="n">
        <v>0</v>
      </c>
      <c r="Q136" s="24" t="n">
        <v>0</v>
      </c>
      <c r="R136" s="24" t="n">
        <v>0</v>
      </c>
      <c r="S136" s="24" t="n">
        <f aca="false">+G136-F136</f>
        <v>1826</v>
      </c>
      <c r="T136" s="24" t="n">
        <f aca="false">SUM(H136:R136)</f>
        <v>1826</v>
      </c>
      <c r="U136" s="24" t="n">
        <f aca="false">+H136*$D136</f>
        <v>6125000</v>
      </c>
      <c r="V136" s="24" t="n">
        <f aca="false">+I136*$D136</f>
        <v>9125000</v>
      </c>
      <c r="W136" s="24" t="n">
        <f aca="false">+J136*$D136</f>
        <v>9125000</v>
      </c>
      <c r="X136" s="24" t="n">
        <f aca="false">+K136*$D136</f>
        <v>9125000</v>
      </c>
      <c r="Y136" s="24" t="n">
        <f aca="false">+L136*$D136</f>
        <v>9150000</v>
      </c>
      <c r="Z136" s="24" t="n">
        <f aca="false">+M136*$D136</f>
        <v>3000000</v>
      </c>
      <c r="AA136" s="24" t="n">
        <f aca="false">+N136*$D136</f>
        <v>0</v>
      </c>
      <c r="AB136" s="24" t="n">
        <f aca="false">+O136*$D136</f>
        <v>0</v>
      </c>
      <c r="AC136" s="24" t="n">
        <f aca="false">+P136*$D136</f>
        <v>0</v>
      </c>
      <c r="AD136" s="24" t="n">
        <f aca="false">+Q136*$D136</f>
        <v>0</v>
      </c>
      <c r="AE136" s="24" t="n">
        <f aca="false">+R136*$D136</f>
        <v>0</v>
      </c>
      <c r="AG136" s="27" t="n">
        <f aca="false">+U136*'CSF Rates'!C$12</f>
        <v>633631.25</v>
      </c>
      <c r="AH136" s="27" t="n">
        <f aca="false">+V136*'CSF Rates'!D$12</f>
        <v>963305</v>
      </c>
      <c r="AI136" s="27" t="n">
        <f aca="false">+W136*'CSF Rates'!E$12</f>
        <v>983380</v>
      </c>
      <c r="AJ136" s="27" t="n">
        <f aca="false">+X136*'CSF Rates'!F$12</f>
        <v>1003455</v>
      </c>
      <c r="AK136" s="27" t="n">
        <f aca="false">+Y136*'CSF Rates'!G$12</f>
        <v>1026477.5</v>
      </c>
      <c r="AL136" s="27" t="n">
        <f aca="false">+Z136*'CSF Rates'!H$12</f>
        <v>343453.150684932</v>
      </c>
      <c r="AM136" s="27" t="n">
        <f aca="false">+AA136*'CSF Rates'!I$12</f>
        <v>0</v>
      </c>
      <c r="AN136" s="27" t="n">
        <f aca="false">+AB136*'CSF Rates'!J$12</f>
        <v>0</v>
      </c>
      <c r="AO136" s="27" t="n">
        <f aca="false">+AC136*'CSF Rates'!K$12</f>
        <v>0</v>
      </c>
      <c r="AP136" s="27" t="n">
        <f aca="false">+AD136*'CSF Rates'!L$12</f>
        <v>0</v>
      </c>
      <c r="AQ136" s="27" t="n">
        <f aca="false">+AE136*'CSF Rates'!M$12</f>
        <v>0</v>
      </c>
    </row>
    <row r="137" customFormat="false" ht="12.75" hidden="false" customHeight="false" outlineLevel="0" collapsed="false">
      <c r="A137" s="6" t="s">
        <v>97</v>
      </c>
      <c r="B137" s="22" t="s">
        <v>61</v>
      </c>
      <c r="C137" s="37" t="n">
        <v>27252</v>
      </c>
      <c r="D137" s="0" t="n">
        <v>14000</v>
      </c>
      <c r="E137" s="2"/>
      <c r="F137" s="34" t="n">
        <v>36831</v>
      </c>
      <c r="G137" s="35" t="n">
        <v>40482</v>
      </c>
      <c r="H137" s="36" t="n">
        <f aca="false">"1/01/01"-F137</f>
        <v>61</v>
      </c>
      <c r="I137" s="36" t="n">
        <v>151</v>
      </c>
      <c r="J137" s="36" t="n">
        <v>151</v>
      </c>
      <c r="K137" s="36" t="n">
        <v>151</v>
      </c>
      <c r="L137" s="36" t="n">
        <v>152</v>
      </c>
      <c r="M137" s="36" t="n">
        <v>151</v>
      </c>
      <c r="N137" s="36" t="n">
        <v>151</v>
      </c>
      <c r="O137" s="36" t="n">
        <v>151</v>
      </c>
      <c r="P137" s="36" t="n">
        <v>152</v>
      </c>
      <c r="Q137" s="36" t="n">
        <v>151</v>
      </c>
      <c r="R137" s="36" t="n">
        <v>151</v>
      </c>
      <c r="S137" s="24"/>
      <c r="T137" s="28"/>
      <c r="U137" s="24" t="n">
        <f aca="false">+H137*$D137</f>
        <v>854000</v>
      </c>
      <c r="V137" s="24" t="n">
        <f aca="false">+I137*$D137</f>
        <v>2114000</v>
      </c>
      <c r="W137" s="24" t="n">
        <f aca="false">+J137*$D137</f>
        <v>2114000</v>
      </c>
      <c r="X137" s="24" t="n">
        <f aca="false">+K137*$D137</f>
        <v>2114000</v>
      </c>
      <c r="Y137" s="24" t="n">
        <f aca="false">+L137*$D137</f>
        <v>2128000</v>
      </c>
      <c r="Z137" s="24" t="n">
        <f aca="false">+M137*$D137</f>
        <v>2114000</v>
      </c>
      <c r="AA137" s="24" t="n">
        <f aca="false">+N137*$D137</f>
        <v>2114000</v>
      </c>
      <c r="AB137" s="24" t="n">
        <f aca="false">+O137*$D137</f>
        <v>2114000</v>
      </c>
      <c r="AC137" s="24" t="n">
        <f aca="false">+P137*$D137</f>
        <v>2128000</v>
      </c>
      <c r="AD137" s="24" t="n">
        <f aca="false">+Q137*$D137</f>
        <v>2114000</v>
      </c>
      <c r="AE137" s="24" t="n">
        <f aca="false">+R137*$D137</f>
        <v>2114000</v>
      </c>
      <c r="AG137" s="27" t="n">
        <f aca="false">+U137*$E137</f>
        <v>0</v>
      </c>
      <c r="AH137" s="27" t="n">
        <f aca="false">+V137*$E137</f>
        <v>0</v>
      </c>
      <c r="AI137" s="27" t="n">
        <f aca="false">+W137*$E137</f>
        <v>0</v>
      </c>
      <c r="AJ137" s="27" t="n">
        <f aca="false">+X137*$E137</f>
        <v>0</v>
      </c>
      <c r="AK137" s="27" t="n">
        <f aca="false">+Y137*$E137</f>
        <v>0</v>
      </c>
      <c r="AL137" s="27" t="n">
        <f aca="false">+Z137*$E137</f>
        <v>0</v>
      </c>
      <c r="AM137" s="27" t="n">
        <f aca="false">+AA137*$E137</f>
        <v>0</v>
      </c>
      <c r="AN137" s="27" t="n">
        <f aca="false">+AB137*$E137</f>
        <v>0</v>
      </c>
      <c r="AO137" s="27" t="n">
        <f aca="false">+AC137*$E137</f>
        <v>0</v>
      </c>
      <c r="AP137" s="27" t="n">
        <f aca="false">+AD137*$E137</f>
        <v>0</v>
      </c>
      <c r="AQ137" s="27" t="n">
        <f aca="false">+AE137*$E137</f>
        <v>0</v>
      </c>
    </row>
    <row r="138" customFormat="false" ht="12.75" hidden="false" customHeight="false" outlineLevel="0" collapsed="false">
      <c r="A138" s="6" t="s">
        <v>97</v>
      </c>
      <c r="B138" s="22" t="s">
        <v>96</v>
      </c>
      <c r="C138" s="0" t="n">
        <v>26960</v>
      </c>
      <c r="D138" s="0" t="n">
        <v>20000</v>
      </c>
      <c r="E138" s="2" t="s">
        <v>60</v>
      </c>
      <c r="F138" s="34" t="n">
        <v>36525</v>
      </c>
      <c r="G138" s="35" t="n">
        <v>38077</v>
      </c>
      <c r="H138" s="24" t="n">
        <v>366</v>
      </c>
      <c r="I138" s="24" t="n">
        <v>365</v>
      </c>
      <c r="J138" s="24" t="n">
        <v>365</v>
      </c>
      <c r="K138" s="24" t="n">
        <v>365</v>
      </c>
      <c r="L138" s="24" t="n">
        <f aca="false">+G138-"12/31/03"</f>
        <v>91</v>
      </c>
      <c r="M138" s="24" t="n">
        <v>0</v>
      </c>
      <c r="N138" s="24" t="n">
        <v>0</v>
      </c>
      <c r="O138" s="24" t="n">
        <v>0</v>
      </c>
      <c r="P138" s="24" t="n">
        <v>0</v>
      </c>
      <c r="Q138" s="24" t="n">
        <v>0</v>
      </c>
      <c r="R138" s="24" t="n">
        <v>0</v>
      </c>
      <c r="S138" s="24" t="n">
        <f aca="false">+G138-F138</f>
        <v>1552</v>
      </c>
      <c r="T138" s="24" t="n">
        <f aca="false">SUM(H138:R138)</f>
        <v>1552</v>
      </c>
      <c r="U138" s="24" t="n">
        <f aca="false">+H138*$D138</f>
        <v>7320000</v>
      </c>
      <c r="V138" s="24" t="n">
        <f aca="false">+I138*$D138</f>
        <v>7300000</v>
      </c>
      <c r="W138" s="24" t="n">
        <f aca="false">+J138*$D138</f>
        <v>7300000</v>
      </c>
      <c r="X138" s="24" t="n">
        <f aca="false">+K138*$D138</f>
        <v>7300000</v>
      </c>
      <c r="Y138" s="24" t="n">
        <f aca="false">+L138*$D138</f>
        <v>1820000</v>
      </c>
      <c r="Z138" s="24" t="n">
        <f aca="false">+M138*$D138</f>
        <v>0</v>
      </c>
      <c r="AA138" s="24" t="n">
        <f aca="false">+N138*$D138</f>
        <v>0</v>
      </c>
      <c r="AB138" s="24" t="n">
        <f aca="false">+O138*$D138</f>
        <v>0</v>
      </c>
      <c r="AC138" s="24" t="n">
        <f aca="false">+P138*$D138</f>
        <v>0</v>
      </c>
      <c r="AD138" s="24" t="n">
        <f aca="false">+Q138*$D138</f>
        <v>0</v>
      </c>
      <c r="AE138" s="24" t="n">
        <f aca="false">+R138*$D138</f>
        <v>0</v>
      </c>
      <c r="AG138" s="27" t="n">
        <f aca="false">+U138*'CSF Rates'!C$12</f>
        <v>757254</v>
      </c>
      <c r="AH138" s="27" t="n">
        <f aca="false">+V138*'CSF Rates'!D$12</f>
        <v>770644</v>
      </c>
      <c r="AI138" s="27" t="n">
        <f aca="false">+W138*'CSF Rates'!E$12</f>
        <v>786704</v>
      </c>
      <c r="AJ138" s="27" t="n">
        <f aca="false">+X138*'CSF Rates'!F$12</f>
        <v>802764</v>
      </c>
      <c r="AK138" s="27" t="n">
        <f aca="false">+Y138*'CSF Rates'!G$12</f>
        <v>204173.666666667</v>
      </c>
      <c r="AL138" s="27" t="n">
        <f aca="false">+Z138*'CSF Rates'!H$12</f>
        <v>0</v>
      </c>
      <c r="AM138" s="27" t="n">
        <f aca="false">+AA138*'CSF Rates'!I$12</f>
        <v>0</v>
      </c>
      <c r="AN138" s="27" t="n">
        <f aca="false">+AB138*'CSF Rates'!J$12</f>
        <v>0</v>
      </c>
      <c r="AO138" s="27" t="n">
        <f aca="false">+AC138*'CSF Rates'!K$12</f>
        <v>0</v>
      </c>
      <c r="AP138" s="27" t="n">
        <f aca="false">+AD138*'CSF Rates'!L$12</f>
        <v>0</v>
      </c>
      <c r="AQ138" s="27" t="n">
        <f aca="false">+AE138*'CSF Rates'!M$12</f>
        <v>0</v>
      </c>
    </row>
    <row r="139" customFormat="false" ht="12.75" hidden="false" customHeight="false" outlineLevel="0" collapsed="false">
      <c r="A139" s="6" t="s">
        <v>97</v>
      </c>
      <c r="B139" s="22" t="s">
        <v>62</v>
      </c>
      <c r="C139" s="0" t="n">
        <v>25850</v>
      </c>
      <c r="D139" s="0" t="n">
        <v>30000</v>
      </c>
      <c r="E139" s="2" t="n">
        <v>0.1354</v>
      </c>
      <c r="F139" s="34"/>
      <c r="G139" s="35" t="n">
        <v>36556</v>
      </c>
      <c r="H139" s="36" t="n">
        <f aca="false">G139-"12/31/99"</f>
        <v>31</v>
      </c>
      <c r="I139" s="36" t="n">
        <v>0</v>
      </c>
      <c r="J139" s="36" t="n">
        <v>0</v>
      </c>
      <c r="K139" s="36" t="n">
        <v>0</v>
      </c>
      <c r="L139" s="36" t="n">
        <v>0</v>
      </c>
      <c r="M139" s="36" t="n">
        <v>0</v>
      </c>
      <c r="N139" s="36" t="n">
        <v>0</v>
      </c>
      <c r="O139" s="36" t="n">
        <v>0</v>
      </c>
      <c r="P139" s="36" t="n">
        <v>0</v>
      </c>
      <c r="Q139" s="36" t="n">
        <v>0</v>
      </c>
      <c r="R139" s="36" t="n">
        <v>0</v>
      </c>
      <c r="S139" s="24"/>
      <c r="T139" s="28"/>
      <c r="U139" s="24" t="n">
        <f aca="false">+H139*$D139</f>
        <v>930000</v>
      </c>
      <c r="V139" s="24" t="n">
        <f aca="false">+I139*$D139</f>
        <v>0</v>
      </c>
      <c r="W139" s="24" t="n">
        <f aca="false">+J139*$D139</f>
        <v>0</v>
      </c>
      <c r="X139" s="24" t="n">
        <f aca="false">+K139*$D139</f>
        <v>0</v>
      </c>
      <c r="Y139" s="24" t="n">
        <f aca="false">+L139*$D139</f>
        <v>0</v>
      </c>
      <c r="Z139" s="24" t="n">
        <f aca="false">+M139*$D139</f>
        <v>0</v>
      </c>
      <c r="AA139" s="24" t="n">
        <f aca="false">+N139*$D139</f>
        <v>0</v>
      </c>
      <c r="AB139" s="24" t="n">
        <f aca="false">+O139*$D139</f>
        <v>0</v>
      </c>
      <c r="AC139" s="24" t="n">
        <f aca="false">+P139*$D139</f>
        <v>0</v>
      </c>
      <c r="AD139" s="24" t="n">
        <f aca="false">+Q139*$D139</f>
        <v>0</v>
      </c>
      <c r="AE139" s="24" t="n">
        <f aca="false">+R139*$D139</f>
        <v>0</v>
      </c>
      <c r="AG139" s="27" t="n">
        <f aca="false">+U139*$E139</f>
        <v>125922</v>
      </c>
      <c r="AH139" s="27" t="n">
        <f aca="false">+V139*$E139</f>
        <v>0</v>
      </c>
      <c r="AI139" s="27" t="n">
        <f aca="false">+W139*$E139</f>
        <v>0</v>
      </c>
      <c r="AJ139" s="27" t="n">
        <f aca="false">+X139*$E139</f>
        <v>0</v>
      </c>
      <c r="AK139" s="27" t="n">
        <f aca="false">+Y139*$E139</f>
        <v>0</v>
      </c>
      <c r="AL139" s="27" t="n">
        <f aca="false">+Z139*$E139</f>
        <v>0</v>
      </c>
      <c r="AM139" s="27" t="n">
        <f aca="false">+AA139*$E139</f>
        <v>0</v>
      </c>
      <c r="AN139" s="27" t="n">
        <f aca="false">+AB139*$E139</f>
        <v>0</v>
      </c>
      <c r="AO139" s="27" t="n">
        <f aca="false">+AC139*$E139</f>
        <v>0</v>
      </c>
      <c r="AP139" s="27" t="n">
        <f aca="false">+AD139*$E139</f>
        <v>0</v>
      </c>
      <c r="AQ139" s="27" t="n">
        <f aca="false">+AE139*$E139</f>
        <v>0</v>
      </c>
    </row>
    <row r="140" customFormat="false" ht="12.75" hidden="false" customHeight="false" outlineLevel="0" collapsed="false">
      <c r="A140" s="6" t="s">
        <v>97</v>
      </c>
      <c r="B140" s="22" t="s">
        <v>46</v>
      </c>
      <c r="C140" s="0" t="n">
        <v>26393</v>
      </c>
      <c r="D140" s="0" t="n">
        <v>30000</v>
      </c>
      <c r="E140" s="2" t="n">
        <v>0.113</v>
      </c>
      <c r="F140" s="34"/>
      <c r="G140" s="35" t="n">
        <v>36616</v>
      </c>
      <c r="H140" s="36" t="n">
        <f aca="false">G140-"12/31/99"</f>
        <v>91</v>
      </c>
      <c r="I140" s="36" t="n">
        <v>0</v>
      </c>
      <c r="J140" s="36" t="n">
        <v>0</v>
      </c>
      <c r="K140" s="36" t="n">
        <v>0</v>
      </c>
      <c r="L140" s="36" t="n">
        <v>0</v>
      </c>
      <c r="M140" s="36" t="n">
        <v>0</v>
      </c>
      <c r="N140" s="36" t="n">
        <v>0</v>
      </c>
      <c r="O140" s="36" t="n">
        <v>0</v>
      </c>
      <c r="P140" s="36" t="n">
        <v>0</v>
      </c>
      <c r="Q140" s="36" t="n">
        <v>0</v>
      </c>
      <c r="R140" s="36" t="n">
        <v>0</v>
      </c>
      <c r="S140" s="24"/>
      <c r="T140" s="28"/>
      <c r="U140" s="24" t="n">
        <f aca="false">+H140*$D140</f>
        <v>2730000</v>
      </c>
      <c r="V140" s="24" t="n">
        <f aca="false">+I140*$D140</f>
        <v>0</v>
      </c>
      <c r="W140" s="24" t="n">
        <f aca="false">+J140*$D140</f>
        <v>0</v>
      </c>
      <c r="X140" s="24" t="n">
        <f aca="false">+K140*$D140</f>
        <v>0</v>
      </c>
      <c r="Y140" s="24" t="n">
        <f aca="false">+L140*$D140</f>
        <v>0</v>
      </c>
      <c r="Z140" s="24" t="n">
        <f aca="false">+M140*$D140</f>
        <v>0</v>
      </c>
      <c r="AA140" s="24" t="n">
        <f aca="false">+N140*$D140</f>
        <v>0</v>
      </c>
      <c r="AB140" s="24" t="n">
        <f aca="false">+O140*$D140</f>
        <v>0</v>
      </c>
      <c r="AC140" s="24" t="n">
        <f aca="false">+P140*$D140</f>
        <v>0</v>
      </c>
      <c r="AD140" s="24" t="n">
        <f aca="false">+Q140*$D140</f>
        <v>0</v>
      </c>
      <c r="AE140" s="24" t="n">
        <f aca="false">+R140*$D140</f>
        <v>0</v>
      </c>
      <c r="AG140" s="27" t="n">
        <f aca="false">+U140*$E140</f>
        <v>308490</v>
      </c>
      <c r="AH140" s="27" t="n">
        <f aca="false">+V140*$E140</f>
        <v>0</v>
      </c>
      <c r="AI140" s="27" t="n">
        <f aca="false">+W140*$E140</f>
        <v>0</v>
      </c>
      <c r="AJ140" s="27" t="n">
        <f aca="false">+X140*$E140</f>
        <v>0</v>
      </c>
      <c r="AK140" s="27" t="n">
        <f aca="false">+Y140*$E140</f>
        <v>0</v>
      </c>
      <c r="AL140" s="27" t="n">
        <f aca="false">+Z140*$E140</f>
        <v>0</v>
      </c>
      <c r="AM140" s="27" t="n">
        <f aca="false">+AA140*$E140</f>
        <v>0</v>
      </c>
      <c r="AN140" s="27" t="n">
        <f aca="false">+AB140*$E140</f>
        <v>0</v>
      </c>
      <c r="AO140" s="27" t="n">
        <f aca="false">+AC140*$E140</f>
        <v>0</v>
      </c>
      <c r="AP140" s="27" t="n">
        <f aca="false">+AD140*$E140</f>
        <v>0</v>
      </c>
      <c r="AQ140" s="27" t="n">
        <f aca="false">+AE140*$E140</f>
        <v>0</v>
      </c>
    </row>
    <row r="141" customFormat="false" ht="12.75" hidden="false" customHeight="false" outlineLevel="0" collapsed="false">
      <c r="B141" s="22" t="s">
        <v>104</v>
      </c>
      <c r="E141" s="2"/>
      <c r="F141" s="2"/>
      <c r="G141" s="39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 t="n">
        <f aca="false">+U140/H$1</f>
        <v>7459.01639344262</v>
      </c>
      <c r="V141" s="24" t="n">
        <f aca="false">+V140/I$1</f>
        <v>0</v>
      </c>
      <c r="W141" s="24" t="n">
        <f aca="false">+W140/J$1</f>
        <v>0</v>
      </c>
      <c r="X141" s="24" t="n">
        <f aca="false">+X140/K$1</f>
        <v>0</v>
      </c>
      <c r="Y141" s="24" t="n">
        <f aca="false">+Y140/L$1</f>
        <v>0</v>
      </c>
      <c r="Z141" s="24" t="n">
        <f aca="false">+Z140/M$1</f>
        <v>0</v>
      </c>
      <c r="AA141" s="24" t="n">
        <f aca="false">+AA140/N$1</f>
        <v>0</v>
      </c>
      <c r="AB141" s="24" t="n">
        <f aca="false">+AB140/O$1</f>
        <v>0</v>
      </c>
      <c r="AC141" s="24" t="n">
        <f aca="false">+AC140/P$1</f>
        <v>0</v>
      </c>
      <c r="AD141" s="24" t="n">
        <f aca="false">+AD140/Q$1</f>
        <v>0</v>
      </c>
      <c r="AE141" s="24" t="n">
        <f aca="false">+AE140/R$1</f>
        <v>0</v>
      </c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</row>
    <row r="142" customFormat="false" ht="12.75" hidden="false" customHeight="false" outlineLevel="0" collapsed="false">
      <c r="B142" s="22" t="s">
        <v>104</v>
      </c>
      <c r="G142" s="35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8"/>
      <c r="U142" s="56" t="n">
        <f aca="false">+U141/H77</f>
        <v>20.3798262115919</v>
      </c>
      <c r="V142" s="56" t="n">
        <f aca="false">+V141/I77</f>
        <v>0</v>
      </c>
      <c r="W142" s="56" t="n">
        <f aca="false">+W141/J77</f>
        <v>0</v>
      </c>
      <c r="X142" s="56" t="n">
        <f aca="false">+X141/K77</f>
        <v>0</v>
      </c>
      <c r="Y142" s="56" t="e">
        <f aca="false">+Y141/L77</f>
        <v>#DIV/0!</v>
      </c>
      <c r="Z142" s="56" t="e">
        <f aca="false">+Z141/M77</f>
        <v>#DIV/0!</v>
      </c>
      <c r="AA142" s="56" t="e">
        <f aca="false">+AA141/N77</f>
        <v>#DIV/0!</v>
      </c>
      <c r="AB142" s="56" t="e">
        <f aca="false">+AB141/O77</f>
        <v>#DIV/0!</v>
      </c>
      <c r="AC142" s="56" t="e">
        <f aca="false">+AC141/P77</f>
        <v>#DIV/0!</v>
      </c>
      <c r="AD142" s="56" t="e">
        <f aca="false">+AD141/Q77</f>
        <v>#DIV/0!</v>
      </c>
      <c r="AE142" s="56" t="e">
        <f aca="false">+AE141/R77</f>
        <v>#DIV/0!</v>
      </c>
    </row>
    <row r="143" customFormat="false" ht="12.75" hidden="false" customHeight="false" outlineLevel="0" collapsed="false">
      <c r="B143" s="6" t="s">
        <v>28</v>
      </c>
      <c r="G143" s="39"/>
      <c r="AL143" s="57"/>
      <c r="AM143" s="57"/>
      <c r="AN143" s="57"/>
      <c r="AO143" s="57"/>
      <c r="AP143" s="57"/>
      <c r="AQ143" s="57"/>
    </row>
    <row r="144" customFormat="false" ht="12.75" hidden="false" customHeight="false" outlineLevel="0" collapsed="false">
      <c r="B144" s="6" t="s">
        <v>49</v>
      </c>
      <c r="G144" s="39"/>
    </row>
    <row r="145" customFormat="false" ht="12.75" hidden="false" customHeight="false" outlineLevel="0" collapsed="false">
      <c r="B145" s="6" t="s">
        <v>63</v>
      </c>
      <c r="G145" s="39"/>
      <c r="AL145" s="57"/>
      <c r="AM145" s="57"/>
      <c r="AN145" s="57"/>
      <c r="AO145" s="57"/>
      <c r="AP145" s="57"/>
      <c r="AQ145" s="57"/>
    </row>
    <row r="146" customFormat="false" ht="12.75" hidden="false" customHeight="false" outlineLevel="0" collapsed="false">
      <c r="B146" s="22" t="s">
        <v>105</v>
      </c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8"/>
      <c r="U146" s="56" t="e">
        <f aca="false">+#REF!/H30</f>
        <v>#REF!</v>
      </c>
      <c r="V146" s="56" t="e">
        <f aca="false">+#REF!/I30</f>
        <v>#REF!</v>
      </c>
      <c r="W146" s="56" t="e">
        <f aca="false">+#REF!/J30</f>
        <v>#REF!</v>
      </c>
      <c r="X146" s="56" t="e">
        <f aca="false">+#REF!/K30</f>
        <v>#REF!</v>
      </c>
      <c r="Y146" s="56" t="e">
        <f aca="false">+#REF!/L30</f>
        <v>#REF!</v>
      </c>
      <c r="Z146" s="56" t="e">
        <f aca="false">+#REF!/M30</f>
        <v>#REF!</v>
      </c>
      <c r="AA146" s="56" t="e">
        <f aca="false">+#REF!/N30</f>
        <v>#REF!</v>
      </c>
      <c r="AB146" s="56" t="e">
        <f aca="false">+#REF!/O30</f>
        <v>#REF!</v>
      </c>
      <c r="AC146" s="56" t="e">
        <f aca="false">+#REF!/P30</f>
        <v>#REF!</v>
      </c>
      <c r="AD146" s="56" t="e">
        <f aca="false">+#REF!/Q30</f>
        <v>#REF!</v>
      </c>
      <c r="AE146" s="56" t="e">
        <f aca="false">+#REF!/R30</f>
        <v>#REF!</v>
      </c>
    </row>
    <row r="147" customFormat="false" ht="12.75" hidden="false" customHeight="false" outlineLevel="0" collapsed="false">
      <c r="B147" s="22" t="s">
        <v>105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8"/>
      <c r="U147" s="56" t="e">
        <f aca="false">+U146/H31</f>
        <v>#REF!</v>
      </c>
      <c r="V147" s="56" t="e">
        <f aca="false">+V146/I31</f>
        <v>#REF!</v>
      </c>
      <c r="W147" s="56" t="e">
        <f aca="false">+W146/J31</f>
        <v>#REF!</v>
      </c>
      <c r="X147" s="56" t="e">
        <f aca="false">+X146/K31</f>
        <v>#REF!</v>
      </c>
      <c r="Y147" s="56" t="e">
        <f aca="false">+Y146/L31</f>
        <v>#REF!</v>
      </c>
      <c r="Z147" s="56" t="e">
        <f aca="false">+Z146/M31</f>
        <v>#REF!</v>
      </c>
      <c r="AA147" s="56" t="e">
        <f aca="false">+AA146/N31</f>
        <v>#REF!</v>
      </c>
      <c r="AB147" s="56" t="e">
        <f aca="false">+AB146/O31</f>
        <v>#REF!</v>
      </c>
      <c r="AC147" s="56" t="e">
        <f aca="false">+AC146/P31</f>
        <v>#REF!</v>
      </c>
      <c r="AD147" s="56" t="e">
        <f aca="false">+AD146/Q31</f>
        <v>#REF!</v>
      </c>
      <c r="AE147" s="56" t="e">
        <f aca="false">+AE146/R31</f>
        <v>#REF!</v>
      </c>
    </row>
    <row r="148" customFormat="false" ht="12.75" hidden="false" customHeight="false" outlineLevel="0" collapsed="false">
      <c r="B148" s="22" t="s">
        <v>105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8"/>
      <c r="U148" s="56" t="e">
        <f aca="false">+U147/#REF!</f>
        <v>#REF!</v>
      </c>
      <c r="V148" s="56" t="e">
        <f aca="false">+V147/#REF!</f>
        <v>#REF!</v>
      </c>
      <c r="W148" s="56" t="e">
        <f aca="false">+W147/#REF!</f>
        <v>#REF!</v>
      </c>
      <c r="X148" s="56" t="e">
        <f aca="false">+X147/#REF!</f>
        <v>#REF!</v>
      </c>
      <c r="Y148" s="56" t="e">
        <f aca="false">+Y147/#REF!</f>
        <v>#REF!</v>
      </c>
      <c r="Z148" s="56" t="e">
        <f aca="false">+Z147/#REF!</f>
        <v>#REF!</v>
      </c>
      <c r="AA148" s="56" t="e">
        <f aca="false">+AA147/#REF!</f>
        <v>#REF!</v>
      </c>
      <c r="AB148" s="56" t="e">
        <f aca="false">+AB147/#REF!</f>
        <v>#REF!</v>
      </c>
      <c r="AC148" s="56" t="e">
        <f aca="false">+AC147/#REF!</f>
        <v>#REF!</v>
      </c>
      <c r="AD148" s="56" t="e">
        <f aca="false">+AD147/#REF!</f>
        <v>#REF!</v>
      </c>
      <c r="AE148" s="56" t="e">
        <f aca="false">+AE147/#REF!</f>
        <v>#REF!</v>
      </c>
    </row>
    <row r="149" customFormat="false" ht="12.75" hidden="false" customHeight="false" outlineLevel="0" collapsed="false">
      <c r="B149" s="6" t="s">
        <v>97</v>
      </c>
      <c r="G149" s="39"/>
      <c r="AK149" s="0" t="s">
        <v>106</v>
      </c>
      <c r="AL149" s="57" t="n">
        <v>0.5</v>
      </c>
      <c r="AM149" s="57" t="n">
        <f aca="false">+AL149</f>
        <v>0.5</v>
      </c>
      <c r="AN149" s="57" t="n">
        <f aca="false">+AM149</f>
        <v>0.5</v>
      </c>
      <c r="AO149" s="57" t="n">
        <f aca="false">+AN149</f>
        <v>0.5</v>
      </c>
      <c r="AP149" s="57" t="n">
        <f aca="false">+AO149</f>
        <v>0.5</v>
      </c>
      <c r="AQ149" s="57" t="n">
        <f aca="false">+AP149</f>
        <v>0.5</v>
      </c>
    </row>
    <row r="150" customFormat="false" ht="12.75" hidden="false" customHeight="false" outlineLevel="0" collapsed="false">
      <c r="B150" s="22" t="s">
        <v>18</v>
      </c>
      <c r="E150" s="2"/>
      <c r="F150" s="2"/>
      <c r="G150" s="39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 t="e">
        <f aca="false">SUM(U120:U148)</f>
        <v>#REF!</v>
      </c>
      <c r="V150" s="24" t="e">
        <f aca="false">SUM(V120:V148)</f>
        <v>#REF!</v>
      </c>
      <c r="W150" s="24" t="e">
        <f aca="false">SUM(W120:W148)</f>
        <v>#REF!</v>
      </c>
      <c r="X150" s="24" t="e">
        <f aca="false">SUM(X120:X148)</f>
        <v>#REF!</v>
      </c>
      <c r="Y150" s="24" t="e">
        <f aca="false">SUM(Y120:Y148)</f>
        <v>#REF!</v>
      </c>
      <c r="Z150" s="24" t="e">
        <f aca="false">SUM(Z120:Z148)</f>
        <v>#REF!</v>
      </c>
      <c r="AA150" s="24" t="e">
        <f aca="false">SUM(AA120:AA148)</f>
        <v>#REF!</v>
      </c>
      <c r="AB150" s="24" t="e">
        <f aca="false">SUM(AB120:AB148)</f>
        <v>#REF!</v>
      </c>
      <c r="AC150" s="24" t="e">
        <f aca="false">SUM(AC120:AC148)</f>
        <v>#REF!</v>
      </c>
      <c r="AD150" s="24" t="e">
        <f aca="false">SUM(AD120:AD148)</f>
        <v>#REF!</v>
      </c>
      <c r="AE150" s="24" t="e">
        <f aca="false">SUM(AE120:AE148)</f>
        <v>#REF!</v>
      </c>
      <c r="AG150" s="24" t="e">
        <f aca="false">SUM(AG120:AG148)</f>
        <v>#REF!</v>
      </c>
      <c r="AH150" s="24" t="e">
        <f aca="false">SUM(AH120:AH148)</f>
        <v>#REF!</v>
      </c>
      <c r="AI150" s="24" t="e">
        <f aca="false">SUM(AI120:AI148)</f>
        <v>#REF!</v>
      </c>
      <c r="AJ150" s="24" t="e">
        <f aca="false">SUM(AJ120:AJ148)</f>
        <v>#REF!</v>
      </c>
      <c r="AK150" s="24" t="e">
        <f aca="false">SUM(AK120:AK148)</f>
        <v>#REF!</v>
      </c>
      <c r="AL150" s="24" t="e">
        <f aca="false">SUM(AL120:AL148)</f>
        <v>#REF!</v>
      </c>
      <c r="AM150" s="24" t="e">
        <f aca="false">SUM(AM120:AM148)</f>
        <v>#REF!</v>
      </c>
      <c r="AN150" s="24" t="e">
        <f aca="false">SUM(AN120:AN148)</f>
        <v>#REF!</v>
      </c>
      <c r="AO150" s="24" t="e">
        <f aca="false">SUM(AO120:AO148)</f>
        <v>#REF!</v>
      </c>
      <c r="AP150" s="24" t="e">
        <f aca="false">SUM(AP120:AP148)</f>
        <v>#REF!</v>
      </c>
      <c r="AQ150" s="24" t="e">
        <f aca="false">SUM(AQ120:AQ148)</f>
        <v>#REF!</v>
      </c>
    </row>
    <row r="151" customFormat="false" ht="12.75" hidden="false" customHeight="false" outlineLevel="0" collapsed="false">
      <c r="B151" s="22" t="s">
        <v>18</v>
      </c>
      <c r="E151" s="2"/>
      <c r="F151" s="2"/>
      <c r="G151" s="35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8"/>
      <c r="U151" s="24" t="e">
        <f aca="false">SUM(U136:U149)</f>
        <v>#REF!</v>
      </c>
      <c r="V151" s="24" t="e">
        <f aca="false">SUM(V136:V149)</f>
        <v>#REF!</v>
      </c>
      <c r="W151" s="24" t="e">
        <f aca="false">SUM(W136:W149)</f>
        <v>#REF!</v>
      </c>
      <c r="X151" s="24" t="e">
        <f aca="false">SUM(X136:X149)</f>
        <v>#REF!</v>
      </c>
      <c r="Y151" s="24" t="e">
        <f aca="false">SUM(Y136:Y149)</f>
        <v>#REF!</v>
      </c>
      <c r="Z151" s="24" t="e">
        <f aca="false">SUM(Z136:Z149)</f>
        <v>#REF!</v>
      </c>
      <c r="AA151" s="24" t="e">
        <f aca="false">SUM(AA136:AA149)</f>
        <v>#REF!</v>
      </c>
      <c r="AB151" s="24" t="e">
        <f aca="false">SUM(AB136:AB149)</f>
        <v>#REF!</v>
      </c>
      <c r="AC151" s="24" t="e">
        <f aca="false">SUM(AC136:AC149)</f>
        <v>#REF!</v>
      </c>
      <c r="AD151" s="24" t="e">
        <f aca="false">SUM(AD136:AD149)</f>
        <v>#REF!</v>
      </c>
      <c r="AE151" s="24" t="e">
        <f aca="false">SUM(AE136:AE149)</f>
        <v>#REF!</v>
      </c>
      <c r="AG151" s="27" t="n">
        <f aca="false">SUM(AG136:AG145)</f>
        <v>1825297.25</v>
      </c>
      <c r="AH151" s="27" t="n">
        <f aca="false">SUM(AH136:AH145)</f>
        <v>1733949</v>
      </c>
      <c r="AI151" s="27" t="n">
        <f aca="false">SUM(AI136:AI145)</f>
        <v>1770084</v>
      </c>
      <c r="AJ151" s="27" t="n">
        <f aca="false">SUM(AJ136:AJ145)</f>
        <v>1806219</v>
      </c>
      <c r="AK151" s="27" t="n">
        <f aca="false">SUM(AK136:AK145)</f>
        <v>1230651.16666667</v>
      </c>
      <c r="AL151" s="27" t="n">
        <f aca="false">SUM(AL136:AL145)</f>
        <v>343453.150684932</v>
      </c>
      <c r="AM151" s="27" t="n">
        <f aca="false">SUM(AM136:AM145)</f>
        <v>0</v>
      </c>
      <c r="AN151" s="27" t="n">
        <f aca="false">SUM(AN136:AN145)</f>
        <v>0</v>
      </c>
      <c r="AO151" s="27" t="n">
        <f aca="false">SUM(AO136:AO145)</f>
        <v>0</v>
      </c>
      <c r="AP151" s="27" t="n">
        <f aca="false">SUM(AP136:AP145)</f>
        <v>0</v>
      </c>
      <c r="AQ151" s="27" t="n">
        <f aca="false">SUM(AQ136:AQ145)</f>
        <v>0</v>
      </c>
    </row>
    <row r="152" customFormat="false" ht="13.5" hidden="false" customHeight="false" outlineLevel="0" collapsed="false">
      <c r="B152" s="51" t="s">
        <v>18</v>
      </c>
      <c r="C152" s="12"/>
      <c r="D152" s="12"/>
      <c r="E152" s="14"/>
      <c r="F152" s="14"/>
      <c r="G152" s="58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27"/>
      <c r="T152" s="28"/>
      <c r="U152" s="49" t="e">
        <f aca="false">SUM(U109:U151)</f>
        <v>#REF!</v>
      </c>
      <c r="V152" s="49" t="e">
        <f aca="false">SUM(V109:V151)</f>
        <v>#REF!</v>
      </c>
      <c r="W152" s="49" t="e">
        <f aca="false">SUM(W109:W151)</f>
        <v>#REF!</v>
      </c>
      <c r="X152" s="49" t="e">
        <f aca="false">SUM(X109:X151)</f>
        <v>#REF!</v>
      </c>
      <c r="Y152" s="49" t="e">
        <f aca="false">SUM(Y109:Y151)</f>
        <v>#REF!</v>
      </c>
      <c r="Z152" s="49" t="e">
        <f aca="false">SUM(Z109:Z151)</f>
        <v>#REF!</v>
      </c>
      <c r="AA152" s="49" t="e">
        <f aca="false">SUM(AA109:AA151)</f>
        <v>#REF!</v>
      </c>
      <c r="AB152" s="49" t="e">
        <f aca="false">SUM(AB109:AB151)</f>
        <v>#REF!</v>
      </c>
      <c r="AC152" s="49" t="e">
        <f aca="false">SUM(AC109:AC151)</f>
        <v>#REF!</v>
      </c>
      <c r="AD152" s="49" t="e">
        <f aca="false">SUM(AD109:AD151)</f>
        <v>#REF!</v>
      </c>
      <c r="AE152" s="49" t="e">
        <f aca="false">SUM(AE109:AE151)</f>
        <v>#REF!</v>
      </c>
      <c r="AG152" s="54" t="e">
        <f aca="false">SUM(AG109:AG151)</f>
        <v>#REF!</v>
      </c>
      <c r="AH152" s="54" t="e">
        <f aca="false">SUM(AH109:AH151)</f>
        <v>#REF!</v>
      </c>
      <c r="AI152" s="54" t="e">
        <f aca="false">SUM(AI109:AI151)</f>
        <v>#REF!</v>
      </c>
      <c r="AJ152" s="54" t="e">
        <f aca="false">SUM(AJ109:AJ151)</f>
        <v>#REF!</v>
      </c>
      <c r="AK152" s="54" t="e">
        <f aca="false">SUM(AK109:AK151)</f>
        <v>#REF!</v>
      </c>
      <c r="AL152" s="54" t="e">
        <f aca="false">SUM(AL109:AL151)</f>
        <v>#REF!</v>
      </c>
      <c r="AM152" s="54" t="e">
        <f aca="false">SUM(AM109:AM151)</f>
        <v>#REF!</v>
      </c>
      <c r="AN152" s="54" t="e">
        <f aca="false">SUM(AN109:AN151)</f>
        <v>#REF!</v>
      </c>
      <c r="AO152" s="54" t="e">
        <f aca="false">SUM(AO109:AO151)</f>
        <v>#REF!</v>
      </c>
      <c r="AP152" s="54" t="e">
        <f aca="false">SUM(AP109:AP151)</f>
        <v>#REF!</v>
      </c>
      <c r="AQ152" s="54" t="e">
        <f aca="false">SUM(AQ109:AQ151)</f>
        <v>#REF!</v>
      </c>
    </row>
    <row r="153" customFormat="false" ht="12.75" hidden="false" customHeight="false" outlineLevel="0" collapsed="false">
      <c r="B153" s="22" t="s">
        <v>18</v>
      </c>
      <c r="E153" s="2"/>
      <c r="F153" s="2"/>
      <c r="G153" s="39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8"/>
      <c r="U153" s="24" t="e">
        <f aca="false">SUM(U136:U152)</f>
        <v>#REF!</v>
      </c>
      <c r="V153" s="24" t="e">
        <f aca="false">SUM(V136:V152)</f>
        <v>#REF!</v>
      </c>
      <c r="W153" s="24" t="e">
        <f aca="false">SUM(W136:W152)</f>
        <v>#REF!</v>
      </c>
      <c r="X153" s="24" t="e">
        <f aca="false">SUM(X136:X152)</f>
        <v>#REF!</v>
      </c>
      <c r="Y153" s="24" t="e">
        <f aca="false">SUM(Y136:Y152)</f>
        <v>#REF!</v>
      </c>
      <c r="Z153" s="24" t="e">
        <f aca="false">SUM(Z136:Z152)</f>
        <v>#REF!</v>
      </c>
      <c r="AA153" s="24" t="e">
        <f aca="false">SUM(AA136:AA152)</f>
        <v>#REF!</v>
      </c>
      <c r="AB153" s="24" t="e">
        <f aca="false">SUM(AB136:AB152)</f>
        <v>#REF!</v>
      </c>
      <c r="AC153" s="24" t="e">
        <f aca="false">SUM(AC136:AC152)</f>
        <v>#REF!</v>
      </c>
      <c r="AD153" s="24" t="e">
        <f aca="false">SUM(AD136:AD152)</f>
        <v>#REF!</v>
      </c>
      <c r="AE153" s="24" t="e">
        <f aca="false">SUM(AE136:AE152)</f>
        <v>#REF!</v>
      </c>
      <c r="AG153" s="24" t="e">
        <f aca="false">SUM(AG136:AG152)</f>
        <v>#REF!</v>
      </c>
      <c r="AH153" s="24" t="e">
        <f aca="false">SUM(AH136:AH152)</f>
        <v>#REF!</v>
      </c>
      <c r="AI153" s="24" t="e">
        <f aca="false">SUM(AI136:AI152)</f>
        <v>#REF!</v>
      </c>
      <c r="AJ153" s="24" t="e">
        <f aca="false">SUM(AJ136:AJ152)</f>
        <v>#REF!</v>
      </c>
      <c r="AK153" s="24" t="e">
        <f aca="false">SUM(AK136:AK152)</f>
        <v>#REF!</v>
      </c>
      <c r="AL153" s="24" t="e">
        <f aca="false">SUM(AL136:AL152)</f>
        <v>#REF!</v>
      </c>
      <c r="AM153" s="24" t="e">
        <f aca="false">SUM(AM136:AM152)</f>
        <v>#REF!</v>
      </c>
      <c r="AN153" s="24" t="e">
        <f aca="false">SUM(AN136:AN152)</f>
        <v>#REF!</v>
      </c>
      <c r="AO153" s="24" t="e">
        <f aca="false">SUM(AO136:AO152)</f>
        <v>#REF!</v>
      </c>
      <c r="AP153" s="24" t="e">
        <f aca="false">SUM(AP136:AP152)</f>
        <v>#REF!</v>
      </c>
      <c r="AQ153" s="24" t="e">
        <f aca="false">SUM(AQ136:AQ152)</f>
        <v>#REF!</v>
      </c>
    </row>
    <row r="154" customFormat="false" ht="12.75" hidden="false" customHeight="false" outlineLevel="0" collapsed="false">
      <c r="B154" s="22" t="s">
        <v>18</v>
      </c>
      <c r="E154" s="2"/>
      <c r="F154" s="2"/>
      <c r="G154" s="39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8"/>
      <c r="U154" s="24" t="e">
        <f aca="false">SUM(U139:U153)</f>
        <v>#REF!</v>
      </c>
      <c r="V154" s="24" t="e">
        <f aca="false">SUM(V139:V153)</f>
        <v>#REF!</v>
      </c>
      <c r="W154" s="24" t="e">
        <f aca="false">SUM(W139:W153)</f>
        <v>#REF!</v>
      </c>
      <c r="X154" s="24" t="e">
        <f aca="false">SUM(X139:X153)</f>
        <v>#REF!</v>
      </c>
      <c r="Y154" s="24" t="e">
        <f aca="false">SUM(Y139:Y153)</f>
        <v>#REF!</v>
      </c>
      <c r="Z154" s="24" t="e">
        <f aca="false">SUM(Z139:Z153)</f>
        <v>#REF!</v>
      </c>
      <c r="AA154" s="24" t="e">
        <f aca="false">SUM(AA139:AA153)</f>
        <v>#REF!</v>
      </c>
      <c r="AB154" s="24" t="e">
        <f aca="false">SUM(AB139:AB153)</f>
        <v>#REF!</v>
      </c>
      <c r="AC154" s="24" t="e">
        <f aca="false">SUM(AC139:AC153)</f>
        <v>#REF!</v>
      </c>
      <c r="AD154" s="24" t="e">
        <f aca="false">SUM(AD139:AD153)</f>
        <v>#REF!</v>
      </c>
      <c r="AE154" s="24" t="e">
        <f aca="false">SUM(AE139:AE153)</f>
        <v>#REF!</v>
      </c>
      <c r="AG154" s="24" t="e">
        <f aca="false">SUM(AG139:AG153)</f>
        <v>#REF!</v>
      </c>
      <c r="AH154" s="24" t="e">
        <f aca="false">SUM(AH139:AH153)</f>
        <v>#REF!</v>
      </c>
      <c r="AI154" s="24" t="e">
        <f aca="false">SUM(AI139:AI153)</f>
        <v>#REF!</v>
      </c>
      <c r="AJ154" s="24" t="e">
        <f aca="false">SUM(AJ139:AJ153)</f>
        <v>#REF!</v>
      </c>
      <c r="AK154" s="24" t="e">
        <f aca="false">SUM(AK139:AK153)</f>
        <v>#REF!</v>
      </c>
      <c r="AL154" s="24" t="e">
        <f aca="false">SUM(AL139:AL153)</f>
        <v>#REF!</v>
      </c>
      <c r="AM154" s="24" t="e">
        <f aca="false">SUM(AM139:AM153)</f>
        <v>#REF!</v>
      </c>
      <c r="AN154" s="24" t="e">
        <f aca="false">SUM(AN139:AN153)</f>
        <v>#REF!</v>
      </c>
      <c r="AO154" s="24" t="e">
        <f aca="false">SUM(AO139:AO153)</f>
        <v>#REF!</v>
      </c>
      <c r="AP154" s="24" t="e">
        <f aca="false">SUM(AP139:AP153)</f>
        <v>#REF!</v>
      </c>
      <c r="AQ154" s="24" t="e">
        <f aca="false">SUM(AQ139:AQ153)</f>
        <v>#REF!</v>
      </c>
    </row>
    <row r="155" customFormat="false" ht="12.75" hidden="false" customHeight="false" outlineLevel="0" collapsed="false">
      <c r="B155" s="22" t="s">
        <v>107</v>
      </c>
      <c r="E155" s="59" t="n">
        <v>0.0867773867080112</v>
      </c>
      <c r="F155" s="2"/>
      <c r="G155" s="35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8"/>
      <c r="U155" s="24" t="e">
        <f aca="false">(740000-U154)</f>
        <v>#REF!</v>
      </c>
      <c r="V155" s="24" t="e">
        <f aca="false">(740000-V154)</f>
        <v>#REF!</v>
      </c>
      <c r="W155" s="24" t="e">
        <f aca="false">(740000-W154)</f>
        <v>#REF!</v>
      </c>
      <c r="X155" s="24" t="e">
        <f aca="false">(740000-X154)</f>
        <v>#REF!</v>
      </c>
      <c r="Y155" s="24" t="e">
        <f aca="false">(740000-Y154)</f>
        <v>#REF!</v>
      </c>
      <c r="Z155" s="24" t="e">
        <f aca="false">(740000-Z154)</f>
        <v>#REF!</v>
      </c>
      <c r="AA155" s="24" t="e">
        <f aca="false">(740000-AA154)</f>
        <v>#REF!</v>
      </c>
      <c r="AB155" s="24" t="e">
        <f aca="false">(740000-AB154)</f>
        <v>#REF!</v>
      </c>
      <c r="AC155" s="24" t="e">
        <f aca="false">(740000-AC154)</f>
        <v>#REF!</v>
      </c>
      <c r="AD155" s="24" t="e">
        <f aca="false">(740000-AD154)</f>
        <v>#REF!</v>
      </c>
      <c r="AE155" s="24" t="e">
        <f aca="false">(740000-AE154)</f>
        <v>#REF!</v>
      </c>
      <c r="AG155" s="27" t="e">
        <f aca="false">+U155*$E155</f>
        <v>#REF!</v>
      </c>
      <c r="AH155" s="27" t="e">
        <f aca="false">+V155*$E155</f>
        <v>#REF!</v>
      </c>
      <c r="AI155" s="27" t="e">
        <f aca="false">+W155*$E155</f>
        <v>#REF!</v>
      </c>
      <c r="AJ155" s="27" t="e">
        <f aca="false">+X155*$E155</f>
        <v>#REF!</v>
      </c>
      <c r="AK155" s="27" t="e">
        <f aca="false">+Y155*$E155</f>
        <v>#REF!</v>
      </c>
      <c r="AL155" s="27" t="e">
        <f aca="false">+Z155*$E155</f>
        <v>#REF!</v>
      </c>
      <c r="AM155" s="27" t="e">
        <f aca="false">+AA155*$E155</f>
        <v>#REF!</v>
      </c>
      <c r="AN155" s="27" t="e">
        <f aca="false">+AB155*$E155</f>
        <v>#REF!</v>
      </c>
      <c r="AO155" s="27" t="e">
        <f aca="false">+AC155*$E155</f>
        <v>#REF!</v>
      </c>
      <c r="AP155" s="27" t="e">
        <f aca="false">+AD155*$E155</f>
        <v>#REF!</v>
      </c>
      <c r="AQ155" s="27" t="e">
        <f aca="false">+AE155*$E155</f>
        <v>#REF!</v>
      </c>
    </row>
    <row r="156" customFormat="false" ht="12.75" hidden="false" customHeight="false" outlineLevel="0" collapsed="false">
      <c r="B156" s="22" t="s">
        <v>108</v>
      </c>
      <c r="E156" s="2"/>
      <c r="F156" s="2"/>
      <c r="G156" s="39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60" t="e">
        <f aca="false">850000-U155</f>
        <v>#REF!</v>
      </c>
      <c r="V156" s="60" t="e">
        <f aca="false">850000-V155</f>
        <v>#REF!</v>
      </c>
      <c r="W156" s="60" t="e">
        <f aca="false">850000-W155</f>
        <v>#REF!</v>
      </c>
      <c r="X156" s="60" t="e">
        <f aca="false">850000-X155</f>
        <v>#REF!</v>
      </c>
      <c r="Y156" s="60" t="e">
        <f aca="false">850000-Y155</f>
        <v>#REF!</v>
      </c>
      <c r="Z156" s="60" t="e">
        <f aca="false">850000-Z155</f>
        <v>#REF!</v>
      </c>
      <c r="AA156" s="60" t="e">
        <f aca="false">850000-AA155</f>
        <v>#REF!</v>
      </c>
      <c r="AB156" s="60" t="e">
        <f aca="false">850000-AB155</f>
        <v>#REF!</v>
      </c>
      <c r="AC156" s="60" t="e">
        <f aca="false">850000-AC155</f>
        <v>#REF!</v>
      </c>
      <c r="AD156" s="60" t="e">
        <f aca="false">850000-AD155</f>
        <v>#REF!</v>
      </c>
      <c r="AE156" s="60" t="e">
        <f aca="false">850000-AE155</f>
        <v>#REF!</v>
      </c>
    </row>
    <row r="157" customFormat="false" ht="12.75" hidden="false" customHeight="false" outlineLevel="0" collapsed="false">
      <c r="B157" s="22" t="s">
        <v>108</v>
      </c>
      <c r="E157" s="59" t="n">
        <v>0.0616996930832973</v>
      </c>
      <c r="F157" s="59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8"/>
      <c r="U157" s="24" t="e">
        <f aca="false">(1090000-U156)</f>
        <v>#REF!</v>
      </c>
      <c r="V157" s="24" t="e">
        <f aca="false">(1090000-V156)</f>
        <v>#REF!</v>
      </c>
      <c r="W157" s="24" t="e">
        <f aca="false">(1090000-W156)</f>
        <v>#REF!</v>
      </c>
      <c r="X157" s="24" t="e">
        <f aca="false">(1090000-X156)</f>
        <v>#REF!</v>
      </c>
      <c r="Y157" s="24" t="e">
        <f aca="false">(1090000-Y156)</f>
        <v>#REF!</v>
      </c>
      <c r="Z157" s="24" t="e">
        <f aca="false">(1090000-Z156)</f>
        <v>#REF!</v>
      </c>
      <c r="AA157" s="24" t="e">
        <f aca="false">(1090000-AA156)</f>
        <v>#REF!</v>
      </c>
      <c r="AB157" s="24" t="e">
        <f aca="false">(1090000-AB156)</f>
        <v>#REF!</v>
      </c>
      <c r="AC157" s="24" t="e">
        <f aca="false">(1090000-AC156)</f>
        <v>#REF!</v>
      </c>
      <c r="AD157" s="24" t="e">
        <f aca="false">(1090000-AD156)</f>
        <v>#REF!</v>
      </c>
      <c r="AE157" s="24" t="e">
        <f aca="false">(1090000-AE156)</f>
        <v>#REF!</v>
      </c>
      <c r="AG157" s="27" t="e">
        <f aca="false">+U157*$E157</f>
        <v>#REF!</v>
      </c>
      <c r="AH157" s="27" t="e">
        <f aca="false">+V157*$E157</f>
        <v>#REF!</v>
      </c>
      <c r="AI157" s="27" t="e">
        <f aca="false">+W157*$E157</f>
        <v>#REF!</v>
      </c>
      <c r="AJ157" s="27" t="e">
        <f aca="false">+X157*$E157</f>
        <v>#REF!</v>
      </c>
      <c r="AK157" s="27" t="e">
        <f aca="false">+Y157*$E157</f>
        <v>#REF!</v>
      </c>
      <c r="AL157" s="27" t="e">
        <f aca="false">+Z157*$E157</f>
        <v>#REF!</v>
      </c>
      <c r="AM157" s="27" t="e">
        <f aca="false">+AA157*$E157</f>
        <v>#REF!</v>
      </c>
      <c r="AN157" s="27" t="e">
        <f aca="false">+AB157*$E157</f>
        <v>#REF!</v>
      </c>
      <c r="AO157" s="27" t="e">
        <f aca="false">+AC157*$E157</f>
        <v>#REF!</v>
      </c>
      <c r="AP157" s="27" t="e">
        <f aca="false">+AD157*$E157</f>
        <v>#REF!</v>
      </c>
      <c r="AQ157" s="27" t="e">
        <f aca="false">+AE157*$E157</f>
        <v>#REF!</v>
      </c>
    </row>
    <row r="158" customFormat="false" ht="12.75" hidden="false" customHeight="false" outlineLevel="0" collapsed="false">
      <c r="B158" s="22" t="s">
        <v>108</v>
      </c>
      <c r="E158" s="59" t="n">
        <v>0.0616996930832973</v>
      </c>
      <c r="F158" s="59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8"/>
      <c r="U158" s="24" t="e">
        <f aca="false">(1090000-U157)</f>
        <v>#REF!</v>
      </c>
      <c r="V158" s="24" t="e">
        <f aca="false">(1090000-V157)</f>
        <v>#REF!</v>
      </c>
      <c r="W158" s="24" t="e">
        <f aca="false">(1090000-W157)</f>
        <v>#REF!</v>
      </c>
      <c r="X158" s="24" t="e">
        <f aca="false">(1090000-X157)</f>
        <v>#REF!</v>
      </c>
      <c r="Y158" s="24" t="e">
        <f aca="false">(1090000-Y157)</f>
        <v>#REF!</v>
      </c>
      <c r="Z158" s="24" t="e">
        <f aca="false">(1090000-Z157)</f>
        <v>#REF!</v>
      </c>
      <c r="AA158" s="24" t="e">
        <f aca="false">(1090000-AA157)</f>
        <v>#REF!</v>
      </c>
      <c r="AB158" s="24" t="e">
        <f aca="false">(1090000-AB157)</f>
        <v>#REF!</v>
      </c>
      <c r="AC158" s="24" t="e">
        <f aca="false">(1090000-AC157)</f>
        <v>#REF!</v>
      </c>
      <c r="AD158" s="24" t="e">
        <f aca="false">(1090000-AD157)</f>
        <v>#REF!</v>
      </c>
      <c r="AE158" s="24" t="e">
        <f aca="false">(1090000-AE157)</f>
        <v>#REF!</v>
      </c>
      <c r="AG158" s="27" t="e">
        <f aca="false">+U158*$E158</f>
        <v>#REF!</v>
      </c>
      <c r="AH158" s="27" t="e">
        <f aca="false">+V158*$E158</f>
        <v>#REF!</v>
      </c>
      <c r="AI158" s="27" t="e">
        <f aca="false">+W158*$E158</f>
        <v>#REF!</v>
      </c>
      <c r="AJ158" s="27" t="e">
        <f aca="false">+X158*$E158</f>
        <v>#REF!</v>
      </c>
      <c r="AK158" s="27" t="e">
        <f aca="false">+Y158*$E158</f>
        <v>#REF!</v>
      </c>
      <c r="AL158" s="27" t="e">
        <f aca="false">+Z158*$E158</f>
        <v>#REF!</v>
      </c>
      <c r="AM158" s="27" t="e">
        <f aca="false">+AA158*$E158</f>
        <v>#REF!</v>
      </c>
      <c r="AN158" s="27" t="e">
        <f aca="false">+AB158*$E158</f>
        <v>#REF!</v>
      </c>
      <c r="AO158" s="27" t="e">
        <f aca="false">+AC158*$E158</f>
        <v>#REF!</v>
      </c>
      <c r="AP158" s="27" t="e">
        <f aca="false">+AD158*$E158</f>
        <v>#REF!</v>
      </c>
      <c r="AQ158" s="27" t="e">
        <f aca="false">+AE158*$E158</f>
        <v>#REF!</v>
      </c>
    </row>
    <row r="159" customFormat="false" ht="12.75" hidden="false" customHeight="false" outlineLevel="0" collapsed="false">
      <c r="B159" s="22" t="s">
        <v>108</v>
      </c>
      <c r="E159" s="59" t="n">
        <v>0.0616996930832973</v>
      </c>
      <c r="F159" s="59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8"/>
      <c r="U159" s="24" t="e">
        <f aca="false">(1090000-U158)</f>
        <v>#REF!</v>
      </c>
      <c r="V159" s="24" t="e">
        <f aca="false">(1090000-V158)</f>
        <v>#REF!</v>
      </c>
      <c r="W159" s="24" t="e">
        <f aca="false">(1090000-W158)</f>
        <v>#REF!</v>
      </c>
      <c r="X159" s="24" t="e">
        <f aca="false">(1090000-X158)</f>
        <v>#REF!</v>
      </c>
      <c r="Y159" s="24" t="e">
        <f aca="false">(1090000-Y158)</f>
        <v>#REF!</v>
      </c>
      <c r="Z159" s="24" t="e">
        <f aca="false">(1090000-Z158)</f>
        <v>#REF!</v>
      </c>
      <c r="AA159" s="24" t="e">
        <f aca="false">(1090000-AA158)</f>
        <v>#REF!</v>
      </c>
      <c r="AB159" s="24" t="e">
        <f aca="false">(1090000-AB158)</f>
        <v>#REF!</v>
      </c>
      <c r="AC159" s="24" t="e">
        <f aca="false">(1090000-AC158)</f>
        <v>#REF!</v>
      </c>
      <c r="AD159" s="24" t="e">
        <f aca="false">(1090000-AD158)</f>
        <v>#REF!</v>
      </c>
      <c r="AE159" s="24" t="e">
        <f aca="false">(1090000-AE158)</f>
        <v>#REF!</v>
      </c>
      <c r="AG159" s="27" t="e">
        <f aca="false">+U159*$E159</f>
        <v>#REF!</v>
      </c>
      <c r="AH159" s="27" t="e">
        <f aca="false">+V159*$E159</f>
        <v>#REF!</v>
      </c>
      <c r="AI159" s="27" t="e">
        <f aca="false">+W159*$E159</f>
        <v>#REF!</v>
      </c>
      <c r="AJ159" s="27" t="e">
        <f aca="false">+X159*$E159</f>
        <v>#REF!</v>
      </c>
      <c r="AK159" s="27" t="e">
        <f aca="false">+Y159*$E159</f>
        <v>#REF!</v>
      </c>
      <c r="AL159" s="27" t="e">
        <f aca="false">+Z159*$E159</f>
        <v>#REF!</v>
      </c>
      <c r="AM159" s="27" t="e">
        <f aca="false">+AA159*$E159</f>
        <v>#REF!</v>
      </c>
      <c r="AN159" s="27" t="e">
        <f aca="false">+AB159*$E159</f>
        <v>#REF!</v>
      </c>
      <c r="AO159" s="27" t="e">
        <f aca="false">+AC159*$E159</f>
        <v>#REF!</v>
      </c>
      <c r="AP159" s="27" t="e">
        <f aca="false">+AD159*$E159</f>
        <v>#REF!</v>
      </c>
      <c r="AQ159" s="27" t="e">
        <f aca="false">+AE159*$E159</f>
        <v>#REF!</v>
      </c>
    </row>
    <row r="160" customFormat="false" ht="12.75" hidden="false" customHeight="false" outlineLevel="0" collapsed="false">
      <c r="B160" s="22"/>
      <c r="E160" s="2"/>
      <c r="F160" s="2"/>
      <c r="G160" s="35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customFormat="false" ht="12.75" hidden="false" customHeight="false" outlineLevel="0" collapsed="false">
      <c r="B161" s="22"/>
      <c r="E161" s="2"/>
      <c r="F161" s="2"/>
      <c r="G161" s="39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customFormat="false" ht="12.75" hidden="false" customHeight="false" outlineLevel="0" collapsed="false">
      <c r="B162" s="22"/>
      <c r="E162" s="2"/>
      <c r="F162" s="2"/>
      <c r="G162" s="39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customFormat="false" ht="12.75" hidden="false" customHeight="false" outlineLevel="0" collapsed="false">
      <c r="D163" s="10" t="s">
        <v>109</v>
      </c>
      <c r="E163" s="2" t="s">
        <v>14</v>
      </c>
      <c r="F163" s="2"/>
      <c r="G163" s="8" t="s">
        <v>16</v>
      </c>
    </row>
    <row r="164" customFormat="false" ht="12.75" hidden="false" customHeight="false" outlineLevel="0" collapsed="false">
      <c r="B164" s="22"/>
      <c r="C164" s="37"/>
      <c r="E164" s="2"/>
      <c r="F164" s="2"/>
      <c r="G164" s="35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customFormat="false" ht="12.75" hidden="false" customHeight="false" outlineLevel="0" collapsed="false">
      <c r="B165" s="22"/>
      <c r="E165" s="2"/>
      <c r="F165" s="2"/>
      <c r="G165" s="35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8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customFormat="false" ht="12.75" hidden="false" customHeight="false" outlineLevel="0" collapsed="false">
      <c r="B166" s="22"/>
      <c r="E166" s="2"/>
      <c r="F166" s="2"/>
      <c r="G166" s="35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8"/>
    </row>
    <row r="167" customFormat="false" ht="12.75" hidden="false" customHeight="false" outlineLevel="0" collapsed="false">
      <c r="D167" s="10" t="s">
        <v>110</v>
      </c>
      <c r="E167" s="2" t="s">
        <v>14</v>
      </c>
      <c r="F167" s="2"/>
      <c r="G167" s="8" t="s">
        <v>16</v>
      </c>
    </row>
    <row r="168" customFormat="false" ht="12.75" hidden="false" customHeight="false" outlineLevel="0" collapsed="false">
      <c r="B168" s="22"/>
      <c r="E168" s="2"/>
      <c r="F168" s="34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customFormat="false" ht="12.75" hidden="false" customHeight="false" outlineLevel="0" collapsed="false"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8"/>
      <c r="U169" s="28"/>
    </row>
    <row r="170" customFormat="false" ht="12.75" hidden="false" customHeight="false" outlineLevel="0" collapsed="false">
      <c r="D170" s="10" t="s">
        <v>109</v>
      </c>
      <c r="E170" s="2" t="s">
        <v>14</v>
      </c>
      <c r="F170" s="7" t="s">
        <v>15</v>
      </c>
      <c r="G170" s="8" t="s">
        <v>16</v>
      </c>
    </row>
    <row r="171" customFormat="false" ht="12.75" hidden="false" customHeight="false" outlineLevel="0" collapsed="false">
      <c r="G171" s="23"/>
    </row>
    <row r="173" customFormat="false" ht="12.75" hidden="false" customHeight="false" outlineLevel="0" collapsed="false">
      <c r="D173" s="10" t="s">
        <v>111</v>
      </c>
      <c r="E173" s="2" t="s">
        <v>14</v>
      </c>
      <c r="F173" s="7" t="s">
        <v>15</v>
      </c>
      <c r="G173" s="8" t="s">
        <v>16</v>
      </c>
    </row>
  </sheetData>
  <mergeCells count="3">
    <mergeCell ref="H2:R2"/>
    <mergeCell ref="U2:AE2"/>
    <mergeCell ref="AG2:AQ2"/>
  </mergeCells>
  <printOptions headings="false" gridLines="false" gridLinesSet="true" horizontalCentered="false" verticalCentered="false"/>
  <pageMargins left="0.370138888888889" right="0.259722222222222" top="0.490277777777778" bottom="0.479861111111111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80"/>
  <sheetViews>
    <sheetView showFormulas="false" showGridLines="true" showRowColHeaders="true" showZeros="true" rightToLeft="false" tabSelected="true" showOutlineSymbols="true" defaultGridColor="true" view="normal" topLeftCell="AJ1" colorId="64" zoomScale="75" zoomScaleNormal="75" zoomScalePageLayoutView="100" workbookViewId="0">
      <selection pane="topLeft" activeCell="AR14" activeCellId="0" sqref="AR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24.13"/>
    <col collapsed="false" customWidth="true" hidden="false" outlineLevel="0" max="3" min="3" style="61" width="9.14"/>
    <col collapsed="false" customWidth="true" hidden="false" outlineLevel="0" max="4" min="4" style="62" width="15.99"/>
    <col collapsed="false" customWidth="true" hidden="false" outlineLevel="0" max="5" min="5" style="61" width="13.56"/>
    <col collapsed="false" customWidth="true" hidden="false" outlineLevel="0" max="6" min="6" style="63" width="13.14"/>
    <col collapsed="false" customWidth="true" hidden="false" outlineLevel="0" max="7" min="7" style="63" width="9.85"/>
    <col collapsed="false" customWidth="true" hidden="false" outlineLevel="0" max="8" min="8" style="2" width="10.56"/>
    <col collapsed="false" customWidth="true" hidden="false" outlineLevel="0" max="10" min="9" style="10" width="10.56"/>
    <col collapsed="false" customWidth="true" hidden="false" outlineLevel="0" max="11" min="11" style="0" width="10.71"/>
    <col collapsed="false" customWidth="true" hidden="false" outlineLevel="0" max="28" min="23" style="0" width="12.28"/>
    <col collapsed="false" customWidth="true" hidden="false" outlineLevel="0" max="31" min="29" style="0" width="11.28"/>
    <col collapsed="false" customWidth="true" hidden="false" outlineLevel="0" max="33" min="32" style="0" width="10.28"/>
    <col collapsed="false" customWidth="true" hidden="false" outlineLevel="0" max="42" min="35" style="0" width="14.99"/>
    <col collapsed="false" customWidth="true" hidden="false" outlineLevel="0" max="43" min="43" style="0" width="13.41"/>
    <col collapsed="false" customWidth="true" hidden="false" outlineLevel="0" max="45" min="44" style="0" width="12.28"/>
  </cols>
  <sheetData>
    <row r="1" customFormat="false" ht="12.75" hidden="false" customHeight="false" outlineLevel="0" collapsed="false">
      <c r="A1" s="64" t="s">
        <v>112</v>
      </c>
    </row>
    <row r="2" customFormat="false" ht="12.75" hidden="false" customHeight="false" outlineLevel="0" collapsed="false">
      <c r="A2" s="65" t="s">
        <v>113</v>
      </c>
    </row>
    <row r="3" customFormat="false" ht="12.75" hidden="false" customHeight="false" outlineLevel="0" collapsed="false">
      <c r="A3" s="66" t="s">
        <v>114</v>
      </c>
    </row>
    <row r="4" customFormat="false" ht="12.75" hidden="false" customHeight="false" outlineLevel="0" collapsed="false">
      <c r="A4" s="67" t="s">
        <v>115</v>
      </c>
    </row>
    <row r="5" customFormat="false" ht="12.75" hidden="false" customHeight="false" outlineLevel="0" collapsed="false">
      <c r="A5" s="68" t="s">
        <v>116</v>
      </c>
    </row>
    <row r="6" customFormat="false" ht="12.75" hidden="false" customHeight="false" outlineLevel="0" collapsed="false">
      <c r="A6" s="69" t="s">
        <v>117</v>
      </c>
      <c r="K6" s="0" t="n">
        <v>366</v>
      </c>
      <c r="L6" s="0" t="n">
        <v>365</v>
      </c>
      <c r="M6" s="0" t="n">
        <v>365</v>
      </c>
      <c r="N6" s="0" t="n">
        <v>365</v>
      </c>
      <c r="O6" s="0" t="n">
        <v>366</v>
      </c>
      <c r="P6" s="0" t="n">
        <v>365</v>
      </c>
      <c r="Q6" s="0" t="n">
        <v>365</v>
      </c>
      <c r="R6" s="0" t="n">
        <v>365</v>
      </c>
      <c r="S6" s="0" t="n">
        <v>366</v>
      </c>
      <c r="T6" s="0" t="n">
        <v>365</v>
      </c>
      <c r="U6" s="0" t="n">
        <v>365</v>
      </c>
    </row>
    <row r="7" customFormat="false" ht="12.75" hidden="false" customHeight="false" outlineLevel="0" collapsed="false">
      <c r="A7" s="70" t="s">
        <v>118</v>
      </c>
      <c r="B7" s="37"/>
      <c r="C7" s="71"/>
      <c r="E7" s="71"/>
      <c r="I7" s="72"/>
      <c r="J7" s="72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customFormat="false" ht="12.75" hidden="false" customHeight="false" outlineLevel="0" collapsed="false">
      <c r="A8" s="73" t="s">
        <v>119</v>
      </c>
      <c r="K8" s="9" t="s"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8"/>
      <c r="W8" s="11" t="s">
        <v>19</v>
      </c>
      <c r="X8" s="11"/>
      <c r="Y8" s="11"/>
      <c r="Z8" s="11"/>
      <c r="AA8" s="11"/>
      <c r="AB8" s="11"/>
      <c r="AC8" s="11"/>
      <c r="AD8" s="11"/>
      <c r="AE8" s="11"/>
      <c r="AF8" s="11"/>
      <c r="AG8" s="11"/>
      <c r="AI8" s="11" t="s">
        <v>20</v>
      </c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customFormat="false" ht="12.75" hidden="false" customHeight="false" outlineLevel="0" collapsed="false">
      <c r="A9" s="74" t="s">
        <v>120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75"/>
      <c r="X9" s="8"/>
      <c r="Y9" s="8"/>
      <c r="Z9" s="8"/>
      <c r="AA9" s="8"/>
      <c r="AB9" s="8"/>
      <c r="AC9" s="8"/>
      <c r="AD9" s="8"/>
      <c r="AE9" s="8"/>
      <c r="AF9" s="8"/>
      <c r="AG9" s="76"/>
      <c r="AI9" s="75"/>
      <c r="AJ9" s="8"/>
      <c r="AK9" s="8"/>
      <c r="AL9" s="8"/>
      <c r="AM9" s="8"/>
      <c r="AN9" s="8"/>
      <c r="AO9" s="8"/>
      <c r="AP9" s="8"/>
      <c r="AQ9" s="8"/>
      <c r="AR9" s="8"/>
      <c r="AS9" s="76"/>
    </row>
    <row r="10" customFormat="false" ht="13.5" hidden="false" customHeight="false" outlineLevel="0" collapsed="false">
      <c r="A10" s="77" t="s">
        <v>21</v>
      </c>
      <c r="B10" s="77" t="s">
        <v>22</v>
      </c>
      <c r="C10" s="78" t="s">
        <v>23</v>
      </c>
      <c r="D10" s="79" t="s">
        <v>121</v>
      </c>
      <c r="E10" s="78" t="s">
        <v>122</v>
      </c>
      <c r="F10" s="80" t="s">
        <v>123</v>
      </c>
      <c r="G10" s="80" t="s">
        <v>124</v>
      </c>
      <c r="H10" s="81" t="s">
        <v>125</v>
      </c>
      <c r="I10" s="82" t="s">
        <v>126</v>
      </c>
      <c r="J10" s="17" t="s">
        <v>16</v>
      </c>
      <c r="K10" s="13" t="n">
        <v>2000</v>
      </c>
      <c r="L10" s="13" t="n">
        <v>2001</v>
      </c>
      <c r="M10" s="13" t="n">
        <v>2002</v>
      </c>
      <c r="N10" s="13" t="n">
        <v>2003</v>
      </c>
      <c r="O10" s="13" t="n">
        <v>2004</v>
      </c>
      <c r="P10" s="13" t="n">
        <v>2005</v>
      </c>
      <c r="Q10" s="13" t="n">
        <v>2006</v>
      </c>
      <c r="R10" s="13" t="n">
        <v>2007</v>
      </c>
      <c r="S10" s="13" t="n">
        <v>2008</v>
      </c>
      <c r="T10" s="13" t="n">
        <v>2009</v>
      </c>
      <c r="U10" s="13" t="n">
        <v>2010</v>
      </c>
      <c r="V10" s="8"/>
      <c r="W10" s="16" t="n">
        <v>2000</v>
      </c>
      <c r="X10" s="17" t="n">
        <v>2001</v>
      </c>
      <c r="Y10" s="17" t="n">
        <v>2002</v>
      </c>
      <c r="Z10" s="17" t="n">
        <v>2003</v>
      </c>
      <c r="AA10" s="17" t="n">
        <v>2004</v>
      </c>
      <c r="AB10" s="17" t="n">
        <v>2005</v>
      </c>
      <c r="AC10" s="17" t="n">
        <v>2006</v>
      </c>
      <c r="AD10" s="17" t="n">
        <v>2007</v>
      </c>
      <c r="AE10" s="17" t="n">
        <v>2008</v>
      </c>
      <c r="AF10" s="17" t="n">
        <v>2009</v>
      </c>
      <c r="AG10" s="18" t="n">
        <v>2010</v>
      </c>
      <c r="AI10" s="16" t="n">
        <v>2000</v>
      </c>
      <c r="AJ10" s="17" t="n">
        <v>2001</v>
      </c>
      <c r="AK10" s="17" t="n">
        <v>2002</v>
      </c>
      <c r="AL10" s="17" t="n">
        <v>2003</v>
      </c>
      <c r="AM10" s="17" t="n">
        <v>2004</v>
      </c>
      <c r="AN10" s="17" t="n">
        <v>2005</v>
      </c>
      <c r="AO10" s="17" t="n">
        <v>2006</v>
      </c>
      <c r="AP10" s="17" t="n">
        <v>2007</v>
      </c>
      <c r="AQ10" s="17" t="n">
        <v>2008</v>
      </c>
      <c r="AR10" s="17" t="n">
        <v>2009</v>
      </c>
      <c r="AS10" s="18" t="n">
        <v>2010</v>
      </c>
    </row>
    <row r="11" customFormat="false" ht="12.75" hidden="false" customHeight="false" outlineLevel="0" collapsed="false">
      <c r="A11" s="83" t="s">
        <v>28</v>
      </c>
      <c r="B11" s="22" t="s">
        <v>29</v>
      </c>
      <c r="C11" s="71" t="n">
        <v>26490</v>
      </c>
      <c r="D11" s="62" t="n">
        <v>70000</v>
      </c>
      <c r="E11" s="84" t="s">
        <v>127</v>
      </c>
      <c r="F11" s="63" t="n">
        <v>0.0407</v>
      </c>
      <c r="G11" s="63" t="n">
        <v>0.0093</v>
      </c>
      <c r="H11" s="85" t="n">
        <f aca="false">+G11+F11</f>
        <v>0.05</v>
      </c>
      <c r="I11" s="86" t="n">
        <v>36100</v>
      </c>
      <c r="J11" s="87" t="n">
        <v>37925</v>
      </c>
      <c r="K11" s="0" t="n">
        <v>366</v>
      </c>
      <c r="L11" s="0" t="n">
        <v>365</v>
      </c>
      <c r="M11" s="0" t="n">
        <v>365</v>
      </c>
      <c r="N11" s="0" t="n">
        <v>304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W11" s="60" t="n">
        <f aca="false">+K11*$D11</f>
        <v>25620000</v>
      </c>
      <c r="X11" s="60" t="n">
        <f aca="false">+L11*$D$11</f>
        <v>25550000</v>
      </c>
      <c r="Y11" s="60" t="n">
        <f aca="false">+M11*$D$11</f>
        <v>25550000</v>
      </c>
      <c r="Z11" s="60" t="n">
        <f aca="false">+N11*$D$11</f>
        <v>21280000</v>
      </c>
      <c r="AA11" s="60" t="n">
        <f aca="false">+O11*$D$11</f>
        <v>0</v>
      </c>
      <c r="AB11" s="60" t="n">
        <f aca="false">+P11*$D$11</f>
        <v>0</v>
      </c>
      <c r="AC11" s="60" t="n">
        <f aca="false">+Q11*$D$11</f>
        <v>0</v>
      </c>
      <c r="AD11" s="60" t="n">
        <f aca="false">+R11*$D$11</f>
        <v>0</v>
      </c>
      <c r="AE11" s="60" t="n">
        <f aca="false">+S11*$D$11</f>
        <v>0</v>
      </c>
      <c r="AF11" s="60" t="n">
        <f aca="false">+T11*$D$11</f>
        <v>0</v>
      </c>
      <c r="AG11" s="60" t="n">
        <f aca="false">+U11*$D$11</f>
        <v>0</v>
      </c>
      <c r="AI11" s="27" t="n">
        <f aca="false">+W11*($F11+$G11)</f>
        <v>1281000</v>
      </c>
      <c r="AJ11" s="27" t="n">
        <f aca="false">+X11*($F11+$G11)</f>
        <v>1277500</v>
      </c>
      <c r="AK11" s="27" t="n">
        <f aca="false">+Y11*($F11+$G11)</f>
        <v>1277500</v>
      </c>
      <c r="AL11" s="27" t="n">
        <f aca="false">+Z11*($F11+$G11)</f>
        <v>1064000</v>
      </c>
      <c r="AM11" s="27" t="n">
        <f aca="false">+AA11*($F11+$G11)</f>
        <v>0</v>
      </c>
      <c r="AN11" s="27" t="n">
        <f aca="false">+AB11*($F11+$G11)</f>
        <v>0</v>
      </c>
      <c r="AO11" s="27" t="n">
        <f aca="false">+AC11*($F11+$G11)</f>
        <v>0</v>
      </c>
      <c r="AP11" s="27" t="n">
        <f aca="false">+AD11*($F11+$G11)</f>
        <v>0</v>
      </c>
      <c r="AQ11" s="27" t="n">
        <f aca="false">+AE11*($F11+$G11)</f>
        <v>0</v>
      </c>
      <c r="AR11" s="27" t="n">
        <f aca="false">+AF11*($F11+$G11)</f>
        <v>0</v>
      </c>
      <c r="AS11" s="27" t="n">
        <f aca="false">+AG11*($F11+$G11)</f>
        <v>0</v>
      </c>
    </row>
    <row r="12" customFormat="false" ht="12.75" hidden="false" customHeight="false" outlineLevel="0" collapsed="false">
      <c r="A12" s="88" t="s">
        <v>28</v>
      </c>
      <c r="B12" s="19" t="s">
        <v>29</v>
      </c>
      <c r="C12" s="89" t="n">
        <v>27377</v>
      </c>
      <c r="D12" s="90" t="n">
        <v>10000</v>
      </c>
      <c r="E12" s="84" t="s">
        <v>127</v>
      </c>
      <c r="F12" s="91" t="n">
        <v>0.0407</v>
      </c>
      <c r="G12" s="91" t="n">
        <v>0.0093</v>
      </c>
      <c r="H12" s="85" t="n">
        <f aca="false">+G12+F12</f>
        <v>0.05</v>
      </c>
      <c r="I12" s="23" t="n">
        <v>36951</v>
      </c>
      <c r="J12" s="87" t="n">
        <v>37315</v>
      </c>
      <c r="K12" s="0" t="n">
        <v>0</v>
      </c>
      <c r="L12" s="0" t="n">
        <v>306</v>
      </c>
      <c r="M12" s="0" t="n">
        <v>59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W12" s="60" t="n">
        <f aca="false">+K12*$D12</f>
        <v>0</v>
      </c>
      <c r="X12" s="60" t="n">
        <f aca="false">+L12*$D12</f>
        <v>3060000</v>
      </c>
      <c r="Y12" s="60" t="n">
        <f aca="false">+M12*$D12</f>
        <v>590000</v>
      </c>
      <c r="Z12" s="60" t="n">
        <f aca="false">+N12*$D12</f>
        <v>0</v>
      </c>
      <c r="AA12" s="60" t="n">
        <f aca="false">+O12*$D12</f>
        <v>0</v>
      </c>
      <c r="AB12" s="60" t="n">
        <f aca="false">+P12*$D12</f>
        <v>0</v>
      </c>
      <c r="AC12" s="60" t="n">
        <f aca="false">+Q12*$D12</f>
        <v>0</v>
      </c>
      <c r="AD12" s="60" t="n">
        <f aca="false">+R12*$D12</f>
        <v>0</v>
      </c>
      <c r="AE12" s="60" t="n">
        <f aca="false">+S12*$D12</f>
        <v>0</v>
      </c>
      <c r="AF12" s="60" t="n">
        <f aca="false">+T12*$D12</f>
        <v>0</v>
      </c>
      <c r="AG12" s="60" t="n">
        <f aca="false">+U12*$D12</f>
        <v>0</v>
      </c>
      <c r="AI12" s="27" t="n">
        <f aca="false">+W12*($F12+$G12)</f>
        <v>0</v>
      </c>
      <c r="AJ12" s="27" t="n">
        <f aca="false">+X12*($F12+$G12)</f>
        <v>153000</v>
      </c>
      <c r="AK12" s="27" t="n">
        <f aca="false">+Y12*($F12+$G12)</f>
        <v>29500</v>
      </c>
      <c r="AL12" s="27" t="n">
        <f aca="false">+Z12*($F12+$G12)</f>
        <v>0</v>
      </c>
      <c r="AM12" s="27" t="n">
        <f aca="false">+AA12*($F12+$G12)</f>
        <v>0</v>
      </c>
      <c r="AN12" s="27" t="n">
        <f aca="false">+AB12*($F12+$G12)</f>
        <v>0</v>
      </c>
      <c r="AO12" s="27" t="n">
        <f aca="false">+AC12*($F12+$G12)</f>
        <v>0</v>
      </c>
      <c r="AP12" s="27" t="n">
        <f aca="false">+AD12*($F12+$G12)</f>
        <v>0</v>
      </c>
      <c r="AQ12" s="27" t="n">
        <f aca="false">+AE12*($F12+$G12)</f>
        <v>0</v>
      </c>
      <c r="AR12" s="27" t="n">
        <f aca="false">+AF12*($F12+$G12)</f>
        <v>0</v>
      </c>
      <c r="AS12" s="27" t="n">
        <f aca="false">+AG12*($F12+$G12)</f>
        <v>0</v>
      </c>
    </row>
    <row r="13" customFormat="false" ht="12.75" hidden="false" customHeight="false" outlineLevel="0" collapsed="false">
      <c r="A13" s="88" t="s">
        <v>28</v>
      </c>
      <c r="B13" s="19" t="s">
        <v>29</v>
      </c>
      <c r="C13" s="89" t="s">
        <v>30</v>
      </c>
      <c r="D13" s="90" t="n">
        <v>40000</v>
      </c>
      <c r="E13" s="84" t="s">
        <v>127</v>
      </c>
      <c r="F13" s="91" t="n">
        <v>0.0507</v>
      </c>
      <c r="G13" s="91" t="n">
        <v>0.0093</v>
      </c>
      <c r="H13" s="85" t="n">
        <f aca="false">+G13+F13</f>
        <v>0.06</v>
      </c>
      <c r="I13" s="23" t="n">
        <v>36100</v>
      </c>
      <c r="J13" s="87" t="n">
        <v>37925</v>
      </c>
      <c r="K13" s="0" t="n">
        <v>366</v>
      </c>
      <c r="L13" s="0" t="n">
        <v>365</v>
      </c>
      <c r="M13" s="0" t="n">
        <v>365</v>
      </c>
      <c r="N13" s="0" t="n">
        <v>304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W13" s="60" t="n">
        <f aca="false">+K13*$D13</f>
        <v>14640000</v>
      </c>
      <c r="X13" s="60" t="n">
        <f aca="false">+L13*$D13</f>
        <v>14600000</v>
      </c>
      <c r="Y13" s="60" t="n">
        <f aca="false">+M13*$D13</f>
        <v>14600000</v>
      </c>
      <c r="Z13" s="60" t="n">
        <f aca="false">+N13*$D13</f>
        <v>12160000</v>
      </c>
      <c r="AA13" s="60" t="n">
        <f aca="false">+O13*$D13</f>
        <v>0</v>
      </c>
      <c r="AB13" s="60" t="n">
        <f aca="false">+P13*$D13</f>
        <v>0</v>
      </c>
      <c r="AC13" s="60" t="n">
        <f aca="false">+Q13*$D13</f>
        <v>0</v>
      </c>
      <c r="AD13" s="60" t="n">
        <f aca="false">+R13*$D13</f>
        <v>0</v>
      </c>
      <c r="AE13" s="60" t="n">
        <f aca="false">+S13*$D13</f>
        <v>0</v>
      </c>
      <c r="AF13" s="60" t="n">
        <f aca="false">+T13*$D13</f>
        <v>0</v>
      </c>
      <c r="AG13" s="60" t="n">
        <f aca="false">+U13*$D13</f>
        <v>0</v>
      </c>
      <c r="AI13" s="27" t="n">
        <f aca="false">+W13*($F13+$G13)</f>
        <v>878400</v>
      </c>
      <c r="AJ13" s="27" t="n">
        <f aca="false">+X13*($F13+$G13)</f>
        <v>876000</v>
      </c>
      <c r="AK13" s="27" t="n">
        <f aca="false">+Y13*($F13+$G13)</f>
        <v>876000</v>
      </c>
      <c r="AL13" s="27" t="n">
        <f aca="false">+Z13*($F13+$G13)</f>
        <v>729600</v>
      </c>
      <c r="AM13" s="27" t="n">
        <f aca="false">+AA13*($F13+$G13)</f>
        <v>0</v>
      </c>
      <c r="AN13" s="27" t="n">
        <f aca="false">+AB13*($F13+$G13)</f>
        <v>0</v>
      </c>
      <c r="AO13" s="27" t="n">
        <f aca="false">+AC13*($F13+$G13)</f>
        <v>0</v>
      </c>
      <c r="AP13" s="27" t="n">
        <f aca="false">+AD13*($F13+$G13)</f>
        <v>0</v>
      </c>
      <c r="AQ13" s="27" t="n">
        <f aca="false">+AE13*($F13+$G13)</f>
        <v>0</v>
      </c>
      <c r="AR13" s="27" t="n">
        <f aca="false">+AF13*($F13+$G13)</f>
        <v>0</v>
      </c>
      <c r="AS13" s="27" t="n">
        <f aca="false">+AG13*($F13+$G13)</f>
        <v>0</v>
      </c>
    </row>
    <row r="14" customFormat="false" ht="12.75" hidden="false" customHeight="false" outlineLevel="0" collapsed="false">
      <c r="A14" s="83" t="s">
        <v>28</v>
      </c>
      <c r="B14" s="22" t="s">
        <v>51</v>
      </c>
      <c r="C14" s="71" t="n">
        <v>26683</v>
      </c>
      <c r="D14" s="62" t="n">
        <v>8000</v>
      </c>
      <c r="E14" s="61" t="s">
        <v>128</v>
      </c>
      <c r="F14" s="63" t="n">
        <v>0.102</v>
      </c>
      <c r="G14" s="63" t="n">
        <v>0.0011</v>
      </c>
      <c r="H14" s="85" t="n">
        <f aca="false">+G14+F14</f>
        <v>0.1031</v>
      </c>
      <c r="I14" s="86" t="n">
        <v>36220</v>
      </c>
      <c r="J14" s="87" t="n">
        <v>37346</v>
      </c>
      <c r="K14" s="0" t="n">
        <v>366</v>
      </c>
      <c r="L14" s="0" t="n">
        <v>365</v>
      </c>
      <c r="M14" s="0" t="n">
        <v>90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W14" s="60" t="n">
        <f aca="false">+K14*$D14</f>
        <v>2928000</v>
      </c>
      <c r="X14" s="60" t="n">
        <f aca="false">+L14*$D14</f>
        <v>2920000</v>
      </c>
      <c r="Y14" s="60" t="n">
        <f aca="false">+M14*$D14</f>
        <v>720000</v>
      </c>
      <c r="Z14" s="60" t="n">
        <f aca="false">+N14*$D14</f>
        <v>0</v>
      </c>
      <c r="AA14" s="60" t="n">
        <f aca="false">+O14*$D14</f>
        <v>0</v>
      </c>
      <c r="AB14" s="60" t="n">
        <f aca="false">+P14*$D14</f>
        <v>0</v>
      </c>
      <c r="AC14" s="60" t="n">
        <f aca="false">+Q14*$D14</f>
        <v>0</v>
      </c>
      <c r="AD14" s="60" t="n">
        <f aca="false">+R14*$D14</f>
        <v>0</v>
      </c>
      <c r="AE14" s="60" t="n">
        <f aca="false">+S14*$D14</f>
        <v>0</v>
      </c>
      <c r="AF14" s="60" t="n">
        <f aca="false">+T14*$D14</f>
        <v>0</v>
      </c>
      <c r="AG14" s="60" t="n">
        <f aca="false">+U14*$D14</f>
        <v>0</v>
      </c>
      <c r="AI14" s="27" t="n">
        <f aca="false">+W14*($F14+$G14)</f>
        <v>301876.8</v>
      </c>
      <c r="AJ14" s="27" t="n">
        <f aca="false">+X14*($F14+$G14)</f>
        <v>301052</v>
      </c>
      <c r="AK14" s="27" t="n">
        <f aca="false">+Y14*($F14+$G14)</f>
        <v>74232</v>
      </c>
      <c r="AL14" s="27" t="n">
        <f aca="false">+Z14*($F14+$G14)</f>
        <v>0</v>
      </c>
      <c r="AM14" s="27" t="n">
        <f aca="false">+AA14*($F14+$G14)</f>
        <v>0</v>
      </c>
      <c r="AN14" s="27" t="n">
        <f aca="false">+AB14*($F14+$G14)</f>
        <v>0</v>
      </c>
      <c r="AO14" s="27" t="n">
        <f aca="false">+AC14*($F14+$G14)</f>
        <v>0</v>
      </c>
      <c r="AP14" s="27" t="n">
        <f aca="false">+AD14*($F14+$G14)</f>
        <v>0</v>
      </c>
      <c r="AQ14" s="27" t="n">
        <f aca="false">+AE14*($F14+$G14)</f>
        <v>0</v>
      </c>
      <c r="AR14" s="27" t="n">
        <f aca="false">+AF14*($F14+$G14)</f>
        <v>0</v>
      </c>
      <c r="AS14" s="27" t="n">
        <f aca="false">+AG14*($F14+$G14)</f>
        <v>0</v>
      </c>
    </row>
    <row r="15" customFormat="false" ht="12.75" hidden="false" customHeight="false" outlineLevel="0" collapsed="false">
      <c r="A15" s="83" t="s">
        <v>28</v>
      </c>
      <c r="B15" s="22" t="s">
        <v>51</v>
      </c>
      <c r="C15" s="71" t="n">
        <v>27334</v>
      </c>
      <c r="D15" s="62" t="n">
        <v>14000</v>
      </c>
      <c r="E15" s="84" t="s">
        <v>127</v>
      </c>
      <c r="F15" s="63" t="n">
        <v>0.0407</v>
      </c>
      <c r="G15" s="63" t="n">
        <v>0.0093</v>
      </c>
      <c r="H15" s="85" t="n">
        <f aca="false">+G15+F15</f>
        <v>0.05</v>
      </c>
      <c r="I15" s="86" t="n">
        <v>36982</v>
      </c>
      <c r="J15" s="87" t="n">
        <v>37195</v>
      </c>
      <c r="K15" s="0" t="n">
        <v>0</v>
      </c>
      <c r="L15" s="0" t="n">
        <v>214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W15" s="60" t="n">
        <f aca="false">+K15*$D15</f>
        <v>0</v>
      </c>
      <c r="X15" s="60" t="n">
        <f aca="false">+L15*$D15</f>
        <v>2996000</v>
      </c>
      <c r="Y15" s="60" t="n">
        <f aca="false">+M15*$D15</f>
        <v>0</v>
      </c>
      <c r="Z15" s="60" t="n">
        <f aca="false">+N15*$D15</f>
        <v>0</v>
      </c>
      <c r="AA15" s="60" t="n">
        <f aca="false">+O15*$D15</f>
        <v>0</v>
      </c>
      <c r="AB15" s="60" t="n">
        <f aca="false">+P15*$D15</f>
        <v>0</v>
      </c>
      <c r="AC15" s="60" t="n">
        <f aca="false">+Q15*$D15</f>
        <v>0</v>
      </c>
      <c r="AD15" s="60" t="n">
        <f aca="false">+R15*$D15</f>
        <v>0</v>
      </c>
      <c r="AE15" s="60" t="n">
        <f aca="false">+S15*$D15</f>
        <v>0</v>
      </c>
      <c r="AF15" s="60" t="n">
        <f aca="false">+T15*$D15</f>
        <v>0</v>
      </c>
      <c r="AG15" s="60" t="n">
        <f aca="false">+U15*$D15</f>
        <v>0</v>
      </c>
      <c r="AI15" s="27" t="n">
        <f aca="false">+W15*($F15+$G15)</f>
        <v>0</v>
      </c>
      <c r="AJ15" s="27" t="n">
        <f aca="false">+X15*($F15+$G15)</f>
        <v>149800</v>
      </c>
      <c r="AK15" s="27" t="n">
        <f aca="false">+Y15*($F15+$G15)</f>
        <v>0</v>
      </c>
      <c r="AL15" s="27" t="n">
        <f aca="false">+Z15*($F15+$G15)</f>
        <v>0</v>
      </c>
      <c r="AM15" s="27" t="n">
        <f aca="false">+AA15*($F15+$G15)</f>
        <v>0</v>
      </c>
      <c r="AN15" s="27" t="n">
        <f aca="false">+AB15*($F15+$G15)</f>
        <v>0</v>
      </c>
      <c r="AO15" s="27" t="n">
        <f aca="false">+AC15*($F15+$G15)</f>
        <v>0</v>
      </c>
      <c r="AP15" s="27" t="n">
        <f aca="false">+AD15*($F15+$G15)</f>
        <v>0</v>
      </c>
      <c r="AQ15" s="27" t="n">
        <f aca="false">+AE15*($F15+$G15)</f>
        <v>0</v>
      </c>
      <c r="AR15" s="27" t="n">
        <f aca="false">+AF15*($F15+$G15)</f>
        <v>0</v>
      </c>
      <c r="AS15" s="27" t="n">
        <f aca="false">+AG15*($F15+$G15)</f>
        <v>0</v>
      </c>
    </row>
    <row r="16" customFormat="false" ht="12.75" hidden="false" customHeight="false" outlineLevel="0" collapsed="false">
      <c r="A16" s="88" t="s">
        <v>28</v>
      </c>
      <c r="B16" s="19" t="s">
        <v>31</v>
      </c>
      <c r="C16" s="89" t="n">
        <v>27495</v>
      </c>
      <c r="D16" s="90" t="n">
        <v>50000</v>
      </c>
      <c r="E16" s="84" t="s">
        <v>129</v>
      </c>
      <c r="F16" s="91" t="n">
        <v>0.0325</v>
      </c>
      <c r="G16" s="91"/>
      <c r="H16" s="85" t="n">
        <f aca="false">+G16+F16</f>
        <v>0.0325</v>
      </c>
      <c r="I16" s="23" t="n">
        <v>36951</v>
      </c>
      <c r="J16" s="87" t="n">
        <v>37711</v>
      </c>
      <c r="K16" s="0" t="n">
        <v>0</v>
      </c>
      <c r="L16" s="0" t="n">
        <v>306</v>
      </c>
      <c r="M16" s="0" t="n">
        <v>365</v>
      </c>
      <c r="N16" s="0" t="n">
        <v>90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W16" s="60" t="n">
        <f aca="false">+K16*$D16</f>
        <v>0</v>
      </c>
      <c r="X16" s="60" t="n">
        <f aca="false">+L16*$D16</f>
        <v>15300000</v>
      </c>
      <c r="Y16" s="60" t="n">
        <f aca="false">+M16*$D16</f>
        <v>18250000</v>
      </c>
      <c r="Z16" s="60" t="n">
        <f aca="false">+N16*$D16</f>
        <v>4500000</v>
      </c>
      <c r="AA16" s="60" t="n">
        <f aca="false">+O16*$D16</f>
        <v>0</v>
      </c>
      <c r="AB16" s="60" t="n">
        <f aca="false">+P16*$D16</f>
        <v>0</v>
      </c>
      <c r="AC16" s="60" t="n">
        <f aca="false">+Q16*$D16</f>
        <v>0</v>
      </c>
      <c r="AD16" s="60" t="n">
        <f aca="false">+R16*$D16</f>
        <v>0</v>
      </c>
      <c r="AE16" s="60" t="n">
        <f aca="false">+S16*$D16</f>
        <v>0</v>
      </c>
      <c r="AF16" s="60" t="n">
        <f aca="false">+T16*$D16</f>
        <v>0</v>
      </c>
      <c r="AG16" s="60" t="n">
        <f aca="false">+U16*$D16</f>
        <v>0</v>
      </c>
      <c r="AI16" s="27" t="n">
        <f aca="false">+W16*($F16+$G16)</f>
        <v>0</v>
      </c>
      <c r="AJ16" s="27" t="n">
        <f aca="false">+X16*($F16+$G16)</f>
        <v>497250</v>
      </c>
      <c r="AK16" s="27" t="n">
        <f aca="false">+Y16*($F16+$G16)</f>
        <v>593125</v>
      </c>
      <c r="AL16" s="27" t="n">
        <f aca="false">+Z16*($F16+$G16)</f>
        <v>146250</v>
      </c>
      <c r="AM16" s="27" t="n">
        <f aca="false">+AA16*($F16+$G16)</f>
        <v>0</v>
      </c>
      <c r="AN16" s="27" t="n">
        <f aca="false">+AB16*($F16+$G16)</f>
        <v>0</v>
      </c>
      <c r="AO16" s="27" t="n">
        <f aca="false">+AC16*($F16+$G16)</f>
        <v>0</v>
      </c>
      <c r="AP16" s="27" t="n">
        <f aca="false">+AD16*($F16+$G16)</f>
        <v>0</v>
      </c>
      <c r="AQ16" s="27" t="n">
        <f aca="false">+AE16*($F16+$G16)</f>
        <v>0</v>
      </c>
      <c r="AR16" s="27" t="n">
        <f aca="false">+AF16*($F16+$G16)</f>
        <v>0</v>
      </c>
      <c r="AS16" s="27" t="n">
        <f aca="false">+AG16*($F16+$G16)</f>
        <v>0</v>
      </c>
    </row>
    <row r="17" customFormat="false" ht="12.75" hidden="false" customHeight="false" outlineLevel="0" collapsed="false">
      <c r="A17" s="83" t="s">
        <v>97</v>
      </c>
      <c r="B17" s="19" t="s">
        <v>31</v>
      </c>
      <c r="C17" s="89" t="n">
        <v>27495</v>
      </c>
      <c r="D17" s="90" t="n">
        <v>0</v>
      </c>
      <c r="E17" s="84"/>
      <c r="F17" s="91" t="n">
        <v>0</v>
      </c>
      <c r="G17" s="91" t="n">
        <v>0.0246</v>
      </c>
      <c r="H17" s="85" t="n">
        <f aca="false">+G17+F17</f>
        <v>0.0246</v>
      </c>
      <c r="I17" s="23" t="n">
        <v>36951</v>
      </c>
      <c r="J17" s="87" t="n">
        <v>37711</v>
      </c>
      <c r="K17" s="0" t="n">
        <v>0</v>
      </c>
      <c r="L17" s="0" t="n">
        <v>306</v>
      </c>
      <c r="M17" s="0" t="n">
        <v>365</v>
      </c>
      <c r="N17" s="0" t="n">
        <v>90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W17" s="60" t="n">
        <f aca="false">+K17*$D17</f>
        <v>0</v>
      </c>
      <c r="X17" s="60" t="n">
        <f aca="false">+L17*$D17</f>
        <v>0</v>
      </c>
      <c r="Y17" s="60" t="n">
        <f aca="false">+M17*$D17</f>
        <v>0</v>
      </c>
      <c r="Z17" s="60" t="n">
        <f aca="false">+N17*$D17</f>
        <v>0</v>
      </c>
      <c r="AA17" s="60" t="n">
        <f aca="false">+O17*$D17</f>
        <v>0</v>
      </c>
      <c r="AB17" s="60" t="n">
        <f aca="false">+P17*$D17</f>
        <v>0</v>
      </c>
      <c r="AC17" s="60" t="n">
        <f aca="false">+Q17*$D17</f>
        <v>0</v>
      </c>
      <c r="AD17" s="60" t="n">
        <f aca="false">+R17*$D17</f>
        <v>0</v>
      </c>
      <c r="AE17" s="60" t="n">
        <f aca="false">+S17*$D17</f>
        <v>0</v>
      </c>
      <c r="AF17" s="60" t="n">
        <f aca="false">+T17*$D17</f>
        <v>0</v>
      </c>
      <c r="AG17" s="60" t="n">
        <f aca="false">+U17*$D17</f>
        <v>0</v>
      </c>
      <c r="AI17" s="27" t="n">
        <f aca="false">+W17*($F17+$G17)</f>
        <v>0</v>
      </c>
      <c r="AJ17" s="27" t="n">
        <f aca="false">+X17*($F17+$G17)</f>
        <v>0</v>
      </c>
      <c r="AK17" s="27" t="n">
        <f aca="false">+Y17*($F17+$G17)</f>
        <v>0</v>
      </c>
      <c r="AL17" s="27" t="n">
        <f aca="false">+Z17*($F17+$G17)</f>
        <v>0</v>
      </c>
      <c r="AM17" s="27" t="n">
        <f aca="false">+AA17*($F17+$G17)</f>
        <v>0</v>
      </c>
      <c r="AN17" s="27" t="n">
        <f aca="false">+AB17*($F17+$G17)</f>
        <v>0</v>
      </c>
      <c r="AO17" s="27" t="n">
        <f aca="false">+AC17*($F17+$G17)</f>
        <v>0</v>
      </c>
      <c r="AP17" s="27" t="n">
        <f aca="false">+AD17*($F17+$G17)</f>
        <v>0</v>
      </c>
      <c r="AQ17" s="27" t="n">
        <f aca="false">+AE17*($F17+$G17)</f>
        <v>0</v>
      </c>
      <c r="AR17" s="27" t="n">
        <f aca="false">+AF17*($F17+$G17)</f>
        <v>0</v>
      </c>
      <c r="AS17" s="27" t="n">
        <f aca="false">+AG17*($F17+$G17)</f>
        <v>0</v>
      </c>
    </row>
    <row r="18" customFormat="false" ht="12.75" hidden="false" customHeight="false" outlineLevel="0" collapsed="false">
      <c r="A18" s="88" t="s">
        <v>28</v>
      </c>
      <c r="B18" s="19" t="s">
        <v>32</v>
      </c>
      <c r="C18" s="89" t="n">
        <v>27600</v>
      </c>
      <c r="D18" s="90" t="n">
        <v>2500</v>
      </c>
      <c r="E18" s="84" t="s">
        <v>127</v>
      </c>
      <c r="F18" s="91" t="n">
        <v>0.0807</v>
      </c>
      <c r="G18" s="91" t="n">
        <v>0.0093</v>
      </c>
      <c r="H18" s="85" t="n">
        <f aca="false">+G18+F18</f>
        <v>0.09</v>
      </c>
      <c r="I18" s="23" t="n">
        <v>37043</v>
      </c>
      <c r="J18" s="87" t="n">
        <v>37407</v>
      </c>
      <c r="K18" s="0" t="n">
        <v>0</v>
      </c>
      <c r="L18" s="0" t="n">
        <v>214</v>
      </c>
      <c r="M18" s="0" t="n">
        <v>151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W18" s="60" t="n">
        <f aca="false">+K18*$D18</f>
        <v>0</v>
      </c>
      <c r="X18" s="60" t="n">
        <f aca="false">+L18*$D18</f>
        <v>535000</v>
      </c>
      <c r="Y18" s="60" t="n">
        <f aca="false">+M18*$D18</f>
        <v>377500</v>
      </c>
      <c r="Z18" s="60" t="n">
        <f aca="false">+N18*$D18</f>
        <v>0</v>
      </c>
      <c r="AA18" s="60" t="n">
        <f aca="false">+O18*$D18</f>
        <v>0</v>
      </c>
      <c r="AB18" s="60" t="n">
        <f aca="false">+P18*$D18</f>
        <v>0</v>
      </c>
      <c r="AC18" s="60" t="n">
        <f aca="false">+Q18*$D18</f>
        <v>0</v>
      </c>
      <c r="AD18" s="60" t="n">
        <f aca="false">+R18*$D18</f>
        <v>0</v>
      </c>
      <c r="AE18" s="60" t="n">
        <f aca="false">+S18*$D18</f>
        <v>0</v>
      </c>
      <c r="AF18" s="60" t="n">
        <f aca="false">+T18*$D18</f>
        <v>0</v>
      </c>
      <c r="AG18" s="60" t="n">
        <f aca="false">+U18*$D18</f>
        <v>0</v>
      </c>
      <c r="AI18" s="27" t="n">
        <f aca="false">+W18*($F18+$G18)</f>
        <v>0</v>
      </c>
      <c r="AJ18" s="27" t="n">
        <f aca="false">+X18*($F18+$G18)</f>
        <v>48150</v>
      </c>
      <c r="AK18" s="27" t="n">
        <f aca="false">+Y18*($F18+$G18)</f>
        <v>33975</v>
      </c>
      <c r="AL18" s="27" t="n">
        <f aca="false">+Z18*($F18+$G18)</f>
        <v>0</v>
      </c>
      <c r="AM18" s="27" t="n">
        <f aca="false">+AA18*($F18+$G18)</f>
        <v>0</v>
      </c>
      <c r="AN18" s="27" t="n">
        <f aca="false">+AB18*($F18+$G18)</f>
        <v>0</v>
      </c>
      <c r="AO18" s="27" t="n">
        <f aca="false">+AC18*($F18+$G18)</f>
        <v>0</v>
      </c>
      <c r="AP18" s="27" t="n">
        <f aca="false">+AD18*($F18+$G18)</f>
        <v>0</v>
      </c>
      <c r="AQ18" s="27" t="n">
        <f aca="false">+AE18*($F18+$G18)</f>
        <v>0</v>
      </c>
      <c r="AR18" s="27" t="n">
        <f aca="false">+AF18*($F18+$G18)</f>
        <v>0</v>
      </c>
      <c r="AS18" s="27" t="n">
        <f aca="false">+AG18*($F18+$G18)</f>
        <v>0</v>
      </c>
    </row>
    <row r="19" customFormat="false" ht="12.75" hidden="false" customHeight="false" outlineLevel="0" collapsed="false">
      <c r="A19" s="92" t="s">
        <v>28</v>
      </c>
      <c r="B19" s="19" t="s">
        <v>33</v>
      </c>
      <c r="C19" s="89" t="n">
        <v>25025</v>
      </c>
      <c r="D19" s="90" t="n">
        <v>80000</v>
      </c>
      <c r="E19" s="84" t="s">
        <v>127</v>
      </c>
      <c r="F19" s="91" t="n">
        <f aca="false">0.1346-0.102</f>
        <v>0.0326</v>
      </c>
      <c r="G19" s="91" t="n">
        <f aca="false">0.0104-0.0011</f>
        <v>0.0093</v>
      </c>
      <c r="H19" s="85" t="n">
        <f aca="false">+G19+F19</f>
        <v>0.0419</v>
      </c>
      <c r="J19" s="87" t="n">
        <v>39051</v>
      </c>
      <c r="K19" s="0" t="n">
        <v>366</v>
      </c>
      <c r="L19" s="0" t="n">
        <v>365</v>
      </c>
      <c r="M19" s="0" t="n">
        <v>365</v>
      </c>
      <c r="N19" s="0" t="n">
        <v>365</v>
      </c>
      <c r="O19" s="0" t="n">
        <v>366</v>
      </c>
      <c r="P19" s="0" t="n">
        <v>365</v>
      </c>
      <c r="Q19" s="0" t="n">
        <v>334</v>
      </c>
      <c r="R19" s="0" t="n">
        <v>0</v>
      </c>
      <c r="S19" s="0" t="n">
        <v>0</v>
      </c>
      <c r="T19" s="0" t="n">
        <v>0</v>
      </c>
      <c r="U19" s="0" t="n">
        <v>0</v>
      </c>
      <c r="W19" s="60" t="n">
        <f aca="false">+K19*$D19</f>
        <v>29280000</v>
      </c>
      <c r="X19" s="60" t="n">
        <f aca="false">+L19*$D19</f>
        <v>29200000</v>
      </c>
      <c r="Y19" s="60" t="n">
        <f aca="false">+M19*$D19</f>
        <v>29200000</v>
      </c>
      <c r="Z19" s="60" t="n">
        <f aca="false">+N19*$D19</f>
        <v>29200000</v>
      </c>
      <c r="AA19" s="60" t="n">
        <f aca="false">+O19*$D19</f>
        <v>29280000</v>
      </c>
      <c r="AB19" s="60" t="n">
        <f aca="false">+P19*$D19</f>
        <v>29200000</v>
      </c>
      <c r="AC19" s="60" t="n">
        <f aca="false">+Q19*$D19</f>
        <v>26720000</v>
      </c>
      <c r="AD19" s="60" t="n">
        <f aca="false">+R19*$D19</f>
        <v>0</v>
      </c>
      <c r="AE19" s="60" t="n">
        <f aca="false">+S19*$D19</f>
        <v>0</v>
      </c>
      <c r="AF19" s="60" t="n">
        <f aca="false">+T19*$D19</f>
        <v>0</v>
      </c>
      <c r="AG19" s="60" t="n">
        <f aca="false">+U19*$D19</f>
        <v>0</v>
      </c>
      <c r="AI19" s="27" t="n">
        <f aca="false">+W19*($F19+$G19)</f>
        <v>1226832</v>
      </c>
      <c r="AJ19" s="27" t="n">
        <f aca="false">+X19*($F19+$G19)</f>
        <v>1223480</v>
      </c>
      <c r="AK19" s="27" t="n">
        <f aca="false">+Y19*($F19+$G19)</f>
        <v>1223480</v>
      </c>
      <c r="AL19" s="27" t="n">
        <f aca="false">+Z19*($F19+$G19)</f>
        <v>1223480</v>
      </c>
      <c r="AM19" s="27" t="n">
        <f aca="false">+AA19*($F19+$G19)</f>
        <v>1226832</v>
      </c>
      <c r="AN19" s="27" t="n">
        <f aca="false">+AB19*($F19+$G19)</f>
        <v>1223480</v>
      </c>
      <c r="AO19" s="27" t="n">
        <f aca="false">+AC19*($F19+$G19)</f>
        <v>1119568</v>
      </c>
      <c r="AP19" s="27" t="n">
        <f aca="false">+AD19*($F19+$G19)</f>
        <v>0</v>
      </c>
      <c r="AQ19" s="27" t="n">
        <f aca="false">+AE19*($F19+$G19)</f>
        <v>0</v>
      </c>
      <c r="AR19" s="27" t="n">
        <f aca="false">+AF19*($F19+$G19)</f>
        <v>0</v>
      </c>
      <c r="AS19" s="27" t="n">
        <f aca="false">+AG19*($F19+$G19)</f>
        <v>0</v>
      </c>
    </row>
    <row r="20" customFormat="false" ht="12.75" hidden="false" customHeight="false" outlineLevel="0" collapsed="false">
      <c r="A20" s="88" t="s">
        <v>28</v>
      </c>
      <c r="B20" s="26" t="s">
        <v>33</v>
      </c>
      <c r="C20" s="89" t="n">
        <v>25031</v>
      </c>
      <c r="D20" s="90" t="n">
        <v>0</v>
      </c>
      <c r="E20" s="84" t="s">
        <v>127</v>
      </c>
      <c r="F20" s="91" t="n">
        <v>0.102</v>
      </c>
      <c r="G20" s="91" t="n">
        <v>0.0011</v>
      </c>
      <c r="H20" s="85" t="n">
        <f aca="false">+G20+F20</f>
        <v>0.1031</v>
      </c>
      <c r="I20" s="23" t="n">
        <v>35400</v>
      </c>
      <c r="J20" s="87" t="n">
        <v>39051</v>
      </c>
      <c r="K20" s="0" t="n">
        <v>366</v>
      </c>
      <c r="L20" s="0" t="n">
        <v>365</v>
      </c>
      <c r="M20" s="0" t="n">
        <v>365</v>
      </c>
      <c r="N20" s="0" t="n">
        <v>365</v>
      </c>
      <c r="O20" s="0" t="n">
        <v>366</v>
      </c>
      <c r="P20" s="0" t="n">
        <v>365</v>
      </c>
      <c r="Q20" s="0" t="n">
        <v>334</v>
      </c>
      <c r="R20" s="0" t="n">
        <v>0</v>
      </c>
      <c r="S20" s="0" t="n">
        <v>0</v>
      </c>
      <c r="T20" s="0" t="n">
        <v>0</v>
      </c>
      <c r="U20" s="0" t="n">
        <v>0</v>
      </c>
      <c r="W20" s="60" t="n">
        <f aca="false">+K20*$D20</f>
        <v>0</v>
      </c>
      <c r="X20" s="60" t="n">
        <f aca="false">+L20*$D20</f>
        <v>0</v>
      </c>
      <c r="Y20" s="60" t="n">
        <f aca="false">+M20*$D20</f>
        <v>0</v>
      </c>
      <c r="Z20" s="60" t="n">
        <f aca="false">+N20*$D20</f>
        <v>0</v>
      </c>
      <c r="AA20" s="60" t="n">
        <f aca="false">+O20*$D20</f>
        <v>0</v>
      </c>
      <c r="AB20" s="60" t="n">
        <f aca="false">+P20*$D20</f>
        <v>0</v>
      </c>
      <c r="AC20" s="60" t="n">
        <f aca="false">+Q20*$D20</f>
        <v>0</v>
      </c>
      <c r="AD20" s="60" t="n">
        <f aca="false">+R20*$D20</f>
        <v>0</v>
      </c>
      <c r="AE20" s="60" t="n">
        <f aca="false">+S20*$D20</f>
        <v>0</v>
      </c>
      <c r="AF20" s="60" t="n">
        <f aca="false">+T20*$D20</f>
        <v>0</v>
      </c>
      <c r="AG20" s="60" t="n">
        <f aca="false">+U20*$D20</f>
        <v>0</v>
      </c>
      <c r="AI20" s="27" t="n">
        <f aca="false">+W20*($F20+$G20)</f>
        <v>0</v>
      </c>
      <c r="AJ20" s="27" t="n">
        <f aca="false">+X20*($F20+$G20)</f>
        <v>0</v>
      </c>
      <c r="AK20" s="27" t="n">
        <f aca="false">+Y20*($F20+$G20)</f>
        <v>0</v>
      </c>
      <c r="AL20" s="27" t="n">
        <f aca="false">+Z20*($F20+$G20)</f>
        <v>0</v>
      </c>
      <c r="AM20" s="27" t="n">
        <f aca="false">+AA20*($F20+$G20)</f>
        <v>0</v>
      </c>
      <c r="AN20" s="27" t="n">
        <f aca="false">+AB20*($F20+$G20)</f>
        <v>0</v>
      </c>
      <c r="AO20" s="27" t="n">
        <f aca="false">+AC20*($F20+$G20)</f>
        <v>0</v>
      </c>
      <c r="AP20" s="27" t="n">
        <f aca="false">+AD20*($F20+$G20)</f>
        <v>0</v>
      </c>
      <c r="AQ20" s="27" t="n">
        <f aca="false">+AE20*($F20+$G20)</f>
        <v>0</v>
      </c>
      <c r="AR20" s="27" t="n">
        <f aca="false">+AF20*($F20+$G20)</f>
        <v>0</v>
      </c>
      <c r="AS20" s="27" t="n">
        <f aca="false">+AG20*($F20+$G20)</f>
        <v>0</v>
      </c>
    </row>
    <row r="21" customFormat="false" ht="12.75" hidden="false" customHeight="false" outlineLevel="0" collapsed="false">
      <c r="A21" s="83" t="s">
        <v>28</v>
      </c>
      <c r="B21" s="22" t="s">
        <v>35</v>
      </c>
      <c r="C21" s="61" t="n">
        <v>25838</v>
      </c>
      <c r="D21" s="62" t="n">
        <v>10475</v>
      </c>
      <c r="E21" s="84" t="s">
        <v>127</v>
      </c>
      <c r="F21" s="63" t="n">
        <v>0.0107</v>
      </c>
      <c r="G21" s="63" t="n">
        <v>0.0093</v>
      </c>
      <c r="H21" s="85" t="n">
        <f aca="false">+G21+F21</f>
        <v>0.02</v>
      </c>
      <c r="I21" s="86"/>
      <c r="J21" s="87" t="n">
        <v>36556</v>
      </c>
      <c r="K21" s="0" t="n">
        <v>31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W21" s="60" t="n">
        <f aca="false">+K21*$D21</f>
        <v>324725</v>
      </c>
      <c r="X21" s="60" t="n">
        <f aca="false">+L21*$D21</f>
        <v>0</v>
      </c>
      <c r="Y21" s="60" t="n">
        <f aca="false">+M21*$D21</f>
        <v>0</v>
      </c>
      <c r="Z21" s="60" t="n">
        <f aca="false">+N21*$D21</f>
        <v>0</v>
      </c>
      <c r="AA21" s="60" t="n">
        <f aca="false">+O21*$D21</f>
        <v>0</v>
      </c>
      <c r="AB21" s="60" t="n">
        <f aca="false">+P21*$D21</f>
        <v>0</v>
      </c>
      <c r="AC21" s="60" t="n">
        <f aca="false">+Q21*$D21</f>
        <v>0</v>
      </c>
      <c r="AD21" s="60" t="n">
        <f aca="false">+R21*$D21</f>
        <v>0</v>
      </c>
      <c r="AE21" s="60" t="n">
        <f aca="false">+S21*$D21</f>
        <v>0</v>
      </c>
      <c r="AF21" s="60" t="n">
        <f aca="false">+T21*$D21</f>
        <v>0</v>
      </c>
      <c r="AG21" s="60" t="n">
        <f aca="false">+U21*$D21</f>
        <v>0</v>
      </c>
      <c r="AI21" s="27" t="n">
        <f aca="false">+W21*($F21+$G21)</f>
        <v>6494.5</v>
      </c>
      <c r="AJ21" s="27" t="n">
        <f aca="false">+X21*($F21+$G21)</f>
        <v>0</v>
      </c>
      <c r="AK21" s="27" t="n">
        <f aca="false">+Y21*($F21+$G21)</f>
        <v>0</v>
      </c>
      <c r="AL21" s="27" t="n">
        <f aca="false">+Z21*($F21+$G21)</f>
        <v>0</v>
      </c>
      <c r="AM21" s="27" t="n">
        <f aca="false">+AA21*($F21+$G21)</f>
        <v>0</v>
      </c>
      <c r="AN21" s="27" t="n">
        <f aca="false">+AB21*($F21+$G21)</f>
        <v>0</v>
      </c>
      <c r="AO21" s="27" t="n">
        <f aca="false">+AC21*($F21+$G21)</f>
        <v>0</v>
      </c>
      <c r="AP21" s="27" t="n">
        <f aca="false">+AD21*($F21+$G21)</f>
        <v>0</v>
      </c>
      <c r="AQ21" s="27" t="n">
        <f aca="false">+AE21*($F21+$G21)</f>
        <v>0</v>
      </c>
      <c r="AR21" s="27" t="n">
        <f aca="false">+AF21*($F21+$G21)</f>
        <v>0</v>
      </c>
      <c r="AS21" s="27" t="n">
        <f aca="false">+AG21*($F21+$G21)</f>
        <v>0</v>
      </c>
    </row>
    <row r="22" customFormat="false" ht="12.75" hidden="false" customHeight="false" outlineLevel="0" collapsed="false">
      <c r="A22" s="83" t="s">
        <v>28</v>
      </c>
      <c r="B22" s="22" t="s">
        <v>35</v>
      </c>
      <c r="C22" s="71" t="n">
        <v>26758</v>
      </c>
      <c r="D22" s="62" t="n">
        <v>40000</v>
      </c>
      <c r="E22" s="84" t="s">
        <v>127</v>
      </c>
      <c r="F22" s="63" t="n">
        <v>0.0107</v>
      </c>
      <c r="G22" s="63" t="n">
        <v>0.0093</v>
      </c>
      <c r="H22" s="85" t="n">
        <f aca="false">+G22+F22</f>
        <v>0.02</v>
      </c>
      <c r="I22" s="86" t="n">
        <v>36647</v>
      </c>
      <c r="J22" s="87" t="n">
        <v>38472</v>
      </c>
      <c r="K22" s="0" t="n">
        <v>245</v>
      </c>
      <c r="L22" s="0" t="n">
        <v>365</v>
      </c>
      <c r="M22" s="0" t="n">
        <v>365</v>
      </c>
      <c r="N22" s="0" t="n">
        <v>365</v>
      </c>
      <c r="O22" s="0" t="n">
        <v>366</v>
      </c>
      <c r="P22" s="0" t="n">
        <v>120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W22" s="60" t="n">
        <f aca="false">+K22*$D22</f>
        <v>9800000</v>
      </c>
      <c r="X22" s="60" t="n">
        <f aca="false">+L22*$D22</f>
        <v>14600000</v>
      </c>
      <c r="Y22" s="60" t="n">
        <f aca="false">+M22*$D22</f>
        <v>14600000</v>
      </c>
      <c r="Z22" s="60" t="n">
        <f aca="false">+N22*$D22</f>
        <v>14600000</v>
      </c>
      <c r="AA22" s="60" t="n">
        <f aca="false">+O22*$D22</f>
        <v>14640000</v>
      </c>
      <c r="AB22" s="60" t="n">
        <f aca="false">+P22*$D22</f>
        <v>4800000</v>
      </c>
      <c r="AC22" s="60" t="n">
        <f aca="false">+Q22*$D22</f>
        <v>0</v>
      </c>
      <c r="AD22" s="60" t="n">
        <f aca="false">+R22*$D22</f>
        <v>0</v>
      </c>
      <c r="AE22" s="60" t="n">
        <f aca="false">+S22*$D22</f>
        <v>0</v>
      </c>
      <c r="AF22" s="60" t="n">
        <f aca="false">+T22*$D22</f>
        <v>0</v>
      </c>
      <c r="AG22" s="60" t="n">
        <f aca="false">+U22*$D22</f>
        <v>0</v>
      </c>
      <c r="AI22" s="27" t="n">
        <f aca="false">+W22*($F22+$G22)</f>
        <v>196000</v>
      </c>
      <c r="AJ22" s="27" t="n">
        <f aca="false">+X22*($F22+$G22)</f>
        <v>292000</v>
      </c>
      <c r="AK22" s="27" t="n">
        <f aca="false">+Y22*($F22+$G22)</f>
        <v>292000</v>
      </c>
      <c r="AL22" s="27" t="n">
        <f aca="false">+Z22*($F22+$G22)</f>
        <v>292000</v>
      </c>
      <c r="AM22" s="27" t="n">
        <f aca="false">+AA22*($F22+$G22)</f>
        <v>292800</v>
      </c>
      <c r="AN22" s="27" t="n">
        <f aca="false">+AB22*($F22+$G22)</f>
        <v>96000</v>
      </c>
      <c r="AO22" s="27" t="n">
        <f aca="false">+AC22*($F22+$G22)</f>
        <v>0</v>
      </c>
      <c r="AP22" s="27" t="n">
        <f aca="false">+AD22*($F22+$G22)</f>
        <v>0</v>
      </c>
      <c r="AQ22" s="27" t="n">
        <f aca="false">+AE22*($F22+$G22)</f>
        <v>0</v>
      </c>
      <c r="AR22" s="27" t="n">
        <f aca="false">+AF22*($F22+$G22)</f>
        <v>0</v>
      </c>
      <c r="AS22" s="27" t="n">
        <f aca="false">+AG22*($F22+$G22)</f>
        <v>0</v>
      </c>
    </row>
    <row r="23" customFormat="false" ht="12.75" hidden="false" customHeight="false" outlineLevel="0" collapsed="false">
      <c r="A23" s="88" t="s">
        <v>28</v>
      </c>
      <c r="B23" s="22" t="s">
        <v>35</v>
      </c>
      <c r="C23" s="89" t="n">
        <v>27291</v>
      </c>
      <c r="D23" s="90" t="n">
        <v>20000</v>
      </c>
      <c r="E23" s="84" t="s">
        <v>127</v>
      </c>
      <c r="F23" s="91" t="n">
        <v>0.0107</v>
      </c>
      <c r="G23" s="91" t="n">
        <v>0.0093</v>
      </c>
      <c r="H23" s="85" t="n">
        <f aca="false">+G23+F23</f>
        <v>0.02</v>
      </c>
      <c r="I23" s="23" t="n">
        <v>36739</v>
      </c>
      <c r="J23" s="87" t="n">
        <v>37468</v>
      </c>
      <c r="K23" s="0" t="n">
        <v>153</v>
      </c>
      <c r="L23" s="0" t="n">
        <v>365</v>
      </c>
      <c r="M23" s="0" t="n">
        <v>212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W23" s="60" t="n">
        <f aca="false">+K23*$D23</f>
        <v>3060000</v>
      </c>
      <c r="X23" s="60" t="n">
        <f aca="false">+L23*$D23</f>
        <v>7300000</v>
      </c>
      <c r="Y23" s="60" t="n">
        <f aca="false">+M23*$D23</f>
        <v>4240000</v>
      </c>
      <c r="Z23" s="60" t="n">
        <f aca="false">+N23*$D23</f>
        <v>0</v>
      </c>
      <c r="AA23" s="60" t="n">
        <f aca="false">+O23*$D23</f>
        <v>0</v>
      </c>
      <c r="AB23" s="60" t="n">
        <f aca="false">+P23*$D23</f>
        <v>0</v>
      </c>
      <c r="AC23" s="60" t="n">
        <f aca="false">+Q23*$D23</f>
        <v>0</v>
      </c>
      <c r="AD23" s="60" t="n">
        <f aca="false">+R23*$D23</f>
        <v>0</v>
      </c>
      <c r="AE23" s="60" t="n">
        <f aca="false">+S23*$D23</f>
        <v>0</v>
      </c>
      <c r="AF23" s="60" t="n">
        <f aca="false">+T23*$D23</f>
        <v>0</v>
      </c>
      <c r="AG23" s="60" t="n">
        <f aca="false">+U23*$D23</f>
        <v>0</v>
      </c>
      <c r="AI23" s="27" t="n">
        <f aca="false">+W23*($F23+$G23)</f>
        <v>61200</v>
      </c>
      <c r="AJ23" s="27" t="n">
        <f aca="false">+X23*($F23+$G23)</f>
        <v>146000</v>
      </c>
      <c r="AK23" s="27" t="n">
        <f aca="false">+Y23*($F23+$G23)</f>
        <v>84800</v>
      </c>
      <c r="AL23" s="27" t="n">
        <f aca="false">+Z23*($F23+$G23)</f>
        <v>0</v>
      </c>
      <c r="AM23" s="27" t="n">
        <f aca="false">+AA23*($F23+$G23)</f>
        <v>0</v>
      </c>
      <c r="AN23" s="27" t="n">
        <f aca="false">+AB23*($F23+$G23)</f>
        <v>0</v>
      </c>
      <c r="AO23" s="27" t="n">
        <f aca="false">+AC23*($F23+$G23)</f>
        <v>0</v>
      </c>
      <c r="AP23" s="27" t="n">
        <f aca="false">+AD23*($F23+$G23)</f>
        <v>0</v>
      </c>
      <c r="AQ23" s="27" t="n">
        <f aca="false">+AE23*($F23+$G23)</f>
        <v>0</v>
      </c>
      <c r="AR23" s="27" t="n">
        <f aca="false">+AF23*($F23+$G23)</f>
        <v>0</v>
      </c>
      <c r="AS23" s="27" t="n">
        <f aca="false">+AG23*($F23+$G23)</f>
        <v>0</v>
      </c>
    </row>
    <row r="24" customFormat="false" ht="12.75" hidden="false" customHeight="false" outlineLevel="0" collapsed="false">
      <c r="A24" s="88" t="s">
        <v>28</v>
      </c>
      <c r="B24" s="19" t="s">
        <v>35</v>
      </c>
      <c r="C24" s="89" t="n">
        <v>27349</v>
      </c>
      <c r="D24" s="90" t="n">
        <v>20000</v>
      </c>
      <c r="E24" s="84" t="s">
        <v>127</v>
      </c>
      <c r="F24" s="91" t="n">
        <v>0.0407</v>
      </c>
      <c r="G24" s="91" t="n">
        <v>0.0093</v>
      </c>
      <c r="H24" s="85" t="n">
        <f aca="false">+G24+F24</f>
        <v>0.05</v>
      </c>
      <c r="I24" s="23" t="n">
        <v>36892</v>
      </c>
      <c r="J24" s="87" t="n">
        <v>38717</v>
      </c>
      <c r="K24" s="0" t="n">
        <v>0</v>
      </c>
      <c r="L24" s="0" t="n">
        <v>365</v>
      </c>
      <c r="M24" s="0" t="n">
        <v>365</v>
      </c>
      <c r="N24" s="0" t="n">
        <v>365</v>
      </c>
      <c r="O24" s="0" t="n">
        <v>366</v>
      </c>
      <c r="P24" s="0" t="n">
        <v>365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W24" s="60" t="n">
        <f aca="false">+K24*$D24</f>
        <v>0</v>
      </c>
      <c r="X24" s="60" t="n">
        <f aca="false">+L24*$D24</f>
        <v>7300000</v>
      </c>
      <c r="Y24" s="60" t="n">
        <f aca="false">+M24*$D24</f>
        <v>7300000</v>
      </c>
      <c r="Z24" s="60" t="n">
        <f aca="false">+N24*$D24</f>
        <v>7300000</v>
      </c>
      <c r="AA24" s="60" t="n">
        <f aca="false">+O24*$D24</f>
        <v>7320000</v>
      </c>
      <c r="AB24" s="60" t="n">
        <f aca="false">+P24*$D24</f>
        <v>7300000</v>
      </c>
      <c r="AC24" s="60" t="n">
        <f aca="false">+Q24*$D24</f>
        <v>0</v>
      </c>
      <c r="AD24" s="60" t="n">
        <f aca="false">+R24*$D24</f>
        <v>0</v>
      </c>
      <c r="AE24" s="60" t="n">
        <f aca="false">+S24*$D24</f>
        <v>0</v>
      </c>
      <c r="AF24" s="60" t="n">
        <f aca="false">+T24*$D24</f>
        <v>0</v>
      </c>
      <c r="AG24" s="60" t="n">
        <f aca="false">+U24*$D24</f>
        <v>0</v>
      </c>
      <c r="AI24" s="27" t="n">
        <f aca="false">+W24*($F24+$G24)</f>
        <v>0</v>
      </c>
      <c r="AJ24" s="27" t="n">
        <f aca="false">+X24*($F24+$G24)</f>
        <v>365000</v>
      </c>
      <c r="AK24" s="27" t="n">
        <f aca="false">+Y24*($F24+$G24)</f>
        <v>365000</v>
      </c>
      <c r="AL24" s="27" t="n">
        <f aca="false">+Z24*($F24+$G24)</f>
        <v>365000</v>
      </c>
      <c r="AM24" s="27" t="n">
        <f aca="false">+AA24*($F24+$G24)</f>
        <v>366000</v>
      </c>
      <c r="AN24" s="27" t="n">
        <f aca="false">+AB24*($F24+$G24)</f>
        <v>365000</v>
      </c>
      <c r="AO24" s="27" t="n">
        <f aca="false">+AC24*($F24+$G24)</f>
        <v>0</v>
      </c>
      <c r="AP24" s="27" t="n">
        <f aca="false">+AD24*($F24+$G24)</f>
        <v>0</v>
      </c>
      <c r="AQ24" s="27" t="n">
        <f aca="false">+AE24*($F24+$G24)</f>
        <v>0</v>
      </c>
      <c r="AR24" s="27" t="n">
        <f aca="false">+AF24*($F24+$G24)</f>
        <v>0</v>
      </c>
      <c r="AS24" s="27" t="n">
        <f aca="false">+AG24*($F24+$G24)</f>
        <v>0</v>
      </c>
    </row>
    <row r="25" customFormat="false" ht="12.75" hidden="false" customHeight="false" outlineLevel="0" collapsed="false">
      <c r="A25" s="88" t="s">
        <v>28</v>
      </c>
      <c r="B25" s="19" t="s">
        <v>35</v>
      </c>
      <c r="C25" s="89" t="n">
        <v>27579</v>
      </c>
      <c r="D25" s="90" t="n">
        <v>20000</v>
      </c>
      <c r="E25" s="84" t="s">
        <v>127</v>
      </c>
      <c r="F25" s="91" t="n">
        <v>0.0507</v>
      </c>
      <c r="G25" s="91" t="n">
        <v>0.0093</v>
      </c>
      <c r="H25" s="85" t="n">
        <f aca="false">+G25+F25</f>
        <v>0.06</v>
      </c>
      <c r="I25" s="23" t="n">
        <v>37012</v>
      </c>
      <c r="J25" s="87" t="n">
        <v>37407</v>
      </c>
      <c r="K25" s="0" t="n">
        <v>0</v>
      </c>
      <c r="L25" s="0" t="n">
        <v>245</v>
      </c>
      <c r="M25" s="0" t="n">
        <v>151</v>
      </c>
      <c r="N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W25" s="60" t="n">
        <f aca="false">+K25*$D25</f>
        <v>0</v>
      </c>
      <c r="X25" s="60" t="n">
        <f aca="false">+L25*$D25</f>
        <v>4900000</v>
      </c>
      <c r="Y25" s="60" t="n">
        <f aca="false">+M25*$D25</f>
        <v>3020000</v>
      </c>
      <c r="Z25" s="60" t="n">
        <f aca="false">+N25*$D25</f>
        <v>0</v>
      </c>
      <c r="AA25" s="60" t="n">
        <f aca="false">+O25*$D25</f>
        <v>0</v>
      </c>
      <c r="AB25" s="60" t="n">
        <f aca="false">+P25*$D25</f>
        <v>0</v>
      </c>
      <c r="AC25" s="60" t="n">
        <f aca="false">+Q25*$D25</f>
        <v>0</v>
      </c>
      <c r="AD25" s="60" t="n">
        <f aca="false">+R25*$D25</f>
        <v>0</v>
      </c>
      <c r="AE25" s="60" t="n">
        <f aca="false">+S25*$D25</f>
        <v>0</v>
      </c>
      <c r="AF25" s="60" t="n">
        <f aca="false">+T25*$D25</f>
        <v>0</v>
      </c>
      <c r="AG25" s="60" t="n">
        <f aca="false">+U25*$D25</f>
        <v>0</v>
      </c>
      <c r="AI25" s="27" t="n">
        <f aca="false">+W25*($F25+$G25)</f>
        <v>0</v>
      </c>
      <c r="AJ25" s="27" t="n">
        <f aca="false">+X25*($F25+$G25)</f>
        <v>294000</v>
      </c>
      <c r="AK25" s="27" t="n">
        <f aca="false">+Y25*($F25+$G25)</f>
        <v>181200</v>
      </c>
      <c r="AL25" s="27" t="n">
        <f aca="false">+Z25*($F25+$G25)</f>
        <v>0</v>
      </c>
      <c r="AM25" s="27" t="n">
        <f aca="false">+AA25*($F25+$G25)</f>
        <v>0</v>
      </c>
      <c r="AN25" s="27" t="n">
        <f aca="false">+AB25*($F25+$G25)</f>
        <v>0</v>
      </c>
      <c r="AO25" s="27" t="n">
        <f aca="false">+AC25*($F25+$G25)</f>
        <v>0</v>
      </c>
      <c r="AP25" s="27" t="n">
        <f aca="false">+AD25*($F25+$G25)</f>
        <v>0</v>
      </c>
      <c r="AQ25" s="27" t="n">
        <f aca="false">+AE25*($F25+$G25)</f>
        <v>0</v>
      </c>
      <c r="AR25" s="27" t="n">
        <f aca="false">+AF25*($F25+$G25)</f>
        <v>0</v>
      </c>
      <c r="AS25" s="27" t="n">
        <f aca="false">+AG25*($F25+$G25)</f>
        <v>0</v>
      </c>
    </row>
    <row r="26" customFormat="false" ht="12.75" hidden="false" customHeight="false" outlineLevel="0" collapsed="false">
      <c r="A26" s="88" t="s">
        <v>28</v>
      </c>
      <c r="B26" s="26" t="s">
        <v>36</v>
      </c>
      <c r="C26" s="89" t="n">
        <v>24754</v>
      </c>
      <c r="D26" s="90" t="n">
        <v>1000</v>
      </c>
      <c r="E26" s="84" t="s">
        <v>130</v>
      </c>
      <c r="F26" s="91" t="n">
        <v>0.0907</v>
      </c>
      <c r="G26" s="91" t="n">
        <v>0.0093</v>
      </c>
      <c r="H26" s="85" t="n">
        <f aca="false">+G26+F26</f>
        <v>0.1</v>
      </c>
      <c r="I26" s="23" t="s">
        <v>37</v>
      </c>
      <c r="J26" s="87" t="n">
        <v>38472</v>
      </c>
      <c r="K26" s="0" t="n">
        <v>366</v>
      </c>
      <c r="L26" s="0" t="n">
        <v>365</v>
      </c>
      <c r="M26" s="0" t="n">
        <v>365</v>
      </c>
      <c r="N26" s="0" t="n">
        <v>365</v>
      </c>
      <c r="O26" s="0" t="n">
        <v>366</v>
      </c>
      <c r="P26" s="0" t="n">
        <v>120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W26" s="60" t="n">
        <f aca="false">+K26*$D26</f>
        <v>366000</v>
      </c>
      <c r="X26" s="60" t="n">
        <f aca="false">+L26*$D26</f>
        <v>365000</v>
      </c>
      <c r="Y26" s="60" t="n">
        <f aca="false">+M26*$D26</f>
        <v>365000</v>
      </c>
      <c r="Z26" s="60" t="n">
        <f aca="false">+N26*$D26</f>
        <v>365000</v>
      </c>
      <c r="AA26" s="60" t="n">
        <f aca="false">+O26*$D26</f>
        <v>366000</v>
      </c>
      <c r="AB26" s="60" t="n">
        <f aca="false">+P26*$D26</f>
        <v>120000</v>
      </c>
      <c r="AC26" s="60" t="n">
        <f aca="false">+Q26*$D26</f>
        <v>0</v>
      </c>
      <c r="AD26" s="60" t="n">
        <f aca="false">+R26*$D26</f>
        <v>0</v>
      </c>
      <c r="AE26" s="60" t="n">
        <f aca="false">+S26*$D26</f>
        <v>0</v>
      </c>
      <c r="AF26" s="60" t="n">
        <f aca="false">+T26*$D26</f>
        <v>0</v>
      </c>
      <c r="AG26" s="60" t="n">
        <f aca="false">+U26*$D26</f>
        <v>0</v>
      </c>
      <c r="AI26" s="27" t="n">
        <f aca="false">+W26*($F26+$G26)</f>
        <v>36600</v>
      </c>
      <c r="AJ26" s="27" t="n">
        <f aca="false">+X26*($F26+$G26)</f>
        <v>36500</v>
      </c>
      <c r="AK26" s="27" t="n">
        <f aca="false">+Y26*($F26+$G26)</f>
        <v>36500</v>
      </c>
      <c r="AL26" s="27" t="n">
        <f aca="false">+Z26*($F26+$G26)</f>
        <v>36500</v>
      </c>
      <c r="AM26" s="27" t="n">
        <f aca="false">+AA26*($F26+$G26)</f>
        <v>36600</v>
      </c>
      <c r="AN26" s="27" t="n">
        <f aca="false">+AB26*($F26+$G26)</f>
        <v>12000</v>
      </c>
      <c r="AO26" s="27" t="n">
        <f aca="false">+AC26*($F26+$G26)</f>
        <v>0</v>
      </c>
      <c r="AP26" s="27" t="n">
        <f aca="false">+AD26*($F26+$G26)</f>
        <v>0</v>
      </c>
      <c r="AQ26" s="27" t="n">
        <f aca="false">+AE26*($F26+$G26)</f>
        <v>0</v>
      </c>
      <c r="AR26" s="27" t="n">
        <f aca="false">+AF26*($F26+$G26)</f>
        <v>0</v>
      </c>
      <c r="AS26" s="27" t="n">
        <f aca="false">+AG26*($F26+$G26)</f>
        <v>0</v>
      </c>
    </row>
    <row r="27" customFormat="false" ht="12.75" hidden="false" customHeight="false" outlineLevel="0" collapsed="false">
      <c r="A27" s="93" t="s">
        <v>28</v>
      </c>
      <c r="B27" s="19" t="s">
        <v>38</v>
      </c>
      <c r="C27" s="89" t="n">
        <v>24654</v>
      </c>
      <c r="D27" s="90" t="n">
        <v>8000</v>
      </c>
      <c r="E27" s="84" t="s">
        <v>127</v>
      </c>
      <c r="F27" s="91" t="n">
        <v>0.035</v>
      </c>
      <c r="G27" s="91" t="n">
        <v>0.0093</v>
      </c>
      <c r="H27" s="85" t="n">
        <f aca="false">+G27+F27</f>
        <v>0.0443</v>
      </c>
      <c r="J27" s="87" t="n">
        <v>37256</v>
      </c>
      <c r="K27" s="0" t="n">
        <v>366</v>
      </c>
      <c r="L27" s="0" t="n">
        <v>365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W27" s="60" t="n">
        <f aca="false">+K27*$D27</f>
        <v>2928000</v>
      </c>
      <c r="X27" s="60" t="n">
        <f aca="false">+L27*$D27</f>
        <v>2920000</v>
      </c>
      <c r="Y27" s="60" t="n">
        <f aca="false">+M27*$D27</f>
        <v>0</v>
      </c>
      <c r="Z27" s="60" t="n">
        <f aca="false">+N27*$D27</f>
        <v>0</v>
      </c>
      <c r="AA27" s="60" t="n">
        <f aca="false">+O27*$D27</f>
        <v>0</v>
      </c>
      <c r="AB27" s="60" t="n">
        <f aca="false">+P27*$D27</f>
        <v>0</v>
      </c>
      <c r="AC27" s="60" t="n">
        <f aca="false">+Q27*$D27</f>
        <v>0</v>
      </c>
      <c r="AD27" s="60" t="n">
        <f aca="false">+R27*$D27</f>
        <v>0</v>
      </c>
      <c r="AE27" s="60" t="n">
        <f aca="false">+S27*$D27</f>
        <v>0</v>
      </c>
      <c r="AF27" s="60" t="n">
        <f aca="false">+T27*$D27</f>
        <v>0</v>
      </c>
      <c r="AG27" s="60" t="n">
        <f aca="false">+U27*$D27</f>
        <v>0</v>
      </c>
      <c r="AI27" s="27" t="n">
        <f aca="false">+W27*($F27+$G27)</f>
        <v>129710.4</v>
      </c>
      <c r="AJ27" s="27" t="n">
        <f aca="false">+X27*($F27+$G27)</f>
        <v>129356</v>
      </c>
      <c r="AK27" s="27" t="n">
        <f aca="false">+Y27*($F27+$G27)</f>
        <v>0</v>
      </c>
      <c r="AL27" s="27" t="n">
        <f aca="false">+Z27*($F27+$G27)</f>
        <v>0</v>
      </c>
      <c r="AM27" s="27" t="n">
        <f aca="false">+AA27*($F27+$G27)</f>
        <v>0</v>
      </c>
      <c r="AN27" s="27" t="n">
        <f aca="false">+AB27*($F27+$G27)</f>
        <v>0</v>
      </c>
      <c r="AO27" s="27" t="n">
        <f aca="false">+AC27*($F27+$G27)</f>
        <v>0</v>
      </c>
      <c r="AP27" s="27" t="n">
        <f aca="false">+AD27*($F27+$G27)</f>
        <v>0</v>
      </c>
      <c r="AQ27" s="27" t="n">
        <f aca="false">+AE27*($F27+$G27)</f>
        <v>0</v>
      </c>
      <c r="AR27" s="27" t="n">
        <f aca="false">+AF27*($F27+$G27)</f>
        <v>0</v>
      </c>
      <c r="AS27" s="27" t="n">
        <f aca="false">+AG27*($F27+$G27)</f>
        <v>0</v>
      </c>
    </row>
    <row r="28" customFormat="false" ht="12.75" hidden="false" customHeight="false" outlineLevel="0" collapsed="false">
      <c r="A28" s="88" t="s">
        <v>28</v>
      </c>
      <c r="B28" s="26" t="s">
        <v>38</v>
      </c>
      <c r="C28" s="89" t="n">
        <v>26740</v>
      </c>
      <c r="D28" s="90" t="n">
        <v>8000</v>
      </c>
      <c r="E28" s="84" t="s">
        <v>127</v>
      </c>
      <c r="F28" s="91" t="n">
        <v>0.0407</v>
      </c>
      <c r="G28" s="91" t="n">
        <v>0.0093</v>
      </c>
      <c r="H28" s="85" t="n">
        <f aca="false">+G28+F28</f>
        <v>0.05</v>
      </c>
      <c r="I28" s="23" t="n">
        <v>36312</v>
      </c>
      <c r="J28" s="87" t="n">
        <v>39113</v>
      </c>
      <c r="K28" s="0" t="n">
        <v>366</v>
      </c>
      <c r="L28" s="0" t="n">
        <v>365</v>
      </c>
      <c r="M28" s="0" t="n">
        <v>365</v>
      </c>
      <c r="N28" s="0" t="n">
        <v>365</v>
      </c>
      <c r="O28" s="0" t="n">
        <v>366</v>
      </c>
      <c r="P28" s="0" t="n">
        <v>365</v>
      </c>
      <c r="Q28" s="0" t="n">
        <v>365</v>
      </c>
      <c r="R28" s="0" t="n">
        <v>31</v>
      </c>
      <c r="S28" s="0" t="n">
        <v>0</v>
      </c>
      <c r="T28" s="0" t="n">
        <v>0</v>
      </c>
      <c r="U28" s="0" t="n">
        <v>0</v>
      </c>
      <c r="W28" s="60" t="n">
        <f aca="false">+K28*$D28</f>
        <v>2928000</v>
      </c>
      <c r="X28" s="60" t="n">
        <f aca="false">+L28*$D28</f>
        <v>2920000</v>
      </c>
      <c r="Y28" s="60" t="n">
        <f aca="false">+M28*$D28</f>
        <v>2920000</v>
      </c>
      <c r="Z28" s="60" t="n">
        <f aca="false">+N28*$D28</f>
        <v>2920000</v>
      </c>
      <c r="AA28" s="60" t="n">
        <f aca="false">+O28*$D28</f>
        <v>2928000</v>
      </c>
      <c r="AB28" s="60" t="n">
        <f aca="false">+P28*$D28</f>
        <v>2920000</v>
      </c>
      <c r="AC28" s="60" t="n">
        <f aca="false">+Q28*$D28</f>
        <v>2920000</v>
      </c>
      <c r="AD28" s="60" t="n">
        <f aca="false">+R28*$D28</f>
        <v>248000</v>
      </c>
      <c r="AE28" s="60" t="n">
        <f aca="false">+S28*$D28</f>
        <v>0</v>
      </c>
      <c r="AF28" s="60" t="n">
        <f aca="false">+T28*$D28</f>
        <v>0</v>
      </c>
      <c r="AG28" s="60" t="n">
        <f aca="false">+U28*$D28</f>
        <v>0</v>
      </c>
      <c r="AI28" s="27" t="n">
        <f aca="false">+W28*($F28+$G28)</f>
        <v>146400</v>
      </c>
      <c r="AJ28" s="27" t="n">
        <f aca="false">+X28*($F28+$G28)</f>
        <v>146000</v>
      </c>
      <c r="AK28" s="27" t="n">
        <f aca="false">+Y28*($F28+$G28)</f>
        <v>146000</v>
      </c>
      <c r="AL28" s="27" t="n">
        <f aca="false">+Z28*($F28+$G28)</f>
        <v>146000</v>
      </c>
      <c r="AM28" s="27" t="n">
        <f aca="false">+AA28*($F28+$G28)</f>
        <v>146400</v>
      </c>
      <c r="AN28" s="27" t="n">
        <f aca="false">+AB28*($F28+$G28)</f>
        <v>146000</v>
      </c>
      <c r="AO28" s="27" t="n">
        <f aca="false">+AC28*($F28+$G28)</f>
        <v>146000</v>
      </c>
      <c r="AP28" s="27" t="n">
        <f aca="false">+AD28*($F28+$G28)</f>
        <v>12400</v>
      </c>
      <c r="AQ28" s="27" t="n">
        <f aca="false">+AE28*($F28+$G28)</f>
        <v>0</v>
      </c>
      <c r="AR28" s="27" t="n">
        <f aca="false">+AF28*($F28+$G28)</f>
        <v>0</v>
      </c>
      <c r="AS28" s="27" t="n">
        <f aca="false">+AG28*($F28+$G28)</f>
        <v>0</v>
      </c>
    </row>
    <row r="29" customFormat="false" ht="12.75" hidden="false" customHeight="false" outlineLevel="0" collapsed="false">
      <c r="A29" s="93" t="s">
        <v>28</v>
      </c>
      <c r="B29" s="19" t="s">
        <v>39</v>
      </c>
      <c r="C29" s="89" t="n">
        <v>24568</v>
      </c>
      <c r="D29" s="90" t="n">
        <v>32000</v>
      </c>
      <c r="E29" s="84" t="s">
        <v>127</v>
      </c>
      <c r="F29" s="91" t="n">
        <v>0.035</v>
      </c>
      <c r="G29" s="91" t="n">
        <v>0.0093</v>
      </c>
      <c r="H29" s="85" t="n">
        <f aca="false">+G29+F29</f>
        <v>0.0443</v>
      </c>
      <c r="J29" s="87" t="n">
        <v>37256</v>
      </c>
      <c r="K29" s="0" t="n">
        <v>366</v>
      </c>
      <c r="L29" s="0" t="n">
        <v>365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W29" s="60" t="n">
        <f aca="false">+K29*$D29</f>
        <v>11712000</v>
      </c>
      <c r="X29" s="60" t="n">
        <f aca="false">+L29*$D29</f>
        <v>11680000</v>
      </c>
      <c r="Y29" s="60" t="n">
        <f aca="false">+M29*$D29</f>
        <v>0</v>
      </c>
      <c r="Z29" s="60" t="n">
        <f aca="false">+N29*$D29</f>
        <v>0</v>
      </c>
      <c r="AA29" s="60" t="n">
        <f aca="false">+O29*$D29</f>
        <v>0</v>
      </c>
      <c r="AB29" s="60" t="n">
        <f aca="false">+P29*$D29</f>
        <v>0</v>
      </c>
      <c r="AC29" s="60" t="n">
        <f aca="false">+Q29*$D29</f>
        <v>0</v>
      </c>
      <c r="AD29" s="60" t="n">
        <f aca="false">+R29*$D29</f>
        <v>0</v>
      </c>
      <c r="AE29" s="60" t="n">
        <f aca="false">+S29*$D29</f>
        <v>0</v>
      </c>
      <c r="AF29" s="60" t="n">
        <f aca="false">+T29*$D29</f>
        <v>0</v>
      </c>
      <c r="AG29" s="60" t="n">
        <f aca="false">+U29*$D29</f>
        <v>0</v>
      </c>
      <c r="AI29" s="27" t="n">
        <f aca="false">+W29*($F29+$G29)</f>
        <v>518841.6</v>
      </c>
      <c r="AJ29" s="27" t="n">
        <f aca="false">+X29*($F29+$G29)</f>
        <v>517424</v>
      </c>
      <c r="AK29" s="27" t="n">
        <f aca="false">+Y29*($F29+$G29)</f>
        <v>0</v>
      </c>
      <c r="AL29" s="27" t="n">
        <f aca="false">+Z29*($F29+$G29)</f>
        <v>0</v>
      </c>
      <c r="AM29" s="27" t="n">
        <f aca="false">+AA29*($F29+$G29)</f>
        <v>0</v>
      </c>
      <c r="AN29" s="27" t="n">
        <f aca="false">+AB29*($F29+$G29)</f>
        <v>0</v>
      </c>
      <c r="AO29" s="27" t="n">
        <f aca="false">+AC29*($F29+$G29)</f>
        <v>0</v>
      </c>
      <c r="AP29" s="27" t="n">
        <f aca="false">+AD29*($F29+$G29)</f>
        <v>0</v>
      </c>
      <c r="AQ29" s="27" t="n">
        <f aca="false">+AE29*($F29+$G29)</f>
        <v>0</v>
      </c>
      <c r="AR29" s="27" t="n">
        <f aca="false">+AF29*($F29+$G29)</f>
        <v>0</v>
      </c>
      <c r="AS29" s="27" t="n">
        <f aca="false">+AG29*($F29+$G29)</f>
        <v>0</v>
      </c>
    </row>
    <row r="30" customFormat="false" ht="12.75" hidden="false" customHeight="false" outlineLevel="0" collapsed="false">
      <c r="A30" s="83" t="s">
        <v>28</v>
      </c>
      <c r="B30" s="22" t="s">
        <v>52</v>
      </c>
      <c r="C30" s="61" t="n">
        <v>25847</v>
      </c>
      <c r="D30" s="62" t="n">
        <v>20000</v>
      </c>
      <c r="E30" s="84" t="s">
        <v>127</v>
      </c>
      <c r="F30" s="63" t="n">
        <v>0.0407</v>
      </c>
      <c r="G30" s="63" t="n">
        <v>0.0093</v>
      </c>
      <c r="H30" s="85" t="n">
        <f aca="false">+G30+F30</f>
        <v>0.05</v>
      </c>
      <c r="I30" s="86"/>
      <c r="J30" s="87" t="n">
        <v>36556</v>
      </c>
      <c r="K30" s="0" t="n">
        <v>31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W30" s="60" t="n">
        <f aca="false">+K30*$D30</f>
        <v>620000</v>
      </c>
      <c r="X30" s="60" t="n">
        <f aca="false">+L30*$D30</f>
        <v>0</v>
      </c>
      <c r="Y30" s="60" t="n">
        <f aca="false">+M30*$D30</f>
        <v>0</v>
      </c>
      <c r="Z30" s="60" t="n">
        <f aca="false">+N30*$D30</f>
        <v>0</v>
      </c>
      <c r="AA30" s="60" t="n">
        <f aca="false">+O30*$D30</f>
        <v>0</v>
      </c>
      <c r="AB30" s="60" t="n">
        <f aca="false">+P30*$D30</f>
        <v>0</v>
      </c>
      <c r="AC30" s="60" t="n">
        <f aca="false">+Q30*$D30</f>
        <v>0</v>
      </c>
      <c r="AD30" s="60" t="n">
        <f aca="false">+R30*$D30</f>
        <v>0</v>
      </c>
      <c r="AE30" s="60" t="n">
        <f aca="false">+S30*$D30</f>
        <v>0</v>
      </c>
      <c r="AF30" s="60" t="n">
        <f aca="false">+T30*$D30</f>
        <v>0</v>
      </c>
      <c r="AG30" s="60" t="n">
        <f aca="false">+U30*$D30</f>
        <v>0</v>
      </c>
      <c r="AI30" s="27" t="n">
        <f aca="false">+W30*($F30+$G30)</f>
        <v>31000</v>
      </c>
      <c r="AJ30" s="27" t="n">
        <f aca="false">+X30*($F30+$G30)</f>
        <v>0</v>
      </c>
      <c r="AK30" s="27" t="n">
        <f aca="false">+Y30*($F30+$G30)</f>
        <v>0</v>
      </c>
      <c r="AL30" s="27" t="n">
        <f aca="false">+Z30*($F30+$G30)</f>
        <v>0</v>
      </c>
      <c r="AM30" s="27" t="n">
        <f aca="false">+AA30*($F30+$G30)</f>
        <v>0</v>
      </c>
      <c r="AN30" s="27" t="n">
        <f aca="false">+AB30*($F30+$G30)</f>
        <v>0</v>
      </c>
      <c r="AO30" s="27" t="n">
        <f aca="false">+AC30*($F30+$G30)</f>
        <v>0</v>
      </c>
      <c r="AP30" s="27" t="n">
        <f aca="false">+AD30*($F30+$G30)</f>
        <v>0</v>
      </c>
      <c r="AQ30" s="27" t="n">
        <f aca="false">+AE30*($F30+$G30)</f>
        <v>0</v>
      </c>
      <c r="AR30" s="27" t="n">
        <f aca="false">+AF30*($F30+$G30)</f>
        <v>0</v>
      </c>
      <c r="AS30" s="27" t="n">
        <f aca="false">+AG30*($F30+$G30)</f>
        <v>0</v>
      </c>
    </row>
    <row r="31" customFormat="false" ht="12.75" hidden="false" customHeight="false" outlineLevel="0" collapsed="false">
      <c r="A31" s="88" t="s">
        <v>28</v>
      </c>
      <c r="B31" s="19" t="s">
        <v>40</v>
      </c>
      <c r="C31" s="89" t="n">
        <v>25374</v>
      </c>
      <c r="D31" s="90" t="n">
        <v>23000</v>
      </c>
      <c r="E31" s="84" t="s">
        <v>130</v>
      </c>
      <c r="F31" s="91" t="n">
        <v>0.0407</v>
      </c>
      <c r="G31" s="91" t="n">
        <v>0.0093</v>
      </c>
      <c r="H31" s="85" t="n">
        <f aca="false">+G31+F31</f>
        <v>0.05</v>
      </c>
      <c r="I31" s="23" t="n">
        <v>35947</v>
      </c>
      <c r="J31" s="87" t="n">
        <v>37103</v>
      </c>
      <c r="K31" s="0" t="n">
        <v>366</v>
      </c>
      <c r="L31" s="0" t="n">
        <v>212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W31" s="60" t="n">
        <f aca="false">+K31*$D31</f>
        <v>8418000</v>
      </c>
      <c r="X31" s="60" t="n">
        <f aca="false">+L31*$D31</f>
        <v>4876000</v>
      </c>
      <c r="Y31" s="60" t="n">
        <f aca="false">+M31*$D31</f>
        <v>0</v>
      </c>
      <c r="Z31" s="60" t="n">
        <f aca="false">+N31*$D31</f>
        <v>0</v>
      </c>
      <c r="AA31" s="60" t="n">
        <f aca="false">+O31*$D31</f>
        <v>0</v>
      </c>
      <c r="AB31" s="60" t="n">
        <f aca="false">+P31*$D31</f>
        <v>0</v>
      </c>
      <c r="AC31" s="60" t="n">
        <f aca="false">+Q31*$D31</f>
        <v>0</v>
      </c>
      <c r="AD31" s="60" t="n">
        <f aca="false">+R31*$D31</f>
        <v>0</v>
      </c>
      <c r="AE31" s="60" t="n">
        <f aca="false">+S31*$D31</f>
        <v>0</v>
      </c>
      <c r="AF31" s="60" t="n">
        <f aca="false">+T31*$D31</f>
        <v>0</v>
      </c>
      <c r="AG31" s="60" t="n">
        <f aca="false">+U31*$D31</f>
        <v>0</v>
      </c>
      <c r="AI31" s="27" t="n">
        <f aca="false">+W31*($F31+$G31)</f>
        <v>420900</v>
      </c>
      <c r="AJ31" s="27" t="n">
        <f aca="false">+X31*($F31+$G31)</f>
        <v>243800</v>
      </c>
      <c r="AK31" s="27" t="n">
        <f aca="false">+Y31*($F31+$G31)</f>
        <v>0</v>
      </c>
      <c r="AL31" s="27" t="n">
        <f aca="false">+Z31*($F31+$G31)</f>
        <v>0</v>
      </c>
      <c r="AM31" s="27" t="n">
        <f aca="false">+AA31*($F31+$G31)</f>
        <v>0</v>
      </c>
      <c r="AN31" s="27" t="n">
        <f aca="false">+AB31*($F31+$G31)</f>
        <v>0</v>
      </c>
      <c r="AO31" s="27" t="n">
        <f aca="false">+AC31*($F31+$G31)</f>
        <v>0</v>
      </c>
      <c r="AP31" s="27" t="n">
        <f aca="false">+AD31*($F31+$G31)</f>
        <v>0</v>
      </c>
      <c r="AQ31" s="27" t="n">
        <f aca="false">+AE31*($F31+$G31)</f>
        <v>0</v>
      </c>
      <c r="AR31" s="27" t="n">
        <f aca="false">+AF31*($F31+$G31)</f>
        <v>0</v>
      </c>
      <c r="AS31" s="27" t="n">
        <f aca="false">+AG31*($F31+$G31)</f>
        <v>0</v>
      </c>
    </row>
    <row r="32" customFormat="false" ht="12.75" hidden="false" customHeight="false" outlineLevel="0" collapsed="false">
      <c r="A32" s="83" t="s">
        <v>28</v>
      </c>
      <c r="B32" s="22" t="s">
        <v>53</v>
      </c>
      <c r="C32" s="61" t="n">
        <v>26635</v>
      </c>
      <c r="D32" s="62" t="n">
        <v>500</v>
      </c>
      <c r="E32" s="61" t="s">
        <v>128</v>
      </c>
      <c r="F32" s="63" t="n">
        <v>0.102</v>
      </c>
      <c r="G32" s="63" t="n">
        <v>0.0071</v>
      </c>
      <c r="H32" s="85" t="n">
        <f aca="false">+G32+F32</f>
        <v>0.1091</v>
      </c>
      <c r="I32" s="86" t="n">
        <v>36192</v>
      </c>
      <c r="J32" s="87" t="n">
        <v>37256</v>
      </c>
      <c r="K32" s="0" t="n">
        <v>334</v>
      </c>
      <c r="L32" s="0" t="n">
        <v>365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W32" s="60" t="n">
        <f aca="false">+K32*$D32</f>
        <v>167000</v>
      </c>
      <c r="X32" s="60" t="n">
        <f aca="false">+L32*$D32</f>
        <v>182500</v>
      </c>
      <c r="Y32" s="60" t="n">
        <f aca="false">+M32*$D32</f>
        <v>0</v>
      </c>
      <c r="Z32" s="60" t="n">
        <f aca="false">+N32*$D32</f>
        <v>0</v>
      </c>
      <c r="AA32" s="60" t="n">
        <f aca="false">+O32*$D32</f>
        <v>0</v>
      </c>
      <c r="AB32" s="60" t="n">
        <f aca="false">+P32*$D32</f>
        <v>0</v>
      </c>
      <c r="AC32" s="60" t="n">
        <f aca="false">+Q32*$D32</f>
        <v>0</v>
      </c>
      <c r="AD32" s="60" t="n">
        <f aca="false">+R32*$D32</f>
        <v>0</v>
      </c>
      <c r="AE32" s="60" t="n">
        <f aca="false">+S32*$D32</f>
        <v>0</v>
      </c>
      <c r="AF32" s="60" t="n">
        <f aca="false">+T32*$D32</f>
        <v>0</v>
      </c>
      <c r="AG32" s="60" t="n">
        <f aca="false">+U32*$D32</f>
        <v>0</v>
      </c>
      <c r="AI32" s="27" t="n">
        <f aca="false">+W32*($F32+$G32)</f>
        <v>18219.7</v>
      </c>
      <c r="AJ32" s="27" t="n">
        <f aca="false">+X32*($F32+$G32)</f>
        <v>19910.75</v>
      </c>
      <c r="AK32" s="27" t="n">
        <f aca="false">+Y32*($F32+$G32)</f>
        <v>0</v>
      </c>
      <c r="AL32" s="27" t="n">
        <f aca="false">+Z32*($F32+$G32)</f>
        <v>0</v>
      </c>
      <c r="AM32" s="27" t="n">
        <f aca="false">+AA32*($F32+$G32)</f>
        <v>0</v>
      </c>
      <c r="AN32" s="27" t="n">
        <f aca="false">+AB32*($F32+$G32)</f>
        <v>0</v>
      </c>
      <c r="AO32" s="27" t="n">
        <f aca="false">+AC32*($F32+$G32)</f>
        <v>0</v>
      </c>
      <c r="AP32" s="27" t="n">
        <f aca="false">+AD32*($F32+$G32)</f>
        <v>0</v>
      </c>
      <c r="AQ32" s="27" t="n">
        <f aca="false">+AE32*($F32+$G32)</f>
        <v>0</v>
      </c>
      <c r="AR32" s="27" t="n">
        <f aca="false">+AF32*($F32+$G32)</f>
        <v>0</v>
      </c>
      <c r="AS32" s="27" t="n">
        <f aca="false">+AG32*($F32+$G32)</f>
        <v>0</v>
      </c>
    </row>
    <row r="33" customFormat="false" ht="12.75" hidden="false" customHeight="false" outlineLevel="0" collapsed="false">
      <c r="A33" s="88" t="s">
        <v>28</v>
      </c>
      <c r="B33" s="26" t="s">
        <v>41</v>
      </c>
      <c r="C33" s="89" t="n">
        <v>27104</v>
      </c>
      <c r="D33" s="90" t="n">
        <v>14032</v>
      </c>
      <c r="E33" s="84" t="s">
        <v>127</v>
      </c>
      <c r="F33" s="91" t="n">
        <v>0.0407</v>
      </c>
      <c r="G33" s="91" t="n">
        <v>0.0093</v>
      </c>
      <c r="H33" s="85" t="n">
        <f aca="false">+G33+F33</f>
        <v>0.05</v>
      </c>
      <c r="I33" s="23" t="n">
        <v>36557</v>
      </c>
      <c r="J33" s="87" t="n">
        <v>38383</v>
      </c>
      <c r="K33" s="0" t="n">
        <v>335</v>
      </c>
      <c r="L33" s="0" t="n">
        <v>365</v>
      </c>
      <c r="M33" s="0" t="n">
        <v>365</v>
      </c>
      <c r="N33" s="0" t="n">
        <v>365</v>
      </c>
      <c r="O33" s="0" t="n">
        <v>366</v>
      </c>
      <c r="P33" s="0" t="n">
        <v>31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W33" s="60" t="n">
        <f aca="false">+K33*$D33</f>
        <v>4700720</v>
      </c>
      <c r="X33" s="60" t="n">
        <f aca="false">+L33*$D33</f>
        <v>5121680</v>
      </c>
      <c r="Y33" s="60" t="n">
        <f aca="false">+M33*$D33</f>
        <v>5121680</v>
      </c>
      <c r="Z33" s="60" t="n">
        <f aca="false">+N33*$D33</f>
        <v>5121680</v>
      </c>
      <c r="AA33" s="60" t="n">
        <f aca="false">+O33*$D33</f>
        <v>5135712</v>
      </c>
      <c r="AB33" s="60" t="n">
        <f aca="false">+P33*$D33</f>
        <v>434992</v>
      </c>
      <c r="AC33" s="60" t="n">
        <f aca="false">+Q33*$D33</f>
        <v>0</v>
      </c>
      <c r="AD33" s="60" t="n">
        <f aca="false">+R33*$D33</f>
        <v>0</v>
      </c>
      <c r="AE33" s="60" t="n">
        <f aca="false">+S33*$D33</f>
        <v>0</v>
      </c>
      <c r="AF33" s="60" t="n">
        <f aca="false">+T33*$D33</f>
        <v>0</v>
      </c>
      <c r="AG33" s="60" t="n">
        <f aca="false">+U33*$D33</f>
        <v>0</v>
      </c>
      <c r="AI33" s="27" t="n">
        <f aca="false">+W33*($F33+$G33)</f>
        <v>235036</v>
      </c>
      <c r="AJ33" s="27" t="n">
        <f aca="false">+X33*($F33+$G33)</f>
        <v>256084</v>
      </c>
      <c r="AK33" s="27" t="n">
        <f aca="false">+Y33*($F33+$G33)</f>
        <v>256084</v>
      </c>
      <c r="AL33" s="27" t="n">
        <f aca="false">+Z33*($F33+$G33)</f>
        <v>256084</v>
      </c>
      <c r="AM33" s="27" t="n">
        <f aca="false">+AA33*($F33+$G33)</f>
        <v>256785.6</v>
      </c>
      <c r="AN33" s="27" t="n">
        <f aca="false">+AB33*($F33+$G33)</f>
        <v>21749.6</v>
      </c>
      <c r="AO33" s="27" t="n">
        <f aca="false">+AC33*($F33+$G33)</f>
        <v>0</v>
      </c>
      <c r="AP33" s="27" t="n">
        <f aca="false">+AD33*($F33+$G33)</f>
        <v>0</v>
      </c>
      <c r="AQ33" s="27" t="n">
        <f aca="false">+AE33*($F33+$G33)</f>
        <v>0</v>
      </c>
      <c r="AR33" s="27" t="n">
        <f aca="false">+AF33*($F33+$G33)</f>
        <v>0</v>
      </c>
      <c r="AS33" s="27" t="n">
        <f aca="false">+AG33*($F33+$G33)</f>
        <v>0</v>
      </c>
    </row>
    <row r="34" customFormat="false" ht="12.75" hidden="false" customHeight="false" outlineLevel="0" collapsed="false">
      <c r="A34" s="83" t="s">
        <v>28</v>
      </c>
      <c r="B34" s="22" t="s">
        <v>54</v>
      </c>
      <c r="C34" s="61" t="n">
        <v>26123</v>
      </c>
      <c r="D34" s="62" t="n">
        <v>2900</v>
      </c>
      <c r="E34" s="84" t="s">
        <v>127</v>
      </c>
      <c r="F34" s="63" t="n">
        <v>0.0407</v>
      </c>
      <c r="G34" s="63" t="n">
        <v>0.0093</v>
      </c>
      <c r="H34" s="85" t="n">
        <f aca="false">+G34+F34</f>
        <v>0.05</v>
      </c>
      <c r="I34" s="86"/>
      <c r="J34" s="87" t="n">
        <v>36616</v>
      </c>
      <c r="K34" s="0" t="n">
        <v>91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W34" s="60" t="n">
        <f aca="false">+K34*$D34</f>
        <v>263900</v>
      </c>
      <c r="X34" s="60" t="n">
        <f aca="false">+L34*$D34</f>
        <v>0</v>
      </c>
      <c r="Y34" s="60" t="n">
        <f aca="false">+M34*$D34</f>
        <v>0</v>
      </c>
      <c r="Z34" s="60" t="n">
        <f aca="false">+N34*$D34</f>
        <v>0</v>
      </c>
      <c r="AA34" s="60" t="n">
        <f aca="false">+O34*$D34</f>
        <v>0</v>
      </c>
      <c r="AB34" s="60" t="n">
        <f aca="false">+P34*$D34</f>
        <v>0</v>
      </c>
      <c r="AC34" s="60" t="n">
        <f aca="false">+Q34*$D34</f>
        <v>0</v>
      </c>
      <c r="AD34" s="60" t="n">
        <f aca="false">+R34*$D34</f>
        <v>0</v>
      </c>
      <c r="AE34" s="60" t="n">
        <f aca="false">+S34*$D34</f>
        <v>0</v>
      </c>
      <c r="AF34" s="60" t="n">
        <f aca="false">+T34*$D34</f>
        <v>0</v>
      </c>
      <c r="AG34" s="60" t="n">
        <f aca="false">+U34*$D34</f>
        <v>0</v>
      </c>
      <c r="AI34" s="27" t="n">
        <f aca="false">+W34*($F34+$G34)</f>
        <v>13195</v>
      </c>
      <c r="AJ34" s="27" t="n">
        <f aca="false">+X34*($F34+$G34)</f>
        <v>0</v>
      </c>
      <c r="AK34" s="27" t="n">
        <f aca="false">+Y34*($F34+$G34)</f>
        <v>0</v>
      </c>
      <c r="AL34" s="27" t="n">
        <f aca="false">+Z34*($F34+$G34)</f>
        <v>0</v>
      </c>
      <c r="AM34" s="27" t="n">
        <f aca="false">+AA34*($F34+$G34)</f>
        <v>0</v>
      </c>
      <c r="AN34" s="27" t="n">
        <f aca="false">+AB34*($F34+$G34)</f>
        <v>0</v>
      </c>
      <c r="AO34" s="27" t="n">
        <f aca="false">+AC34*($F34+$G34)</f>
        <v>0</v>
      </c>
      <c r="AP34" s="27" t="n">
        <f aca="false">+AD34*($F34+$G34)</f>
        <v>0</v>
      </c>
      <c r="AQ34" s="27" t="n">
        <f aca="false">+AE34*($F34+$G34)</f>
        <v>0</v>
      </c>
      <c r="AR34" s="27" t="n">
        <f aca="false">+AF34*($F34+$G34)</f>
        <v>0</v>
      </c>
      <c r="AS34" s="27" t="n">
        <f aca="false">+AG34*($F34+$G34)</f>
        <v>0</v>
      </c>
    </row>
    <row r="35" customFormat="false" ht="12.75" hidden="false" customHeight="false" outlineLevel="0" collapsed="false">
      <c r="A35" s="83" t="s">
        <v>28</v>
      </c>
      <c r="B35" s="22" t="s">
        <v>55</v>
      </c>
      <c r="C35" s="71" t="n">
        <v>27340</v>
      </c>
      <c r="D35" s="62" t="n">
        <v>20000</v>
      </c>
      <c r="E35" s="61" t="s">
        <v>128</v>
      </c>
      <c r="F35" s="63" t="n">
        <v>0.102</v>
      </c>
      <c r="G35" s="63" t="n">
        <v>0.0071</v>
      </c>
      <c r="H35" s="85" t="n">
        <f aca="false">+G35+F35</f>
        <v>0.1091</v>
      </c>
      <c r="I35" s="86" t="n">
        <v>36923</v>
      </c>
      <c r="J35" s="87" t="n">
        <v>37287</v>
      </c>
      <c r="K35" s="0" t="n">
        <v>0</v>
      </c>
      <c r="L35" s="0" t="n">
        <v>334</v>
      </c>
      <c r="M35" s="0" t="n">
        <v>31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W35" s="60" t="n">
        <f aca="false">+K35*$D35</f>
        <v>0</v>
      </c>
      <c r="X35" s="60" t="n">
        <f aca="false">+L35*$D35</f>
        <v>6680000</v>
      </c>
      <c r="Y35" s="60" t="n">
        <f aca="false">+M35*$D35</f>
        <v>620000</v>
      </c>
      <c r="Z35" s="60" t="n">
        <f aca="false">+N35*$D35</f>
        <v>0</v>
      </c>
      <c r="AA35" s="60" t="n">
        <f aca="false">+O35*$D35</f>
        <v>0</v>
      </c>
      <c r="AB35" s="60" t="n">
        <f aca="false">+P35*$D35</f>
        <v>0</v>
      </c>
      <c r="AC35" s="60" t="n">
        <f aca="false">+Q35*$D35</f>
        <v>0</v>
      </c>
      <c r="AD35" s="60" t="n">
        <f aca="false">+R35*$D35</f>
        <v>0</v>
      </c>
      <c r="AE35" s="60" t="n">
        <f aca="false">+S35*$D35</f>
        <v>0</v>
      </c>
      <c r="AF35" s="60" t="n">
        <f aca="false">+T35*$D35</f>
        <v>0</v>
      </c>
      <c r="AG35" s="60" t="n">
        <f aca="false">+U35*$D35</f>
        <v>0</v>
      </c>
      <c r="AI35" s="27" t="n">
        <f aca="false">+W35*($F35+$G35)</f>
        <v>0</v>
      </c>
      <c r="AJ35" s="27" t="n">
        <f aca="false">+X35*($F35+$G35)</f>
        <v>728788</v>
      </c>
      <c r="AK35" s="27" t="n">
        <f aca="false">+Y35*($F35+$G35)</f>
        <v>67642</v>
      </c>
      <c r="AL35" s="27" t="n">
        <f aca="false">+Z35*($F35+$G35)</f>
        <v>0</v>
      </c>
      <c r="AM35" s="27" t="n">
        <f aca="false">+AA35*($F35+$G35)</f>
        <v>0</v>
      </c>
      <c r="AN35" s="27" t="n">
        <f aca="false">+AB35*($F35+$G35)</f>
        <v>0</v>
      </c>
      <c r="AO35" s="27" t="n">
        <f aca="false">+AC35*($F35+$G35)</f>
        <v>0</v>
      </c>
      <c r="AP35" s="27" t="n">
        <f aca="false">+AD35*($F35+$G35)</f>
        <v>0</v>
      </c>
      <c r="AQ35" s="27" t="n">
        <f aca="false">+AE35*($F35+$G35)</f>
        <v>0</v>
      </c>
      <c r="AR35" s="27" t="n">
        <f aca="false">+AF35*($F35+$G35)</f>
        <v>0</v>
      </c>
      <c r="AS35" s="27" t="n">
        <f aca="false">+AG35*($F35+$G35)</f>
        <v>0</v>
      </c>
    </row>
    <row r="36" customFormat="false" ht="12.75" hidden="false" customHeight="false" outlineLevel="0" collapsed="false">
      <c r="A36" s="83" t="s">
        <v>28</v>
      </c>
      <c r="B36" s="22" t="s">
        <v>56</v>
      </c>
      <c r="C36" s="71" t="n">
        <v>25841</v>
      </c>
      <c r="D36" s="62" t="n">
        <v>40000</v>
      </c>
      <c r="E36" s="61" t="s">
        <v>127</v>
      </c>
      <c r="F36" s="63" t="n">
        <v>0.0407</v>
      </c>
      <c r="G36" s="63" t="n">
        <v>0.0093</v>
      </c>
      <c r="H36" s="85" t="n">
        <f aca="false">+G36+F36</f>
        <v>0.05</v>
      </c>
      <c r="I36" s="86" t="n">
        <v>35827</v>
      </c>
      <c r="J36" s="87" t="n">
        <v>37560</v>
      </c>
      <c r="K36" s="0" t="n">
        <v>366</v>
      </c>
      <c r="L36" s="0" t="n">
        <v>365</v>
      </c>
      <c r="M36" s="0" t="n">
        <v>304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W36" s="60" t="n">
        <f aca="false">+K36*$D36</f>
        <v>14640000</v>
      </c>
      <c r="X36" s="60" t="n">
        <f aca="false">+L36*$D36</f>
        <v>14600000</v>
      </c>
      <c r="Y36" s="60" t="n">
        <f aca="false">+M36*$D36</f>
        <v>12160000</v>
      </c>
      <c r="Z36" s="60" t="n">
        <f aca="false">+N36*$D36</f>
        <v>0</v>
      </c>
      <c r="AA36" s="60" t="n">
        <f aca="false">+O36*$D36</f>
        <v>0</v>
      </c>
      <c r="AB36" s="60" t="n">
        <f aca="false">+P36*$D36</f>
        <v>0</v>
      </c>
      <c r="AC36" s="60" t="n">
        <f aca="false">+Q36*$D36</f>
        <v>0</v>
      </c>
      <c r="AD36" s="60" t="n">
        <f aca="false">+R36*$D36</f>
        <v>0</v>
      </c>
      <c r="AE36" s="60" t="n">
        <f aca="false">+S36*$D36</f>
        <v>0</v>
      </c>
      <c r="AF36" s="60" t="n">
        <f aca="false">+T36*$D36</f>
        <v>0</v>
      </c>
      <c r="AG36" s="60" t="n">
        <f aca="false">+U36*$D36</f>
        <v>0</v>
      </c>
      <c r="AI36" s="27" t="n">
        <f aca="false">+W36*($F36+$G36)</f>
        <v>732000</v>
      </c>
      <c r="AJ36" s="27" t="n">
        <f aca="false">+X36*($F36+$G36)</f>
        <v>730000</v>
      </c>
      <c r="AK36" s="27" t="n">
        <f aca="false">+Y36*($F36+$G36)</f>
        <v>608000</v>
      </c>
      <c r="AL36" s="27" t="n">
        <f aca="false">+Z36*($F36+$G36)</f>
        <v>0</v>
      </c>
      <c r="AM36" s="27" t="n">
        <f aca="false">+AA36*($F36+$G36)</f>
        <v>0</v>
      </c>
      <c r="AN36" s="27" t="n">
        <f aca="false">+AB36*($F36+$G36)</f>
        <v>0</v>
      </c>
      <c r="AO36" s="27" t="n">
        <f aca="false">+AC36*($F36+$G36)</f>
        <v>0</v>
      </c>
      <c r="AP36" s="27" t="n">
        <f aca="false">+AD36*($F36+$G36)</f>
        <v>0</v>
      </c>
      <c r="AQ36" s="27" t="n">
        <f aca="false">+AE36*($F36+$G36)</f>
        <v>0</v>
      </c>
      <c r="AR36" s="27" t="n">
        <f aca="false">+AF36*($F36+$G36)</f>
        <v>0</v>
      </c>
      <c r="AS36" s="27" t="n">
        <f aca="false">+AG36*($F36+$G36)</f>
        <v>0</v>
      </c>
    </row>
    <row r="37" customFormat="false" ht="12.75" hidden="false" customHeight="false" outlineLevel="0" collapsed="false">
      <c r="A37" s="83" t="s">
        <v>28</v>
      </c>
      <c r="B37" s="22" t="s">
        <v>56</v>
      </c>
      <c r="C37" s="71" t="n">
        <v>26511</v>
      </c>
      <c r="D37" s="62" t="n">
        <v>21000</v>
      </c>
      <c r="E37" s="61" t="s">
        <v>127</v>
      </c>
      <c r="F37" s="63" t="n">
        <v>0.0407</v>
      </c>
      <c r="G37" s="63" t="n">
        <v>0.0093</v>
      </c>
      <c r="H37" s="85" t="n">
        <f aca="false">+G37+F37</f>
        <v>0.05</v>
      </c>
      <c r="I37" s="86" t="n">
        <v>36100</v>
      </c>
      <c r="J37" s="87" t="n">
        <v>37560</v>
      </c>
      <c r="K37" s="0" t="n">
        <v>366</v>
      </c>
      <c r="L37" s="0" t="n">
        <v>365</v>
      </c>
      <c r="M37" s="0" t="n">
        <v>304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W37" s="60" t="n">
        <f aca="false">+K37*$D37</f>
        <v>7686000</v>
      </c>
      <c r="X37" s="60" t="n">
        <f aca="false">+L37*$D37</f>
        <v>7665000</v>
      </c>
      <c r="Y37" s="60" t="n">
        <f aca="false">+M37*$D37</f>
        <v>6384000</v>
      </c>
      <c r="Z37" s="60" t="n">
        <f aca="false">+N37*$D37</f>
        <v>0</v>
      </c>
      <c r="AA37" s="60" t="n">
        <f aca="false">+O37*$D37</f>
        <v>0</v>
      </c>
      <c r="AB37" s="60" t="n">
        <f aca="false">+P37*$D37</f>
        <v>0</v>
      </c>
      <c r="AC37" s="60" t="n">
        <f aca="false">+Q37*$D37</f>
        <v>0</v>
      </c>
      <c r="AD37" s="60" t="n">
        <f aca="false">+R37*$D37</f>
        <v>0</v>
      </c>
      <c r="AE37" s="60" t="n">
        <f aca="false">+S37*$D37</f>
        <v>0</v>
      </c>
      <c r="AF37" s="60" t="n">
        <f aca="false">+T37*$D37</f>
        <v>0</v>
      </c>
      <c r="AG37" s="60" t="n">
        <f aca="false">+U37*$D37</f>
        <v>0</v>
      </c>
      <c r="AI37" s="27" t="n">
        <f aca="false">+W37*($F37+$G37)</f>
        <v>384300</v>
      </c>
      <c r="AJ37" s="27" t="n">
        <f aca="false">+X37*($F37+$G37)</f>
        <v>383250</v>
      </c>
      <c r="AK37" s="27" t="n">
        <f aca="false">+Y37*($F37+$G37)</f>
        <v>319200</v>
      </c>
      <c r="AL37" s="27" t="n">
        <f aca="false">+Z37*($F37+$G37)</f>
        <v>0</v>
      </c>
      <c r="AM37" s="27" t="n">
        <f aca="false">+AA37*($F37+$G37)</f>
        <v>0</v>
      </c>
      <c r="AN37" s="27" t="n">
        <f aca="false">+AB37*($F37+$G37)</f>
        <v>0</v>
      </c>
      <c r="AO37" s="27" t="n">
        <f aca="false">+AC37*($F37+$G37)</f>
        <v>0</v>
      </c>
      <c r="AP37" s="27" t="n">
        <f aca="false">+AD37*($F37+$G37)</f>
        <v>0</v>
      </c>
      <c r="AQ37" s="27" t="n">
        <f aca="false">+AE37*($F37+$G37)</f>
        <v>0</v>
      </c>
      <c r="AR37" s="27" t="n">
        <f aca="false">+AF37*($F37+$G37)</f>
        <v>0</v>
      </c>
      <c r="AS37" s="27" t="n">
        <f aca="false">+AG37*($F37+$G37)</f>
        <v>0</v>
      </c>
    </row>
    <row r="38" customFormat="false" ht="12.75" hidden="false" customHeight="false" outlineLevel="0" collapsed="false">
      <c r="A38" s="88" t="s">
        <v>28</v>
      </c>
      <c r="B38" s="30" t="s">
        <v>42</v>
      </c>
      <c r="C38" s="94" t="n">
        <v>24194</v>
      </c>
      <c r="D38" s="90" t="n">
        <v>10000</v>
      </c>
      <c r="E38" s="95" t="s">
        <v>131</v>
      </c>
      <c r="F38" s="91" t="n">
        <v>0.1007</v>
      </c>
      <c r="G38" s="91" t="n">
        <v>0.0093</v>
      </c>
      <c r="H38" s="85" t="n">
        <f aca="false">+G38+F38</f>
        <v>0.11</v>
      </c>
      <c r="I38" s="29" t="s">
        <v>43</v>
      </c>
      <c r="J38" s="87" t="n">
        <v>37164</v>
      </c>
      <c r="K38" s="0" t="n">
        <v>366</v>
      </c>
      <c r="L38" s="0" t="n">
        <v>273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W38" s="60" t="n">
        <f aca="false">+K38*$D38</f>
        <v>3660000</v>
      </c>
      <c r="X38" s="60" t="n">
        <f aca="false">+L38*$D38</f>
        <v>2730000</v>
      </c>
      <c r="Y38" s="60" t="n">
        <f aca="false">+M38*$D38</f>
        <v>0</v>
      </c>
      <c r="Z38" s="60" t="n">
        <f aca="false">+N38*$D38</f>
        <v>0</v>
      </c>
      <c r="AA38" s="60" t="n">
        <f aca="false">+O38*$D38</f>
        <v>0</v>
      </c>
      <c r="AB38" s="60" t="n">
        <f aca="false">+P38*$D38</f>
        <v>0</v>
      </c>
      <c r="AC38" s="60" t="n">
        <f aca="false">+Q38*$D38</f>
        <v>0</v>
      </c>
      <c r="AD38" s="60" t="n">
        <f aca="false">+R38*$D38</f>
        <v>0</v>
      </c>
      <c r="AE38" s="60" t="n">
        <f aca="false">+S38*$D38</f>
        <v>0</v>
      </c>
      <c r="AF38" s="60" t="n">
        <f aca="false">+T38*$D38</f>
        <v>0</v>
      </c>
      <c r="AG38" s="60" t="n">
        <f aca="false">+U38*$D38</f>
        <v>0</v>
      </c>
      <c r="AI38" s="27" t="n">
        <f aca="false">+W38*($F38+$G38)</f>
        <v>402600</v>
      </c>
      <c r="AJ38" s="27" t="n">
        <f aca="false">+X38*($F38+$G38)</f>
        <v>300300</v>
      </c>
      <c r="AK38" s="27" t="n">
        <f aca="false">+Y38*($F38+$G38)</f>
        <v>0</v>
      </c>
      <c r="AL38" s="27" t="n">
        <f aca="false">+Z38*($F38+$G38)</f>
        <v>0</v>
      </c>
      <c r="AM38" s="27" t="n">
        <f aca="false">+AA38*($F38+$G38)</f>
        <v>0</v>
      </c>
      <c r="AN38" s="27" t="n">
        <f aca="false">+AB38*($F38+$G38)</f>
        <v>0</v>
      </c>
      <c r="AO38" s="27" t="n">
        <f aca="false">+AC38*($F38+$G38)</f>
        <v>0</v>
      </c>
      <c r="AP38" s="27" t="n">
        <f aca="false">+AD38*($F38+$G38)</f>
        <v>0</v>
      </c>
      <c r="AQ38" s="27" t="n">
        <f aca="false">+AE38*($F38+$G38)</f>
        <v>0</v>
      </c>
      <c r="AR38" s="27" t="n">
        <f aca="false">+AF38*($F38+$G38)</f>
        <v>0</v>
      </c>
      <c r="AS38" s="27" t="n">
        <f aca="false">+AG38*($F38+$G38)</f>
        <v>0</v>
      </c>
    </row>
    <row r="39" customFormat="false" ht="12.75" hidden="false" customHeight="false" outlineLevel="0" collapsed="false">
      <c r="A39" s="83" t="s">
        <v>28</v>
      </c>
      <c r="B39" s="22" t="s">
        <v>57</v>
      </c>
      <c r="C39" s="71" t="n">
        <v>26819</v>
      </c>
      <c r="D39" s="62" t="n">
        <v>10000</v>
      </c>
      <c r="E39" s="95" t="s">
        <v>127</v>
      </c>
      <c r="F39" s="63" t="n">
        <v>0.0407</v>
      </c>
      <c r="G39" s="63" t="n">
        <v>0.0093</v>
      </c>
      <c r="H39" s="85" t="n">
        <f aca="false">+G39+F39</f>
        <v>0.05</v>
      </c>
      <c r="I39" s="86" t="n">
        <v>36647</v>
      </c>
      <c r="J39" s="87" t="n">
        <v>38472</v>
      </c>
      <c r="K39" s="0" t="n">
        <v>245</v>
      </c>
      <c r="L39" s="0" t="n">
        <v>365</v>
      </c>
      <c r="M39" s="0" t="n">
        <v>365</v>
      </c>
      <c r="N39" s="0" t="n">
        <v>365</v>
      </c>
      <c r="O39" s="0" t="n">
        <v>120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W39" s="60" t="n">
        <f aca="false">+K39*$D39</f>
        <v>2450000</v>
      </c>
      <c r="X39" s="60" t="n">
        <f aca="false">+L39*$D39</f>
        <v>3650000</v>
      </c>
      <c r="Y39" s="60" t="n">
        <f aca="false">+M39*$D39</f>
        <v>3650000</v>
      </c>
      <c r="Z39" s="60" t="n">
        <f aca="false">+N39*$D39</f>
        <v>3650000</v>
      </c>
      <c r="AA39" s="60" t="n">
        <f aca="false">+O39*$D39</f>
        <v>1200000</v>
      </c>
      <c r="AB39" s="60" t="n">
        <f aca="false">+P39*$D39</f>
        <v>0</v>
      </c>
      <c r="AC39" s="60" t="n">
        <f aca="false">+Q39*$D39</f>
        <v>0</v>
      </c>
      <c r="AD39" s="60" t="n">
        <f aca="false">+R39*$D39</f>
        <v>0</v>
      </c>
      <c r="AE39" s="60" t="n">
        <f aca="false">+S39*$D39</f>
        <v>0</v>
      </c>
      <c r="AF39" s="60" t="n">
        <f aca="false">+T39*$D39</f>
        <v>0</v>
      </c>
      <c r="AG39" s="60" t="n">
        <f aca="false">+U39*$D39</f>
        <v>0</v>
      </c>
      <c r="AI39" s="27" t="n">
        <f aca="false">+W39*($F39+$G39)</f>
        <v>122500</v>
      </c>
      <c r="AJ39" s="27" t="n">
        <f aca="false">+X39*($F39+$G39)</f>
        <v>182500</v>
      </c>
      <c r="AK39" s="27" t="n">
        <f aca="false">+Y39*($F39+$G39)</f>
        <v>182500</v>
      </c>
      <c r="AL39" s="27" t="n">
        <f aca="false">+Z39*($F39+$G39)</f>
        <v>182500</v>
      </c>
      <c r="AM39" s="27" t="n">
        <f aca="false">+AA39*($F39+$G39)</f>
        <v>60000</v>
      </c>
      <c r="AN39" s="27" t="n">
        <f aca="false">+AB39*($F39+$G39)</f>
        <v>0</v>
      </c>
      <c r="AO39" s="27" t="n">
        <f aca="false">+AC39*($F39+$G39)</f>
        <v>0</v>
      </c>
      <c r="AP39" s="27" t="n">
        <f aca="false">+AD39*($F39+$G39)</f>
        <v>0</v>
      </c>
      <c r="AQ39" s="27" t="n">
        <f aca="false">+AE39*($F39+$G39)</f>
        <v>0</v>
      </c>
      <c r="AR39" s="27" t="n">
        <f aca="false">+AF39*($F39+$G39)</f>
        <v>0</v>
      </c>
      <c r="AS39" s="27" t="n">
        <f aca="false">+AG39*($F39+$G39)</f>
        <v>0</v>
      </c>
    </row>
    <row r="40" customFormat="false" ht="12.75" hidden="false" customHeight="false" outlineLevel="0" collapsed="false">
      <c r="A40" s="88" t="s">
        <v>28</v>
      </c>
      <c r="B40" s="30" t="s">
        <v>44</v>
      </c>
      <c r="C40" s="94" t="s">
        <v>45</v>
      </c>
      <c r="D40" s="90" t="n">
        <v>35714</v>
      </c>
      <c r="E40" s="95" t="s">
        <v>127</v>
      </c>
      <c r="F40" s="91" t="n">
        <v>0.0957</v>
      </c>
      <c r="G40" s="91" t="n">
        <v>0.0093</v>
      </c>
      <c r="H40" s="85" t="n">
        <f aca="false">+G40+F40</f>
        <v>0.105</v>
      </c>
      <c r="I40" s="29" t="n">
        <v>34851</v>
      </c>
      <c r="J40" s="87" t="n">
        <v>37407</v>
      </c>
      <c r="K40" s="0" t="n">
        <v>366</v>
      </c>
      <c r="L40" s="0" t="n">
        <v>365</v>
      </c>
      <c r="M40" s="0" t="n">
        <v>151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W40" s="60" t="n">
        <f aca="false">+K40*$D40</f>
        <v>13071324</v>
      </c>
      <c r="X40" s="60" t="n">
        <f aca="false">+L40*$D40</f>
        <v>13035610</v>
      </c>
      <c r="Y40" s="60" t="n">
        <f aca="false">+M40*$D40</f>
        <v>5392814</v>
      </c>
      <c r="Z40" s="60" t="n">
        <f aca="false">+N40*$D40</f>
        <v>0</v>
      </c>
      <c r="AA40" s="60" t="n">
        <f aca="false">+O40*$D40</f>
        <v>0</v>
      </c>
      <c r="AB40" s="60" t="n">
        <f aca="false">+P40*$D40</f>
        <v>0</v>
      </c>
      <c r="AC40" s="60" t="n">
        <f aca="false">+Q40*$D40</f>
        <v>0</v>
      </c>
      <c r="AD40" s="60" t="n">
        <f aca="false">+R40*$D40</f>
        <v>0</v>
      </c>
      <c r="AE40" s="60" t="n">
        <f aca="false">+S40*$D40</f>
        <v>0</v>
      </c>
      <c r="AF40" s="60" t="n">
        <f aca="false">+T40*$D40</f>
        <v>0</v>
      </c>
      <c r="AG40" s="60" t="n">
        <f aca="false">+U40*$D40</f>
        <v>0</v>
      </c>
      <c r="AI40" s="27" t="n">
        <f aca="false">+W40*($F40+$G40)</f>
        <v>1372489.02</v>
      </c>
      <c r="AJ40" s="27" t="n">
        <f aca="false">+X40*($F40+$G40)</f>
        <v>1368739.05</v>
      </c>
      <c r="AK40" s="27" t="n">
        <f aca="false">+Y40*($F40+$G40)</f>
        <v>566245.47</v>
      </c>
      <c r="AL40" s="27" t="n">
        <f aca="false">+Z40*($F40+$G40)</f>
        <v>0</v>
      </c>
      <c r="AM40" s="27" t="n">
        <f aca="false">+AA40*($F40+$G40)</f>
        <v>0</v>
      </c>
      <c r="AN40" s="27" t="n">
        <f aca="false">+AB40*($F40+$G40)</f>
        <v>0</v>
      </c>
      <c r="AO40" s="27" t="n">
        <f aca="false">+AC40*($F40+$G40)</f>
        <v>0</v>
      </c>
      <c r="AP40" s="27" t="n">
        <f aca="false">+AD40*($F40+$G40)</f>
        <v>0</v>
      </c>
      <c r="AQ40" s="27" t="n">
        <f aca="false">+AE40*($F40+$G40)</f>
        <v>0</v>
      </c>
      <c r="AR40" s="27" t="n">
        <f aca="false">+AF40*($F40+$G40)</f>
        <v>0</v>
      </c>
      <c r="AS40" s="27" t="n">
        <f aca="false">+AG40*($F40+$G40)</f>
        <v>0</v>
      </c>
    </row>
    <row r="41" customFormat="false" ht="12.75" hidden="false" customHeight="false" outlineLevel="0" collapsed="false">
      <c r="A41" s="83" t="s">
        <v>28</v>
      </c>
      <c r="B41" s="22" t="s">
        <v>58</v>
      </c>
      <c r="C41" s="71" t="n">
        <v>27293</v>
      </c>
      <c r="D41" s="62" t="n">
        <v>49000</v>
      </c>
      <c r="E41" s="84" t="s">
        <v>127</v>
      </c>
      <c r="F41" s="63" t="n">
        <v>0.102</v>
      </c>
      <c r="G41" s="63" t="n">
        <v>0.0071</v>
      </c>
      <c r="H41" s="85" t="n">
        <f aca="false">+G41+F41</f>
        <v>0.1091</v>
      </c>
      <c r="I41" s="86" t="n">
        <v>36831</v>
      </c>
      <c r="J41" s="87" t="n">
        <v>37195</v>
      </c>
      <c r="K41" s="0" t="n">
        <v>61</v>
      </c>
      <c r="L41" s="0" t="n">
        <v>304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W41" s="60" t="n">
        <f aca="false">+K41*$D41</f>
        <v>2989000</v>
      </c>
      <c r="X41" s="60" t="n">
        <f aca="false">+L41*$D41</f>
        <v>14896000</v>
      </c>
      <c r="Y41" s="60" t="n">
        <f aca="false">+M41*$D41</f>
        <v>0</v>
      </c>
      <c r="Z41" s="60" t="n">
        <f aca="false">+N41*$D41</f>
        <v>0</v>
      </c>
      <c r="AA41" s="60" t="n">
        <f aca="false">+O41*$D41</f>
        <v>0</v>
      </c>
      <c r="AB41" s="60" t="n">
        <f aca="false">+P41*$D41</f>
        <v>0</v>
      </c>
      <c r="AC41" s="60" t="n">
        <f aca="false">+Q41*$D41</f>
        <v>0</v>
      </c>
      <c r="AD41" s="60" t="n">
        <f aca="false">+R41*$D41</f>
        <v>0</v>
      </c>
      <c r="AE41" s="60" t="n">
        <f aca="false">+S41*$D41</f>
        <v>0</v>
      </c>
      <c r="AF41" s="60" t="n">
        <f aca="false">+T41*$D41</f>
        <v>0</v>
      </c>
      <c r="AG41" s="60" t="n">
        <f aca="false">+U41*$D41</f>
        <v>0</v>
      </c>
      <c r="AI41" s="27" t="n">
        <f aca="false">+W41*($F41+$G41)</f>
        <v>326099.9</v>
      </c>
      <c r="AJ41" s="27" t="n">
        <f aca="false">+X41*($F41+$G41)</f>
        <v>1625153.6</v>
      </c>
      <c r="AK41" s="27" t="n">
        <f aca="false">+Y41*($F41+$G41)</f>
        <v>0</v>
      </c>
      <c r="AL41" s="27" t="n">
        <f aca="false">+Z41*($F41+$G41)</f>
        <v>0</v>
      </c>
      <c r="AM41" s="27" t="n">
        <f aca="false">+AA41*($F41+$G41)</f>
        <v>0</v>
      </c>
      <c r="AN41" s="27" t="n">
        <f aca="false">+AB41*($F41+$G41)</f>
        <v>0</v>
      </c>
      <c r="AO41" s="27" t="n">
        <f aca="false">+AC41*($F41+$G41)</f>
        <v>0</v>
      </c>
      <c r="AP41" s="27" t="n">
        <f aca="false">+AD41*($F41+$G41)</f>
        <v>0</v>
      </c>
      <c r="AQ41" s="27" t="n">
        <f aca="false">+AE41*($F41+$G41)</f>
        <v>0</v>
      </c>
      <c r="AR41" s="27" t="n">
        <f aca="false">+AF41*($F41+$G41)</f>
        <v>0</v>
      </c>
      <c r="AS41" s="27" t="n">
        <f aca="false">+AG41*($F41+$G41)</f>
        <v>0</v>
      </c>
    </row>
    <row r="42" customFormat="false" ht="12.75" hidden="false" customHeight="false" outlineLevel="0" collapsed="false">
      <c r="A42" s="83" t="s">
        <v>28</v>
      </c>
      <c r="B42" s="22" t="s">
        <v>58</v>
      </c>
      <c r="C42" s="71" t="n">
        <v>27352</v>
      </c>
      <c r="D42" s="62" t="n">
        <v>21500</v>
      </c>
      <c r="E42" s="61" t="s">
        <v>132</v>
      </c>
      <c r="F42" s="63" t="n">
        <v>0.0407</v>
      </c>
      <c r="G42" s="63" t="n">
        <v>0.0093</v>
      </c>
      <c r="H42" s="85" t="n">
        <f aca="false">+G42+F42</f>
        <v>0.05</v>
      </c>
      <c r="I42" s="86" t="n">
        <v>37196</v>
      </c>
      <c r="J42" s="87" t="n">
        <v>37560</v>
      </c>
      <c r="K42" s="0" t="n">
        <v>0</v>
      </c>
      <c r="L42" s="0" t="n">
        <v>61</v>
      </c>
      <c r="M42" s="0" t="n">
        <v>304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W42" s="60" t="n">
        <f aca="false">+K42*$D42</f>
        <v>0</v>
      </c>
      <c r="X42" s="60" t="n">
        <f aca="false">+L42*$D42</f>
        <v>1311500</v>
      </c>
      <c r="Y42" s="60" t="n">
        <f aca="false">+M42*$D42</f>
        <v>6536000</v>
      </c>
      <c r="Z42" s="60" t="n">
        <f aca="false">+N42*$D42</f>
        <v>0</v>
      </c>
      <c r="AA42" s="60" t="n">
        <f aca="false">+O42*$D42</f>
        <v>0</v>
      </c>
      <c r="AB42" s="60" t="n">
        <f aca="false">+P42*$D42</f>
        <v>0</v>
      </c>
      <c r="AC42" s="60" t="n">
        <f aca="false">+Q42*$D42</f>
        <v>0</v>
      </c>
      <c r="AD42" s="60" t="n">
        <f aca="false">+R42*$D42</f>
        <v>0</v>
      </c>
      <c r="AE42" s="60" t="n">
        <f aca="false">+S42*$D42</f>
        <v>0</v>
      </c>
      <c r="AF42" s="60" t="n">
        <f aca="false">+T42*$D42</f>
        <v>0</v>
      </c>
      <c r="AG42" s="60" t="n">
        <f aca="false">+U42*$D42</f>
        <v>0</v>
      </c>
      <c r="AI42" s="27" t="n">
        <f aca="false">+W42*($F42+$G42)</f>
        <v>0</v>
      </c>
      <c r="AJ42" s="27" t="n">
        <f aca="false">+X42*($F42+$G42)</f>
        <v>65575</v>
      </c>
      <c r="AK42" s="27" t="n">
        <f aca="false">+Y42*($F42+$G42)</f>
        <v>326800</v>
      </c>
      <c r="AL42" s="27" t="n">
        <f aca="false">+Z42*($F42+$G42)</f>
        <v>0</v>
      </c>
      <c r="AM42" s="27" t="n">
        <f aca="false">+AA42*($F42+$G42)</f>
        <v>0</v>
      </c>
      <c r="AN42" s="27" t="n">
        <f aca="false">+AB42*($F42+$G42)</f>
        <v>0</v>
      </c>
      <c r="AO42" s="27" t="n">
        <f aca="false">+AC42*($F42+$G42)</f>
        <v>0</v>
      </c>
      <c r="AP42" s="27" t="n">
        <f aca="false">+AD42*($F42+$G42)</f>
        <v>0</v>
      </c>
      <c r="AQ42" s="27" t="n">
        <f aca="false">+AE42*($F42+$G42)</f>
        <v>0</v>
      </c>
      <c r="AR42" s="27" t="n">
        <f aca="false">+AF42*($F42+$G42)</f>
        <v>0</v>
      </c>
      <c r="AS42" s="27" t="n">
        <f aca="false">+AG42*($F42+$G42)</f>
        <v>0</v>
      </c>
    </row>
    <row r="43" customFormat="false" ht="12.75" hidden="false" customHeight="false" outlineLevel="0" collapsed="false">
      <c r="A43" s="83" t="s">
        <v>28</v>
      </c>
      <c r="B43" s="22" t="s">
        <v>59</v>
      </c>
      <c r="C43" s="71" t="n">
        <v>8255</v>
      </c>
      <c r="D43" s="62" t="n">
        <v>306000</v>
      </c>
      <c r="E43" s="61" t="s">
        <v>133</v>
      </c>
      <c r="F43" s="63" t="n">
        <v>0.102</v>
      </c>
      <c r="G43" s="63" t="n">
        <v>0.0071</v>
      </c>
      <c r="H43" s="85" t="n">
        <f aca="false">+G43+F43</f>
        <v>0.1091</v>
      </c>
      <c r="I43" s="86" t="n">
        <v>32782</v>
      </c>
      <c r="J43" s="87" t="n">
        <v>38656</v>
      </c>
      <c r="K43" s="0" t="n">
        <v>366</v>
      </c>
      <c r="L43" s="0" t="n">
        <v>365</v>
      </c>
      <c r="M43" s="0" t="n">
        <v>365</v>
      </c>
      <c r="N43" s="0" t="n">
        <v>365</v>
      </c>
      <c r="O43" s="0" t="n">
        <v>366</v>
      </c>
      <c r="P43" s="0" t="n">
        <v>304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W43" s="60" t="n">
        <f aca="false">+K43*$D43</f>
        <v>111996000</v>
      </c>
      <c r="X43" s="60" t="n">
        <f aca="false">+L43*$D43</f>
        <v>111690000</v>
      </c>
      <c r="Y43" s="60" t="n">
        <f aca="false">+M43*$D43</f>
        <v>111690000</v>
      </c>
      <c r="Z43" s="60" t="n">
        <f aca="false">+N43*$D43</f>
        <v>111690000</v>
      </c>
      <c r="AA43" s="60" t="n">
        <f aca="false">+O43*$D43</f>
        <v>111996000</v>
      </c>
      <c r="AB43" s="60" t="n">
        <f aca="false">+P43*$D43</f>
        <v>93024000</v>
      </c>
      <c r="AC43" s="60" t="n">
        <f aca="false">+Q43*$D43</f>
        <v>0</v>
      </c>
      <c r="AD43" s="60" t="n">
        <f aca="false">+R43*$D43</f>
        <v>0</v>
      </c>
      <c r="AE43" s="60" t="n">
        <f aca="false">+S43*$D43</f>
        <v>0</v>
      </c>
      <c r="AF43" s="60" t="n">
        <f aca="false">+T43*$D43</f>
        <v>0</v>
      </c>
      <c r="AG43" s="60" t="n">
        <f aca="false">+U43*$D43</f>
        <v>0</v>
      </c>
      <c r="AI43" s="27" t="n">
        <f aca="false">+W43*($F43+$G43)</f>
        <v>12218763.6</v>
      </c>
      <c r="AJ43" s="27" t="n">
        <f aca="false">+X43*($F43+$G43)</f>
        <v>12185379</v>
      </c>
      <c r="AK43" s="27" t="n">
        <f aca="false">+Y43*($F43+$G43)</f>
        <v>12185379</v>
      </c>
      <c r="AL43" s="27" t="n">
        <f aca="false">+Z43*($F43+$G43)</f>
        <v>12185379</v>
      </c>
      <c r="AM43" s="27" t="n">
        <f aca="false">+AA43*($F43+$G43)</f>
        <v>12218763.6</v>
      </c>
      <c r="AN43" s="27" t="n">
        <f aca="false">+AB43*($F43+$G43)</f>
        <v>10148918.4</v>
      </c>
      <c r="AO43" s="27" t="n">
        <f aca="false">+AC43*($F43+$G43)</f>
        <v>0</v>
      </c>
      <c r="AP43" s="27" t="n">
        <f aca="false">+AD43*($F43+$G43)</f>
        <v>0</v>
      </c>
      <c r="AQ43" s="27" t="n">
        <f aca="false">+AE43*($F43+$G43)</f>
        <v>0</v>
      </c>
      <c r="AR43" s="27" t="n">
        <f aca="false">+AF43*($F43+$G43)</f>
        <v>0</v>
      </c>
      <c r="AS43" s="27" t="n">
        <f aca="false">+AG43*($F43+$G43)</f>
        <v>0</v>
      </c>
    </row>
    <row r="44" customFormat="false" ht="12.75" hidden="false" customHeight="false" outlineLevel="0" collapsed="false">
      <c r="A44" s="83" t="s">
        <v>28</v>
      </c>
      <c r="B44" s="22" t="s">
        <v>61</v>
      </c>
      <c r="C44" s="71" t="n">
        <v>22037</v>
      </c>
      <c r="D44" s="62" t="n">
        <v>3000</v>
      </c>
      <c r="E44" s="84" t="s">
        <v>134</v>
      </c>
      <c r="F44" s="63" t="n">
        <v>0</v>
      </c>
      <c r="G44" s="63" t="n">
        <v>0</v>
      </c>
      <c r="H44" s="85" t="n">
        <v>0.05</v>
      </c>
      <c r="I44" s="86"/>
      <c r="J44" s="87"/>
      <c r="K44" s="0" t="n">
        <v>366</v>
      </c>
      <c r="L44" s="0" t="n">
        <v>365</v>
      </c>
      <c r="M44" s="0" t="n">
        <v>365</v>
      </c>
      <c r="N44" s="0" t="n">
        <v>365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W44" s="60" t="n">
        <f aca="false">+K44*$D44</f>
        <v>1098000</v>
      </c>
      <c r="X44" s="60" t="n">
        <f aca="false">+L44*$D44</f>
        <v>1095000</v>
      </c>
      <c r="Y44" s="60" t="n">
        <f aca="false">+M44*$D44</f>
        <v>1095000</v>
      </c>
      <c r="Z44" s="60" t="n">
        <f aca="false">+N44*$D44</f>
        <v>1095000</v>
      </c>
      <c r="AA44" s="60" t="n">
        <f aca="false">+O44*$D44</f>
        <v>0</v>
      </c>
      <c r="AB44" s="60" t="n">
        <f aca="false">+P44*$D44</f>
        <v>0</v>
      </c>
      <c r="AC44" s="60" t="n">
        <f aca="false">+Q44*$D44</f>
        <v>0</v>
      </c>
      <c r="AD44" s="60" t="n">
        <f aca="false">+R44*$D44</f>
        <v>0</v>
      </c>
      <c r="AE44" s="60" t="n">
        <f aca="false">+S44*$D44</f>
        <v>0</v>
      </c>
      <c r="AF44" s="60" t="n">
        <f aca="false">+T44*$D44</f>
        <v>0</v>
      </c>
      <c r="AG44" s="60" t="n">
        <f aca="false">+U44*$D44</f>
        <v>0</v>
      </c>
      <c r="AI44" s="27" t="n">
        <f aca="false">+W44*($F44+$G44)</f>
        <v>0</v>
      </c>
      <c r="AJ44" s="27" t="n">
        <f aca="false">+X44*($F44+$G44)</f>
        <v>0</v>
      </c>
      <c r="AK44" s="27" t="n">
        <f aca="false">+Y44*($F44+$G44)</f>
        <v>0</v>
      </c>
      <c r="AL44" s="27" t="n">
        <f aca="false">+Z44*($F44+$G44)</f>
        <v>0</v>
      </c>
      <c r="AM44" s="27" t="n">
        <f aca="false">+AA44*($F44+$G44)</f>
        <v>0</v>
      </c>
      <c r="AN44" s="27" t="n">
        <f aca="false">+AB44*($F44+$G44)</f>
        <v>0</v>
      </c>
      <c r="AO44" s="27" t="n">
        <f aca="false">+AC44*($F44+$G44)</f>
        <v>0</v>
      </c>
      <c r="AP44" s="27" t="n">
        <f aca="false">+AD44*($F44+$G44)</f>
        <v>0</v>
      </c>
      <c r="AQ44" s="27" t="n">
        <f aca="false">+AE44*($F44+$G44)</f>
        <v>0</v>
      </c>
      <c r="AR44" s="27" t="n">
        <f aca="false">+AF44*($F44+$G44)</f>
        <v>0</v>
      </c>
      <c r="AS44" s="27" t="n">
        <f aca="false">+AG44*($F44+$G44)</f>
        <v>0</v>
      </c>
    </row>
    <row r="45" customFormat="false" ht="12.75" hidden="false" customHeight="false" outlineLevel="0" collapsed="false">
      <c r="A45" s="83" t="s">
        <v>28</v>
      </c>
      <c r="B45" s="22" t="s">
        <v>61</v>
      </c>
      <c r="C45" s="71" t="n">
        <v>27252</v>
      </c>
      <c r="D45" s="62" t="n">
        <v>14000</v>
      </c>
      <c r="E45" s="84" t="s">
        <v>127</v>
      </c>
      <c r="F45" s="63" t="n">
        <v>0.0407</v>
      </c>
      <c r="G45" s="63" t="n">
        <v>0.0093</v>
      </c>
      <c r="H45" s="85" t="n">
        <f aca="false">+G45+F45</f>
        <v>0.05</v>
      </c>
      <c r="I45" s="86" t="n">
        <v>36831</v>
      </c>
      <c r="J45" s="87" t="n">
        <v>40482</v>
      </c>
      <c r="K45" s="0" t="n">
        <v>61</v>
      </c>
      <c r="L45" s="0" t="n">
        <v>365</v>
      </c>
      <c r="M45" s="0" t="n">
        <v>365</v>
      </c>
      <c r="N45" s="0" t="n">
        <v>365</v>
      </c>
      <c r="O45" s="0" t="n">
        <v>366</v>
      </c>
      <c r="P45" s="0" t="n">
        <v>365</v>
      </c>
      <c r="Q45" s="0" t="n">
        <v>365</v>
      </c>
      <c r="R45" s="0" t="n">
        <v>365</v>
      </c>
      <c r="S45" s="0" t="n">
        <v>366</v>
      </c>
      <c r="T45" s="0" t="n">
        <v>365</v>
      </c>
      <c r="U45" s="0" t="n">
        <v>304</v>
      </c>
      <c r="W45" s="60" t="n">
        <f aca="false">+K45*$D45</f>
        <v>854000</v>
      </c>
      <c r="X45" s="60" t="n">
        <f aca="false">+L45*$D45</f>
        <v>5110000</v>
      </c>
      <c r="Y45" s="60" t="n">
        <f aca="false">+M45*$D45</f>
        <v>5110000</v>
      </c>
      <c r="Z45" s="60" t="n">
        <f aca="false">+N45*$D45</f>
        <v>5110000</v>
      </c>
      <c r="AA45" s="60" t="n">
        <f aca="false">+O45*$D45</f>
        <v>5124000</v>
      </c>
      <c r="AB45" s="60" t="n">
        <f aca="false">+P45*$D45</f>
        <v>5110000</v>
      </c>
      <c r="AC45" s="60" t="n">
        <f aca="false">+Q45*$D45</f>
        <v>5110000</v>
      </c>
      <c r="AD45" s="60" t="n">
        <f aca="false">+R45*$D45</f>
        <v>5110000</v>
      </c>
      <c r="AE45" s="60" t="n">
        <f aca="false">+S45*$D45</f>
        <v>5124000</v>
      </c>
      <c r="AF45" s="60" t="n">
        <f aca="false">+T45*$D45</f>
        <v>5110000</v>
      </c>
      <c r="AG45" s="60" t="n">
        <f aca="false">+U45*$D45</f>
        <v>4256000</v>
      </c>
      <c r="AI45" s="27" t="n">
        <f aca="false">+W45*($F45+$G45)</f>
        <v>42700</v>
      </c>
      <c r="AJ45" s="27" t="n">
        <f aca="false">+X45*($F45+$G45)</f>
        <v>255500</v>
      </c>
      <c r="AK45" s="27" t="n">
        <f aca="false">+Y45*($F45+$G45)</f>
        <v>255500</v>
      </c>
      <c r="AL45" s="27" t="n">
        <f aca="false">+Z45*($F45+$G45)</f>
        <v>255500</v>
      </c>
      <c r="AM45" s="27" t="n">
        <f aca="false">+AA45*($F45+$G45)</f>
        <v>256200</v>
      </c>
      <c r="AN45" s="27" t="n">
        <f aca="false">+AB45*($F45+$G45)</f>
        <v>255500</v>
      </c>
      <c r="AO45" s="27" t="n">
        <f aca="false">+AC45*($F45+$G45)</f>
        <v>255500</v>
      </c>
      <c r="AP45" s="27" t="n">
        <f aca="false">+AD45*($F45+$G45)</f>
        <v>255500</v>
      </c>
      <c r="AQ45" s="27" t="n">
        <f aca="false">+AE45*($F45+$G45)</f>
        <v>256200</v>
      </c>
      <c r="AR45" s="27" t="n">
        <f aca="false">+AF45*($F45+$G45)</f>
        <v>255500</v>
      </c>
      <c r="AS45" s="27" t="n">
        <f aca="false">+AG45*($F45+$G45)</f>
        <v>212800</v>
      </c>
    </row>
    <row r="46" customFormat="false" ht="12.75" hidden="false" customHeight="false" outlineLevel="0" collapsed="false">
      <c r="A46" s="83" t="s">
        <v>28</v>
      </c>
      <c r="B46" s="22" t="s">
        <v>62</v>
      </c>
      <c r="C46" s="61" t="n">
        <v>25850</v>
      </c>
      <c r="D46" s="62" t="n">
        <v>30000</v>
      </c>
      <c r="E46" s="84" t="s">
        <v>127</v>
      </c>
      <c r="F46" s="63" t="n">
        <v>0.0407</v>
      </c>
      <c r="G46" s="63" t="n">
        <v>0.0093</v>
      </c>
      <c r="H46" s="85" t="n">
        <f aca="false">+G46+F46</f>
        <v>0.05</v>
      </c>
      <c r="I46" s="86"/>
      <c r="J46" s="87" t="n">
        <v>36556</v>
      </c>
      <c r="K46" s="0" t="n">
        <v>31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W46" s="60" t="n">
        <f aca="false">+K46*$D46</f>
        <v>930000</v>
      </c>
      <c r="X46" s="60" t="n">
        <f aca="false">+L46*$D46</f>
        <v>0</v>
      </c>
      <c r="Y46" s="60" t="n">
        <f aca="false">+M46*$D46</f>
        <v>0</v>
      </c>
      <c r="Z46" s="60" t="n">
        <f aca="false">+N46*$D46</f>
        <v>0</v>
      </c>
      <c r="AA46" s="60" t="n">
        <f aca="false">+O46*$D46</f>
        <v>0</v>
      </c>
      <c r="AB46" s="60" t="n">
        <f aca="false">+P46*$D46</f>
        <v>0</v>
      </c>
      <c r="AC46" s="60" t="n">
        <f aca="false">+Q46*$D46</f>
        <v>0</v>
      </c>
      <c r="AD46" s="60" t="n">
        <f aca="false">+R46*$D46</f>
        <v>0</v>
      </c>
      <c r="AE46" s="60" t="n">
        <f aca="false">+S46*$D46</f>
        <v>0</v>
      </c>
      <c r="AF46" s="60" t="n">
        <f aca="false">+T46*$D46</f>
        <v>0</v>
      </c>
      <c r="AG46" s="60" t="n">
        <f aca="false">+U46*$D46</f>
        <v>0</v>
      </c>
      <c r="AI46" s="27" t="n">
        <f aca="false">+W46*($F46+$G46)</f>
        <v>46500</v>
      </c>
      <c r="AJ46" s="27" t="n">
        <f aca="false">+X46*($F46+$G46)</f>
        <v>0</v>
      </c>
      <c r="AK46" s="27" t="n">
        <f aca="false">+Y46*($F46+$G46)</f>
        <v>0</v>
      </c>
      <c r="AL46" s="27" t="n">
        <f aca="false">+Z46*($F46+$G46)</f>
        <v>0</v>
      </c>
      <c r="AM46" s="27" t="n">
        <f aca="false">+AA46*($F46+$G46)</f>
        <v>0</v>
      </c>
      <c r="AN46" s="27" t="n">
        <f aca="false">+AB46*($F46+$G46)</f>
        <v>0</v>
      </c>
      <c r="AO46" s="27" t="n">
        <f aca="false">+AC46*($F46+$G46)</f>
        <v>0</v>
      </c>
      <c r="AP46" s="27" t="n">
        <f aca="false">+AD46*($F46+$G46)</f>
        <v>0</v>
      </c>
      <c r="AQ46" s="27" t="n">
        <f aca="false">+AE46*($F46+$G46)</f>
        <v>0</v>
      </c>
      <c r="AR46" s="27" t="n">
        <f aca="false">+AF46*($F46+$G46)</f>
        <v>0</v>
      </c>
      <c r="AS46" s="27" t="n">
        <f aca="false">+AG46*($F46+$G46)</f>
        <v>0</v>
      </c>
    </row>
    <row r="47" customFormat="false" ht="12.75" hidden="false" customHeight="false" outlineLevel="0" collapsed="false">
      <c r="A47" s="83" t="s">
        <v>28</v>
      </c>
      <c r="B47" s="22" t="s">
        <v>46</v>
      </c>
      <c r="C47" s="61" t="n">
        <v>26393</v>
      </c>
      <c r="D47" s="62" t="n">
        <v>30000</v>
      </c>
      <c r="E47" s="84" t="s">
        <v>127</v>
      </c>
      <c r="F47" s="63" t="n">
        <v>0.04074</v>
      </c>
      <c r="G47" s="63" t="n">
        <v>0.0093</v>
      </c>
      <c r="H47" s="85" t="n">
        <f aca="false">+G47+F47</f>
        <v>0.05004</v>
      </c>
      <c r="I47" s="86"/>
      <c r="J47" s="87" t="n">
        <v>36616</v>
      </c>
      <c r="K47" s="0" t="n">
        <v>91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W47" s="60" t="n">
        <f aca="false">+K47*$D47</f>
        <v>2730000</v>
      </c>
      <c r="X47" s="60" t="n">
        <f aca="false">+L47*$D47</f>
        <v>0</v>
      </c>
      <c r="Y47" s="60" t="n">
        <f aca="false">+M47*$D47</f>
        <v>0</v>
      </c>
      <c r="Z47" s="60" t="n">
        <f aca="false">+N47*$D47</f>
        <v>0</v>
      </c>
      <c r="AA47" s="60" t="n">
        <f aca="false">+O47*$D47</f>
        <v>0</v>
      </c>
      <c r="AB47" s="60" t="n">
        <f aca="false">+P47*$D47</f>
        <v>0</v>
      </c>
      <c r="AC47" s="60" t="n">
        <f aca="false">+Q47*$D47</f>
        <v>0</v>
      </c>
      <c r="AD47" s="60" t="n">
        <f aca="false">+R47*$D47</f>
        <v>0</v>
      </c>
      <c r="AE47" s="60" t="n">
        <f aca="false">+S47*$D47</f>
        <v>0</v>
      </c>
      <c r="AF47" s="60" t="n">
        <f aca="false">+T47*$D47</f>
        <v>0</v>
      </c>
      <c r="AG47" s="60" t="n">
        <f aca="false">+U47*$D47</f>
        <v>0</v>
      </c>
      <c r="AI47" s="27" t="n">
        <f aca="false">+W47*($F47+$G47)</f>
        <v>136609.2</v>
      </c>
      <c r="AJ47" s="27" t="n">
        <f aca="false">+X47*($F47+$G47)</f>
        <v>0</v>
      </c>
      <c r="AK47" s="27" t="n">
        <f aca="false">+Y47*($F47+$G47)</f>
        <v>0</v>
      </c>
      <c r="AL47" s="27" t="n">
        <f aca="false">+Z47*($F47+$G47)</f>
        <v>0</v>
      </c>
      <c r="AM47" s="27" t="n">
        <f aca="false">+AA47*($F47+$G47)</f>
        <v>0</v>
      </c>
      <c r="AN47" s="27" t="n">
        <f aca="false">+AB47*($F47+$G47)</f>
        <v>0</v>
      </c>
      <c r="AO47" s="27" t="n">
        <f aca="false">+AC47*($F47+$G47)</f>
        <v>0</v>
      </c>
      <c r="AP47" s="27" t="n">
        <f aca="false">+AD47*($F47+$G47)</f>
        <v>0</v>
      </c>
      <c r="AQ47" s="27" t="n">
        <f aca="false">+AE47*($F47+$G47)</f>
        <v>0</v>
      </c>
      <c r="AR47" s="27" t="n">
        <f aca="false">+AF47*($F47+$G47)</f>
        <v>0</v>
      </c>
      <c r="AS47" s="27" t="n">
        <f aca="false">+AG47*($F47+$G47)</f>
        <v>0</v>
      </c>
    </row>
    <row r="48" customFormat="false" ht="12.75" hidden="false" customHeight="false" outlineLevel="0" collapsed="false">
      <c r="A48" s="88" t="s">
        <v>28</v>
      </c>
      <c r="B48" s="26" t="s">
        <v>46</v>
      </c>
      <c r="C48" s="89" t="n">
        <v>27161</v>
      </c>
      <c r="D48" s="90" t="n">
        <v>400000</v>
      </c>
      <c r="E48" s="84" t="s">
        <v>129</v>
      </c>
      <c r="F48" s="91" t="n">
        <v>0.0075</v>
      </c>
      <c r="G48" s="91" t="n">
        <v>0.0093</v>
      </c>
      <c r="H48" s="85" t="n">
        <f aca="false">+G48+F48</f>
        <v>0.0168</v>
      </c>
      <c r="I48" s="23" t="n">
        <v>36617</v>
      </c>
      <c r="J48" s="87" t="n">
        <v>37711</v>
      </c>
      <c r="K48" s="0" t="n">
        <v>275</v>
      </c>
      <c r="L48" s="0" t="n">
        <v>365</v>
      </c>
      <c r="M48" s="0" t="n">
        <v>365</v>
      </c>
      <c r="N48" s="0" t="n">
        <v>90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W48" s="60" t="n">
        <f aca="false">+K48*$D48</f>
        <v>110000000</v>
      </c>
      <c r="X48" s="60" t="n">
        <f aca="false">+L48*$D48</f>
        <v>146000000</v>
      </c>
      <c r="Y48" s="60" t="n">
        <f aca="false">+M48*$D48</f>
        <v>146000000</v>
      </c>
      <c r="Z48" s="60" t="n">
        <f aca="false">+N48*$D48</f>
        <v>36000000</v>
      </c>
      <c r="AA48" s="60" t="n">
        <f aca="false">+O48*$D48</f>
        <v>0</v>
      </c>
      <c r="AB48" s="60" t="n">
        <f aca="false">+P48*$D48</f>
        <v>0</v>
      </c>
      <c r="AC48" s="60" t="n">
        <f aca="false">+Q48*$D48</f>
        <v>0</v>
      </c>
      <c r="AD48" s="60" t="n">
        <f aca="false">+R48*$D48</f>
        <v>0</v>
      </c>
      <c r="AE48" s="60" t="n">
        <f aca="false">+S48*$D48</f>
        <v>0</v>
      </c>
      <c r="AF48" s="60" t="n">
        <f aca="false">+T48*$D48</f>
        <v>0</v>
      </c>
      <c r="AG48" s="60" t="n">
        <f aca="false">+U48*$D48</f>
        <v>0</v>
      </c>
      <c r="AI48" s="27" t="n">
        <f aca="false">+W48*($F48+$G48)</f>
        <v>1848000</v>
      </c>
      <c r="AJ48" s="27" t="n">
        <f aca="false">+X48*($F48+$G48)</f>
        <v>2452800</v>
      </c>
      <c r="AK48" s="27" t="n">
        <f aca="false">+Y48*($F48+$G48)</f>
        <v>2452800</v>
      </c>
      <c r="AL48" s="27" t="n">
        <f aca="false">+Z48*($F48+$G48)</f>
        <v>604800</v>
      </c>
      <c r="AM48" s="27" t="n">
        <f aca="false">+AA48*($F48+$G48)</f>
        <v>0</v>
      </c>
      <c r="AN48" s="27" t="n">
        <f aca="false">+AB48*($F48+$G48)</f>
        <v>0</v>
      </c>
      <c r="AO48" s="27" t="n">
        <f aca="false">+AC48*($F48+$G48)</f>
        <v>0</v>
      </c>
      <c r="AP48" s="27" t="n">
        <f aca="false">+AD48*($F48+$G48)</f>
        <v>0</v>
      </c>
      <c r="AQ48" s="27" t="n">
        <f aca="false">+AE48*($F48+$G48)</f>
        <v>0</v>
      </c>
      <c r="AR48" s="27" t="n">
        <f aca="false">+AF48*($F48+$G48)</f>
        <v>0</v>
      </c>
      <c r="AS48" s="27" t="n">
        <f aca="false">+AG48*($F48+$G48)</f>
        <v>0</v>
      </c>
    </row>
    <row r="49" customFormat="false" ht="12.75" hidden="false" customHeight="false" outlineLevel="0" collapsed="false">
      <c r="A49" s="92" t="s">
        <v>28</v>
      </c>
      <c r="B49" s="19" t="s">
        <v>47</v>
      </c>
      <c r="C49" s="89" t="n">
        <v>24809</v>
      </c>
      <c r="D49" s="90" t="n">
        <v>20000</v>
      </c>
      <c r="E49" s="84" t="s">
        <v>128</v>
      </c>
      <c r="F49" s="91" t="n">
        <f aca="false">0.2174-0.0093-0.102-0.0011</f>
        <v>0.105</v>
      </c>
      <c r="G49" s="91" t="n">
        <v>0.0093</v>
      </c>
      <c r="H49" s="85" t="n">
        <f aca="false">+G49+F49</f>
        <v>0.1143</v>
      </c>
      <c r="J49" s="87" t="n">
        <v>37225</v>
      </c>
      <c r="K49" s="0" t="n">
        <v>366</v>
      </c>
      <c r="L49" s="0" t="n">
        <v>334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W49" s="60" t="n">
        <f aca="false">+K49*$D49</f>
        <v>7320000</v>
      </c>
      <c r="X49" s="60" t="n">
        <f aca="false">+L49*$D49</f>
        <v>6680000</v>
      </c>
      <c r="Y49" s="60" t="n">
        <f aca="false">+M49*$D49</f>
        <v>0</v>
      </c>
      <c r="Z49" s="60" t="n">
        <f aca="false">+N49*$D49</f>
        <v>0</v>
      </c>
      <c r="AA49" s="60" t="n">
        <f aca="false">+O49*$D49</f>
        <v>0</v>
      </c>
      <c r="AB49" s="60" t="n">
        <f aca="false">+P49*$D49</f>
        <v>0</v>
      </c>
      <c r="AC49" s="60" t="n">
        <f aca="false">+Q49*$D49</f>
        <v>0</v>
      </c>
      <c r="AD49" s="60" t="n">
        <f aca="false">+R49*$D49</f>
        <v>0</v>
      </c>
      <c r="AE49" s="60" t="n">
        <f aca="false">+S49*$D49</f>
        <v>0</v>
      </c>
      <c r="AF49" s="60" t="n">
        <f aca="false">+T49*$D49</f>
        <v>0</v>
      </c>
      <c r="AG49" s="60" t="n">
        <f aca="false">+U49*$D49</f>
        <v>0</v>
      </c>
      <c r="AI49" s="27" t="n">
        <f aca="false">+W49*($F49+$G49)</f>
        <v>836676</v>
      </c>
      <c r="AJ49" s="27" t="n">
        <f aca="false">+X49*($F49+$G49)</f>
        <v>763524</v>
      </c>
      <c r="AK49" s="27" t="n">
        <f aca="false">+Y49*($F49+$G49)</f>
        <v>0</v>
      </c>
      <c r="AL49" s="27" t="n">
        <f aca="false">+Z49*($F49+$G49)</f>
        <v>0</v>
      </c>
      <c r="AM49" s="27" t="n">
        <f aca="false">+AA49*($F49+$G49)</f>
        <v>0</v>
      </c>
      <c r="AN49" s="27" t="n">
        <f aca="false">+AB49*($F49+$G49)</f>
        <v>0</v>
      </c>
      <c r="AO49" s="27" t="n">
        <f aca="false">+AC49*($F49+$G49)</f>
        <v>0</v>
      </c>
      <c r="AP49" s="27" t="n">
        <f aca="false">+AD49*($F49+$G49)</f>
        <v>0</v>
      </c>
      <c r="AQ49" s="27" t="n">
        <f aca="false">+AE49*($F49+$G49)</f>
        <v>0</v>
      </c>
      <c r="AR49" s="27" t="n">
        <f aca="false">+AF49*($F49+$G49)</f>
        <v>0</v>
      </c>
      <c r="AS49" s="27" t="n">
        <f aca="false">+AG49*($F49+$G49)</f>
        <v>0</v>
      </c>
    </row>
    <row r="50" customFormat="false" ht="12.75" hidden="false" customHeight="false" outlineLevel="0" collapsed="false">
      <c r="A50" s="88" t="s">
        <v>28</v>
      </c>
      <c r="B50" s="19" t="s">
        <v>48</v>
      </c>
      <c r="C50" s="89" t="n">
        <v>27420</v>
      </c>
      <c r="D50" s="90" t="n">
        <v>2500</v>
      </c>
      <c r="E50" s="84" t="s">
        <v>130</v>
      </c>
      <c r="F50" s="91" t="n">
        <v>0.0557</v>
      </c>
      <c r="G50" s="91" t="n">
        <v>0.0093</v>
      </c>
      <c r="H50" s="85" t="n">
        <f aca="false">+G50+F50</f>
        <v>0.065</v>
      </c>
      <c r="I50" s="23" t="n">
        <v>36861</v>
      </c>
      <c r="J50" s="87" t="n">
        <v>37225</v>
      </c>
      <c r="K50" s="0" t="n">
        <v>31</v>
      </c>
      <c r="L50" s="0" t="n">
        <v>334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W50" s="60" t="n">
        <f aca="false">+K50*$D50</f>
        <v>77500</v>
      </c>
      <c r="X50" s="60" t="n">
        <f aca="false">+L50*$D50</f>
        <v>835000</v>
      </c>
      <c r="Y50" s="60" t="n">
        <f aca="false">+M50*$D50</f>
        <v>0</v>
      </c>
      <c r="Z50" s="60" t="n">
        <f aca="false">+N50*$D50</f>
        <v>0</v>
      </c>
      <c r="AA50" s="60" t="n">
        <f aca="false">+O50*$D50</f>
        <v>0</v>
      </c>
      <c r="AB50" s="60" t="n">
        <f aca="false">+P50*$D50</f>
        <v>0</v>
      </c>
      <c r="AC50" s="60" t="n">
        <f aca="false">+Q50*$D50</f>
        <v>0</v>
      </c>
      <c r="AD50" s="60" t="n">
        <f aca="false">+R50*$D50</f>
        <v>0</v>
      </c>
      <c r="AE50" s="60" t="n">
        <f aca="false">+S50*$D50</f>
        <v>0</v>
      </c>
      <c r="AF50" s="60" t="n">
        <f aca="false">+T50*$D50</f>
        <v>0</v>
      </c>
      <c r="AG50" s="60" t="n">
        <f aca="false">+U50*$D50</f>
        <v>0</v>
      </c>
      <c r="AI50" s="27" t="n">
        <f aca="false">+W50*($F50+$G50)</f>
        <v>5037.5</v>
      </c>
      <c r="AJ50" s="27" t="n">
        <f aca="false">+X50*($F50+$G50)</f>
        <v>54275</v>
      </c>
      <c r="AK50" s="27" t="n">
        <f aca="false">+Y50*($F50+$G50)</f>
        <v>0</v>
      </c>
      <c r="AL50" s="27" t="n">
        <f aca="false">+Z50*($F50+$G50)</f>
        <v>0</v>
      </c>
      <c r="AM50" s="27" t="n">
        <f aca="false">+AA50*($F50+$G50)</f>
        <v>0</v>
      </c>
      <c r="AN50" s="27" t="n">
        <f aca="false">+AB50*($F50+$G50)</f>
        <v>0</v>
      </c>
      <c r="AO50" s="27" t="n">
        <f aca="false">+AC50*($F50+$G50)</f>
        <v>0</v>
      </c>
      <c r="AP50" s="27" t="n">
        <f aca="false">+AD50*($F50+$G50)</f>
        <v>0</v>
      </c>
      <c r="AQ50" s="27" t="n">
        <f aca="false">+AE50*($F50+$G50)</f>
        <v>0</v>
      </c>
      <c r="AR50" s="27" t="n">
        <f aca="false">+AF50*($F50+$G50)</f>
        <v>0</v>
      </c>
      <c r="AS50" s="27" t="n">
        <f aca="false">+AG50*($F50+$G50)</f>
        <v>0</v>
      </c>
    </row>
    <row r="51" customFormat="false" ht="12.75" hidden="false" customHeight="false" outlineLevel="0" collapsed="false">
      <c r="A51" s="22" t="s">
        <v>18</v>
      </c>
      <c r="C51" s="0"/>
      <c r="D51" s="2"/>
      <c r="E51" s="3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8"/>
      <c r="R51" s="24"/>
      <c r="S51" s="24"/>
      <c r="T51" s="24"/>
      <c r="U51" s="24"/>
      <c r="V51" s="24"/>
      <c r="W51" s="60" t="n">
        <f aca="false">SUM(W11:W50)</f>
        <v>397258169</v>
      </c>
      <c r="X51" s="60" t="n">
        <f aca="false">SUM(X11:X50)</f>
        <v>492304290</v>
      </c>
      <c r="Y51" s="60" t="n">
        <f aca="false">SUM(Y11:Y50)</f>
        <v>425491994</v>
      </c>
      <c r="Z51" s="60" t="n">
        <f aca="false">SUM(Z11:Z50)</f>
        <v>254991680</v>
      </c>
      <c r="AA51" s="60" t="n">
        <f aca="false">SUM(AA11:AA50)</f>
        <v>177989712</v>
      </c>
      <c r="AB51" s="60" t="n">
        <f aca="false">SUM(AB11:AB50)</f>
        <v>142908992</v>
      </c>
      <c r="AC51" s="60" t="n">
        <f aca="false">SUM(AC11:AC50)</f>
        <v>34750000</v>
      </c>
      <c r="AD51" s="60" t="n">
        <f aca="false">SUM(AD11:AD50)</f>
        <v>5358000</v>
      </c>
      <c r="AE51" s="60" t="n">
        <f aca="false">SUM(AE11:AE50)</f>
        <v>5124000</v>
      </c>
      <c r="AF51" s="60" t="n">
        <f aca="false">SUM(AF11:AF50)</f>
        <v>5110000</v>
      </c>
      <c r="AG51" s="60" t="n">
        <f aca="false">SUM(AG11:AG50)</f>
        <v>4256000</v>
      </c>
      <c r="AH51" s="27"/>
      <c r="AI51" s="27" t="n">
        <f aca="false">SUM(AI11:AI50)</f>
        <v>23975981.22</v>
      </c>
      <c r="AJ51" s="27" t="n">
        <f aca="false">SUM(AJ11:AJ50)</f>
        <v>28068090.4</v>
      </c>
      <c r="AK51" s="27" t="n">
        <f aca="false">SUM(AK11:AK50)</f>
        <v>22433462.47</v>
      </c>
      <c r="AL51" s="27" t="n">
        <f aca="false">SUM(AL11:AL50)</f>
        <v>17487093</v>
      </c>
      <c r="AM51" s="27" t="n">
        <f aca="false">SUM(AM11:AM50)</f>
        <v>14860381.2</v>
      </c>
      <c r="AN51" s="27" t="n">
        <f aca="false">SUM(AN11:AN50)</f>
        <v>12268648</v>
      </c>
      <c r="AO51" s="27" t="n">
        <f aca="false">SUM(AO11:AO50)</f>
        <v>1521068</v>
      </c>
      <c r="AP51" s="27" t="n">
        <f aca="false">SUM(AP11:AP50)</f>
        <v>267900</v>
      </c>
      <c r="AQ51" s="27" t="n">
        <f aca="false">SUM(AQ11:AQ50)</f>
        <v>256200</v>
      </c>
      <c r="AR51" s="27" t="n">
        <f aca="false">SUM(AR11:AR50)</f>
        <v>255500</v>
      </c>
      <c r="AS51" s="27" t="n">
        <f aca="false">SUM(AS11:AS50)</f>
        <v>212800</v>
      </c>
    </row>
    <row r="52" customFormat="false" ht="12.75" hidden="false" customHeight="false" outlineLevel="0" collapsed="false">
      <c r="C52" s="0"/>
      <c r="D52" s="0"/>
      <c r="E52" s="3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8"/>
      <c r="R52" s="28"/>
    </row>
    <row r="53" customFormat="false" ht="12.75" hidden="false" customHeight="false" outlineLevel="0" collapsed="false">
      <c r="A53" s="22" t="s">
        <v>105</v>
      </c>
      <c r="C53" s="0"/>
      <c r="D53" s="59" t="n">
        <v>0.120715169136503</v>
      </c>
      <c r="E53" s="3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8"/>
      <c r="R53" s="24"/>
      <c r="S53" s="24"/>
      <c r="T53" s="24"/>
      <c r="U53" s="24"/>
      <c r="V53" s="24"/>
      <c r="W53" s="24" t="n">
        <f aca="false">SUM(W11:W50)</f>
        <v>397258169</v>
      </c>
      <c r="X53" s="24" t="n">
        <f aca="false">SUM(X11:X50)</f>
        <v>492304290</v>
      </c>
      <c r="Y53" s="24" t="n">
        <f aca="false">SUM(Y11:Y50)</f>
        <v>425491994</v>
      </c>
      <c r="Z53" s="24" t="n">
        <f aca="false">SUM(Z11:Z50)</f>
        <v>254991680</v>
      </c>
      <c r="AA53" s="24" t="n">
        <f aca="false">SUM(AA11:AA50)</f>
        <v>177989712</v>
      </c>
      <c r="AB53" s="24" t="n">
        <f aca="false">SUM(AB11:AB50)</f>
        <v>142908992</v>
      </c>
      <c r="AC53" s="24" t="n">
        <f aca="false">SUM(AC11:AC50)</f>
        <v>34750000</v>
      </c>
      <c r="AD53" s="24" t="n">
        <f aca="false">SUM(AD11:AD50)</f>
        <v>5358000</v>
      </c>
      <c r="AE53" s="24" t="n">
        <f aca="false">SUM(AE11:AE50)</f>
        <v>5124000</v>
      </c>
      <c r="AF53" s="24" t="n">
        <f aca="false">SUM(AF11:AF50)</f>
        <v>5110000</v>
      </c>
      <c r="AG53" s="24" t="n">
        <f aca="false">SUM(AG11:AG50)</f>
        <v>4256000</v>
      </c>
      <c r="AH53" s="27"/>
      <c r="AI53" s="27"/>
      <c r="AJ53" s="27"/>
      <c r="AK53" s="27"/>
      <c r="AL53" s="27"/>
      <c r="AM53" s="27"/>
    </row>
    <row r="54" customFormat="false" ht="12.75" hidden="false" customHeight="false" outlineLevel="0" collapsed="false">
      <c r="A54" s="22" t="s">
        <v>104</v>
      </c>
      <c r="C54" s="0"/>
      <c r="D54" s="2"/>
      <c r="E54" s="3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8"/>
      <c r="R54" s="24"/>
      <c r="S54" s="24"/>
      <c r="T54" s="24"/>
      <c r="U54" s="24"/>
      <c r="V54" s="24"/>
      <c r="W54" s="24" t="n">
        <f aca="false">+W53/K6</f>
        <v>1085404.83333333</v>
      </c>
      <c r="X54" s="24" t="n">
        <f aca="false">+X53/L6</f>
        <v>1348778.87671233</v>
      </c>
      <c r="Y54" s="24" t="n">
        <f aca="false">+Y53/M6</f>
        <v>1165731.49041096</v>
      </c>
      <c r="Z54" s="24" t="n">
        <f aca="false">+Z53/N6</f>
        <v>698607.342465753</v>
      </c>
      <c r="AA54" s="24" t="n">
        <f aca="false">+AA53/O6</f>
        <v>486310.68852459</v>
      </c>
      <c r="AB54" s="24" t="n">
        <f aca="false">+AB53/P6</f>
        <v>391531.484931507</v>
      </c>
      <c r="AC54" s="24" t="n">
        <f aca="false">+AC53/Q6</f>
        <v>95205.4794520548</v>
      </c>
      <c r="AD54" s="24" t="n">
        <f aca="false">+AD53/R6</f>
        <v>14679.4520547945</v>
      </c>
      <c r="AE54" s="24" t="n">
        <f aca="false">+AE53/S6</f>
        <v>14000</v>
      </c>
      <c r="AF54" s="24" t="n">
        <f aca="false">+AF53/T6</f>
        <v>14000</v>
      </c>
      <c r="AG54" s="24" t="n">
        <f aca="false">+AG53/U6</f>
        <v>11660.2739726027</v>
      </c>
      <c r="AH54" s="27"/>
      <c r="AI54" s="27"/>
      <c r="AJ54" s="27"/>
      <c r="AK54" s="27"/>
      <c r="AL54" s="27"/>
      <c r="AM54" s="27"/>
      <c r="AN54" s="37"/>
      <c r="AO54" s="37"/>
    </row>
    <row r="55" customFormat="false" ht="12.75" hidden="false" customHeight="false" outlineLevel="0" collapsed="false">
      <c r="A55" s="22" t="s">
        <v>108</v>
      </c>
      <c r="C55" s="0"/>
      <c r="D55" s="59" t="n">
        <v>0.0867773867080112</v>
      </c>
      <c r="E55" s="3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8"/>
      <c r="R55" s="24"/>
      <c r="S55" s="24"/>
      <c r="T55" s="24"/>
      <c r="U55" s="24"/>
      <c r="V55" s="24"/>
      <c r="W55" s="24" t="n">
        <f aca="false">1563000-W54</f>
        <v>477595.166666667</v>
      </c>
      <c r="X55" s="24" t="n">
        <f aca="false">1563000-X54</f>
        <v>214221.123287671</v>
      </c>
      <c r="Y55" s="24" t="n">
        <f aca="false">1563000-Y54</f>
        <v>397268.509589041</v>
      </c>
      <c r="Z55" s="24" t="n">
        <f aca="false">1563000-Z54</f>
        <v>864392.657534247</v>
      </c>
      <c r="AA55" s="24" t="n">
        <f aca="false">1563000-AA54</f>
        <v>1076689.31147541</v>
      </c>
      <c r="AB55" s="24" t="n">
        <f aca="false">1563000-AB54</f>
        <v>1171468.51506849</v>
      </c>
      <c r="AC55" s="24" t="n">
        <f aca="false">1563000-AC54</f>
        <v>1467794.52054795</v>
      </c>
      <c r="AD55" s="24" t="n">
        <f aca="false">1563000-AD54</f>
        <v>1548320.54794521</v>
      </c>
      <c r="AE55" s="24" t="n">
        <f aca="false">1563000-AE54</f>
        <v>1549000</v>
      </c>
      <c r="AF55" s="24" t="n">
        <f aca="false">1563000-AF54</f>
        <v>1549000</v>
      </c>
      <c r="AG55" s="24" t="n">
        <f aca="false">1563000-AG54</f>
        <v>1551339.7260274</v>
      </c>
      <c r="AH55" s="27"/>
      <c r="AI55" s="27"/>
      <c r="AJ55" s="27"/>
      <c r="AK55" s="27"/>
      <c r="AL55" s="27"/>
      <c r="AM55" s="27"/>
    </row>
    <row r="56" customFormat="false" ht="12.75" hidden="false" customHeight="false" outlineLevel="0" collapsed="false">
      <c r="A56" s="22" t="s">
        <v>135</v>
      </c>
      <c r="C56" s="0"/>
      <c r="D56" s="2"/>
      <c r="E56" s="3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8"/>
      <c r="R56" s="24"/>
      <c r="S56" s="24"/>
      <c r="T56" s="24"/>
      <c r="U56" s="24"/>
      <c r="V56" s="24"/>
      <c r="W56" s="96"/>
      <c r="X56" s="24"/>
      <c r="Y56" s="24"/>
      <c r="Z56" s="24"/>
      <c r="AA56" s="24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customFormat="false" ht="12.75" hidden="false" customHeight="false" outlineLevel="0" collapsed="false">
      <c r="A57" s="22"/>
      <c r="C57" s="0"/>
      <c r="D57" s="2"/>
      <c r="E57" s="3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8"/>
      <c r="R57" s="24"/>
      <c r="S57" s="24"/>
      <c r="T57" s="24"/>
      <c r="U57" s="24"/>
      <c r="V57" s="24"/>
      <c r="W57" s="24"/>
      <c r="X57" s="24"/>
      <c r="Y57" s="24"/>
      <c r="Z57" s="24"/>
      <c r="AA57" s="24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customFormat="false" ht="12.75" hidden="false" customHeight="false" outlineLevel="0" collapsed="false">
      <c r="A58" s="22"/>
      <c r="C58" s="0"/>
      <c r="D58" s="2"/>
      <c r="E58" s="3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8"/>
      <c r="R58" s="24"/>
      <c r="S58" s="24"/>
      <c r="T58" s="24"/>
      <c r="U58" s="24"/>
      <c r="V58" s="24"/>
      <c r="W58" s="24"/>
      <c r="X58" s="24"/>
      <c r="Y58" s="24"/>
      <c r="Z58" s="24"/>
      <c r="AA58" s="24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customFormat="false" ht="12.75" hidden="false" customHeight="false" outlineLevel="0" collapsed="false">
      <c r="K59" s="9" t="s">
        <v>17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8"/>
      <c r="W59" s="11" t="s">
        <v>19</v>
      </c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I59" s="11" t="s">
        <v>20</v>
      </c>
      <c r="AJ59" s="11"/>
      <c r="AK59" s="11"/>
      <c r="AL59" s="11"/>
      <c r="AM59" s="11"/>
      <c r="AN59" s="11"/>
      <c r="AO59" s="11"/>
      <c r="AP59" s="11"/>
      <c r="AQ59" s="11"/>
      <c r="AR59" s="11"/>
      <c r="AS59" s="11"/>
    </row>
    <row r="60" customFormat="false" ht="13.5" hidden="false" customHeight="false" outlineLevel="0" collapsed="false">
      <c r="A60" s="77" t="s">
        <v>21</v>
      </c>
      <c r="B60" s="77" t="s">
        <v>22</v>
      </c>
      <c r="C60" s="78" t="s">
        <v>23</v>
      </c>
      <c r="D60" s="79" t="s">
        <v>121</v>
      </c>
      <c r="E60" s="78" t="s">
        <v>122</v>
      </c>
      <c r="F60" s="80" t="s">
        <v>123</v>
      </c>
      <c r="G60" s="80" t="s">
        <v>124</v>
      </c>
      <c r="H60" s="81" t="s">
        <v>125</v>
      </c>
      <c r="I60" s="82" t="s">
        <v>126</v>
      </c>
      <c r="J60" s="17" t="s">
        <v>16</v>
      </c>
      <c r="K60" s="13" t="n">
        <v>2000</v>
      </c>
      <c r="L60" s="13" t="n">
        <v>2001</v>
      </c>
      <c r="M60" s="13" t="n">
        <v>2002</v>
      </c>
      <c r="N60" s="13" t="n">
        <v>2003</v>
      </c>
      <c r="O60" s="13" t="n">
        <v>2004</v>
      </c>
      <c r="P60" s="13" t="n">
        <v>2005</v>
      </c>
      <c r="Q60" s="13" t="n">
        <v>2006</v>
      </c>
      <c r="R60" s="13" t="n">
        <v>2007</v>
      </c>
      <c r="S60" s="13" t="n">
        <v>2008</v>
      </c>
      <c r="T60" s="13" t="n">
        <v>2009</v>
      </c>
      <c r="U60" s="13" t="n">
        <v>2010</v>
      </c>
      <c r="V60" s="8"/>
      <c r="W60" s="16" t="n">
        <v>2000</v>
      </c>
      <c r="X60" s="17" t="n">
        <v>2001</v>
      </c>
      <c r="Y60" s="17" t="n">
        <v>2002</v>
      </c>
      <c r="Z60" s="17" t="n">
        <v>2003</v>
      </c>
      <c r="AA60" s="17" t="n">
        <v>2004</v>
      </c>
      <c r="AB60" s="17" t="n">
        <v>2005</v>
      </c>
      <c r="AC60" s="17" t="n">
        <v>2006</v>
      </c>
      <c r="AD60" s="17" t="n">
        <v>2007</v>
      </c>
      <c r="AE60" s="17" t="n">
        <v>2008</v>
      </c>
      <c r="AF60" s="17" t="n">
        <v>2009</v>
      </c>
      <c r="AG60" s="18" t="n">
        <v>2010</v>
      </c>
      <c r="AI60" s="16" t="n">
        <v>2000</v>
      </c>
      <c r="AJ60" s="17" t="n">
        <v>2001</v>
      </c>
      <c r="AK60" s="17" t="n">
        <v>2002</v>
      </c>
      <c r="AL60" s="17" t="n">
        <v>2003</v>
      </c>
      <c r="AM60" s="17" t="n">
        <v>2004</v>
      </c>
      <c r="AN60" s="17" t="n">
        <v>2005</v>
      </c>
      <c r="AO60" s="17" t="n">
        <v>2006</v>
      </c>
      <c r="AP60" s="17" t="n">
        <v>2007</v>
      </c>
      <c r="AQ60" s="17" t="n">
        <v>2008</v>
      </c>
      <c r="AR60" s="17" t="n">
        <v>2009</v>
      </c>
      <c r="AS60" s="18" t="n">
        <v>2010</v>
      </c>
    </row>
    <row r="61" customFormat="false" ht="12.75" hidden="false" customHeight="false" outlineLevel="0" collapsed="false">
      <c r="A61" s="97" t="s">
        <v>63</v>
      </c>
      <c r="B61" s="19" t="s">
        <v>64</v>
      </c>
      <c r="C61" s="89" t="n">
        <v>27370</v>
      </c>
      <c r="D61" s="90" t="n">
        <v>22000</v>
      </c>
      <c r="E61" s="84" t="s">
        <v>127</v>
      </c>
      <c r="F61" s="91" t="n">
        <v>0.0667</v>
      </c>
      <c r="G61" s="91" t="n">
        <v>0.0033</v>
      </c>
      <c r="H61" s="85" t="n">
        <f aca="false">+G61+F61</f>
        <v>0.07</v>
      </c>
      <c r="I61" s="23" t="n">
        <v>36892</v>
      </c>
      <c r="J61" s="87" t="n">
        <v>37256</v>
      </c>
      <c r="K61" s="0" t="n">
        <v>0</v>
      </c>
      <c r="L61" s="0" t="n">
        <v>365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W61" s="60" t="n">
        <f aca="false">+K61*$D61</f>
        <v>0</v>
      </c>
      <c r="X61" s="60" t="n">
        <f aca="false">+L61*$D61</f>
        <v>8030000</v>
      </c>
      <c r="Y61" s="60" t="n">
        <f aca="false">+M61*$D61</f>
        <v>0</v>
      </c>
      <c r="Z61" s="60" t="n">
        <f aca="false">+N61*$D61</f>
        <v>0</v>
      </c>
      <c r="AA61" s="60" t="n">
        <f aca="false">+O61*$D61</f>
        <v>0</v>
      </c>
      <c r="AB61" s="60" t="n">
        <f aca="false">+P61*$D61</f>
        <v>0</v>
      </c>
      <c r="AC61" s="60" t="n">
        <f aca="false">+Q61*$D61</f>
        <v>0</v>
      </c>
      <c r="AD61" s="60" t="n">
        <f aca="false">+R61*$D61</f>
        <v>0</v>
      </c>
      <c r="AE61" s="60" t="n">
        <f aca="false">+S61*$D61</f>
        <v>0</v>
      </c>
      <c r="AF61" s="60" t="n">
        <f aca="false">+T61*$D61</f>
        <v>0</v>
      </c>
      <c r="AG61" s="60" t="n">
        <f aca="false">+U61*$D61</f>
        <v>0</v>
      </c>
      <c r="AI61" s="27" t="n">
        <f aca="false">+W61*($F61+$G61)</f>
        <v>0</v>
      </c>
      <c r="AJ61" s="27" t="n">
        <f aca="false">+X61*($F61+$G61)</f>
        <v>562100</v>
      </c>
      <c r="AK61" s="27" t="n">
        <f aca="false">+Y61*($F61+$G61)</f>
        <v>0</v>
      </c>
      <c r="AL61" s="27" t="n">
        <f aca="false">+Z61*($F61+$G61)</f>
        <v>0</v>
      </c>
      <c r="AM61" s="27" t="n">
        <f aca="false">+AA61*($F61+$G61)</f>
        <v>0</v>
      </c>
      <c r="AN61" s="27" t="n">
        <f aca="false">+AB61*($F61+$G61)</f>
        <v>0</v>
      </c>
      <c r="AO61" s="27" t="n">
        <f aca="false">+AC61*($F61+$G61)</f>
        <v>0</v>
      </c>
      <c r="AP61" s="27" t="n">
        <f aca="false">+AD61*($F61+$G61)</f>
        <v>0</v>
      </c>
      <c r="AQ61" s="27" t="n">
        <f aca="false">+AE61*($F61+$G61)</f>
        <v>0</v>
      </c>
      <c r="AR61" s="27" t="n">
        <f aca="false">+AF61*($F61+$G61)</f>
        <v>0</v>
      </c>
      <c r="AS61" s="27" t="n">
        <f aca="false">+AG61*($F61+$G61)</f>
        <v>0</v>
      </c>
    </row>
    <row r="62" customFormat="false" ht="12.75" hidden="false" customHeight="false" outlineLevel="0" collapsed="false">
      <c r="A62" s="97" t="s">
        <v>63</v>
      </c>
      <c r="B62" s="40" t="s">
        <v>64</v>
      </c>
      <c r="C62" s="98" t="n">
        <v>27371</v>
      </c>
      <c r="D62" s="99" t="n">
        <v>21200</v>
      </c>
      <c r="E62" s="84" t="s">
        <v>127</v>
      </c>
      <c r="F62" s="100" t="n">
        <v>0.0417</v>
      </c>
      <c r="G62" s="100" t="n">
        <v>0.0033</v>
      </c>
      <c r="H62" s="85" t="n">
        <f aca="false">+G62+F62</f>
        <v>0.045</v>
      </c>
      <c r="I62" s="43" t="n">
        <v>36923</v>
      </c>
      <c r="J62" s="87" t="n">
        <v>37256</v>
      </c>
      <c r="K62" s="0" t="n">
        <v>0</v>
      </c>
      <c r="L62" s="0" t="n">
        <v>334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W62" s="60" t="n">
        <f aca="false">+K62*$D62</f>
        <v>0</v>
      </c>
      <c r="X62" s="60" t="n">
        <f aca="false">+L62*$D62</f>
        <v>7080800</v>
      </c>
      <c r="Y62" s="60" t="n">
        <f aca="false">+M62*$D62</f>
        <v>0</v>
      </c>
      <c r="Z62" s="60" t="n">
        <f aca="false">+N62*$D62</f>
        <v>0</v>
      </c>
      <c r="AA62" s="60" t="n">
        <f aca="false">+O62*$D62</f>
        <v>0</v>
      </c>
      <c r="AB62" s="60" t="n">
        <f aca="false">+P62*$D62</f>
        <v>0</v>
      </c>
      <c r="AC62" s="60" t="n">
        <f aca="false">+Q62*$D62</f>
        <v>0</v>
      </c>
      <c r="AD62" s="60" t="n">
        <f aca="false">+R62*$D62</f>
        <v>0</v>
      </c>
      <c r="AE62" s="60" t="n">
        <f aca="false">+S62*$D62</f>
        <v>0</v>
      </c>
      <c r="AF62" s="60" t="n">
        <f aca="false">+T62*$D62</f>
        <v>0</v>
      </c>
      <c r="AG62" s="60" t="n">
        <f aca="false">+U62*$D62</f>
        <v>0</v>
      </c>
      <c r="AI62" s="27" t="n">
        <f aca="false">+W62*($F62+$G62)</f>
        <v>0</v>
      </c>
      <c r="AJ62" s="27" t="n">
        <f aca="false">+X62*($F62+$G62)</f>
        <v>318636</v>
      </c>
      <c r="AK62" s="27" t="n">
        <f aca="false">+Y62*($F62+$G62)</f>
        <v>0</v>
      </c>
      <c r="AL62" s="27" t="n">
        <f aca="false">+Z62*($F62+$G62)</f>
        <v>0</v>
      </c>
      <c r="AM62" s="27" t="n">
        <f aca="false">+AA62*($F62+$G62)</f>
        <v>0</v>
      </c>
      <c r="AN62" s="27" t="n">
        <f aca="false">+AB62*($F62+$G62)</f>
        <v>0</v>
      </c>
      <c r="AO62" s="27" t="n">
        <f aca="false">+AC62*($F62+$G62)</f>
        <v>0</v>
      </c>
      <c r="AP62" s="27" t="n">
        <f aca="false">+AD62*($F62+$G62)</f>
        <v>0</v>
      </c>
      <c r="AQ62" s="27" t="n">
        <f aca="false">+AE62*($F62+$G62)</f>
        <v>0</v>
      </c>
      <c r="AR62" s="27" t="n">
        <f aca="false">+AF62*($F62+$G62)</f>
        <v>0</v>
      </c>
      <c r="AS62" s="27" t="n">
        <f aca="false">+AG62*($F62+$G62)</f>
        <v>0</v>
      </c>
    </row>
    <row r="63" customFormat="false" ht="12.75" hidden="false" customHeight="false" outlineLevel="0" collapsed="false">
      <c r="A63" s="101" t="s">
        <v>63</v>
      </c>
      <c r="B63" s="40" t="s">
        <v>65</v>
      </c>
      <c r="C63" s="89" t="n">
        <v>25071</v>
      </c>
      <c r="D63" s="90" t="n">
        <v>60000</v>
      </c>
      <c r="E63" s="84" t="s">
        <v>127</v>
      </c>
      <c r="F63" s="91" t="n">
        <v>0.0467</v>
      </c>
      <c r="G63" s="91" t="n">
        <v>0.0033</v>
      </c>
      <c r="H63" s="85" t="n">
        <f aca="false">+G63+F63</f>
        <v>0.05</v>
      </c>
      <c r="I63" s="43" t="n">
        <v>35400</v>
      </c>
      <c r="J63" s="87" t="n">
        <v>39782</v>
      </c>
      <c r="K63" s="0" t="n">
        <v>366</v>
      </c>
      <c r="L63" s="0" t="n">
        <v>365</v>
      </c>
      <c r="M63" s="0" t="n">
        <v>365</v>
      </c>
      <c r="N63" s="0" t="n">
        <v>365</v>
      </c>
      <c r="O63" s="0" t="n">
        <v>366</v>
      </c>
      <c r="P63" s="0" t="n">
        <v>365</v>
      </c>
      <c r="Q63" s="0" t="n">
        <v>365</v>
      </c>
      <c r="R63" s="0" t="n">
        <v>365</v>
      </c>
      <c r="S63" s="0" t="n">
        <v>335</v>
      </c>
      <c r="T63" s="0" t="n">
        <v>0</v>
      </c>
      <c r="U63" s="0" t="n">
        <v>0</v>
      </c>
      <c r="W63" s="60" t="n">
        <f aca="false">+K63*$D63</f>
        <v>21960000</v>
      </c>
      <c r="X63" s="60" t="n">
        <f aca="false">+L63*$D63</f>
        <v>21900000</v>
      </c>
      <c r="Y63" s="60" t="n">
        <f aca="false">+M63*$D63</f>
        <v>21900000</v>
      </c>
      <c r="Z63" s="60" t="n">
        <f aca="false">+N63*$D63</f>
        <v>21900000</v>
      </c>
      <c r="AA63" s="60" t="n">
        <f aca="false">+O63*$D63</f>
        <v>21960000</v>
      </c>
      <c r="AB63" s="60" t="n">
        <f aca="false">+P63*$D63</f>
        <v>21900000</v>
      </c>
      <c r="AC63" s="60" t="n">
        <f aca="false">+Q63*$D63</f>
        <v>21900000</v>
      </c>
      <c r="AD63" s="60" t="n">
        <f aca="false">+R63*$D63</f>
        <v>21900000</v>
      </c>
      <c r="AE63" s="60" t="n">
        <f aca="false">+S63*$D63</f>
        <v>20100000</v>
      </c>
      <c r="AF63" s="60" t="n">
        <f aca="false">+T63*$D63</f>
        <v>0</v>
      </c>
      <c r="AG63" s="60" t="n">
        <f aca="false">+U63*$D63</f>
        <v>0</v>
      </c>
      <c r="AI63" s="27" t="n">
        <f aca="false">+W63*($F63+$G63)</f>
        <v>1098000</v>
      </c>
      <c r="AJ63" s="27" t="n">
        <f aca="false">+X63*($F63+$G63)</f>
        <v>1095000</v>
      </c>
      <c r="AK63" s="27" t="n">
        <f aca="false">+Y63*($F63+$G63)</f>
        <v>1095000</v>
      </c>
      <c r="AL63" s="27" t="n">
        <f aca="false">+Z63*($F63+$G63)</f>
        <v>1095000</v>
      </c>
      <c r="AM63" s="27" t="n">
        <f aca="false">+AA63*($F63+$G63)</f>
        <v>1098000</v>
      </c>
      <c r="AN63" s="27" t="n">
        <f aca="false">+AB63*($F63+$G63)</f>
        <v>1095000</v>
      </c>
      <c r="AO63" s="27" t="n">
        <f aca="false">+AC63*($F63+$G63)</f>
        <v>1095000</v>
      </c>
      <c r="AP63" s="27" t="n">
        <f aca="false">+AD63*($F63+$G63)</f>
        <v>1095000</v>
      </c>
      <c r="AQ63" s="27" t="n">
        <f aca="false">+AE63*($F63+$G63)</f>
        <v>1005000</v>
      </c>
      <c r="AR63" s="27" t="n">
        <f aca="false">+AF63*($F63+$G63)</f>
        <v>0</v>
      </c>
      <c r="AS63" s="27" t="n">
        <f aca="false">+AG63*($F63+$G63)</f>
        <v>0</v>
      </c>
    </row>
    <row r="64" customFormat="false" ht="12.75" hidden="false" customHeight="false" outlineLevel="0" collapsed="false">
      <c r="A64" s="97" t="s">
        <v>63</v>
      </c>
      <c r="B64" s="40" t="s">
        <v>65</v>
      </c>
      <c r="C64" s="89" t="n">
        <v>27460</v>
      </c>
      <c r="D64" s="90" t="n">
        <v>55000</v>
      </c>
      <c r="E64" s="84" t="s">
        <v>128</v>
      </c>
      <c r="F64" s="91" t="n">
        <v>0.102</v>
      </c>
      <c r="G64" s="91" t="n">
        <v>0.0011</v>
      </c>
      <c r="H64" s="85" t="n">
        <f aca="false">+G64+F64</f>
        <v>0.1031</v>
      </c>
      <c r="I64" s="43" t="n">
        <v>37257</v>
      </c>
      <c r="J64" s="87" t="n">
        <v>37986</v>
      </c>
      <c r="K64" s="0" t="n">
        <v>0</v>
      </c>
      <c r="L64" s="0" t="n">
        <v>0</v>
      </c>
      <c r="M64" s="0" t="n">
        <v>365</v>
      </c>
      <c r="N64" s="0" t="n">
        <v>365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W64" s="60" t="n">
        <f aca="false">+K64*$D64</f>
        <v>0</v>
      </c>
      <c r="X64" s="60" t="n">
        <f aca="false">+L64*$D64</f>
        <v>0</v>
      </c>
      <c r="Y64" s="60" t="n">
        <f aca="false">+M64*$D64</f>
        <v>20075000</v>
      </c>
      <c r="Z64" s="60" t="n">
        <f aca="false">+N64*$D64</f>
        <v>20075000</v>
      </c>
      <c r="AA64" s="60" t="n">
        <f aca="false">+O64*$D64</f>
        <v>0</v>
      </c>
      <c r="AB64" s="60" t="n">
        <f aca="false">+P64*$D64</f>
        <v>0</v>
      </c>
      <c r="AC64" s="60" t="n">
        <f aca="false">+Q64*$D64</f>
        <v>0</v>
      </c>
      <c r="AD64" s="60" t="n">
        <f aca="false">+R64*$D64</f>
        <v>0</v>
      </c>
      <c r="AE64" s="60" t="n">
        <f aca="false">+S64*$D64</f>
        <v>0</v>
      </c>
      <c r="AF64" s="60" t="n">
        <f aca="false">+T64*$D64</f>
        <v>0</v>
      </c>
      <c r="AG64" s="60" t="n">
        <f aca="false">+U64*$D64</f>
        <v>0</v>
      </c>
      <c r="AI64" s="27" t="n">
        <f aca="false">+W64*($F64+$G64)</f>
        <v>0</v>
      </c>
      <c r="AJ64" s="27" t="n">
        <f aca="false">+X64*($F64+$G64)</f>
        <v>0</v>
      </c>
      <c r="AK64" s="27" t="n">
        <f aca="false">+Y64*($F64+$G64)</f>
        <v>2069732.5</v>
      </c>
      <c r="AL64" s="27" t="n">
        <f aca="false">+Z64*($F64+$G64)</f>
        <v>2069732.5</v>
      </c>
      <c r="AM64" s="27" t="n">
        <f aca="false">+AA64*($F64+$G64)</f>
        <v>0</v>
      </c>
      <c r="AN64" s="27" t="n">
        <f aca="false">+AB64*($F64+$G64)</f>
        <v>0</v>
      </c>
      <c r="AO64" s="27" t="n">
        <f aca="false">+AC64*($F64+$G64)</f>
        <v>0</v>
      </c>
      <c r="AP64" s="27" t="n">
        <f aca="false">+AD64*($F64+$G64)</f>
        <v>0</v>
      </c>
      <c r="AQ64" s="27" t="n">
        <f aca="false">+AE64*($F64+$G64)</f>
        <v>0</v>
      </c>
      <c r="AR64" s="27" t="n">
        <f aca="false">+AF64*($F64+$G64)</f>
        <v>0</v>
      </c>
      <c r="AS64" s="27" t="n">
        <f aca="false">+AG64*($F64+$G64)</f>
        <v>0</v>
      </c>
    </row>
    <row r="65" customFormat="false" ht="12.75" hidden="false" customHeight="false" outlineLevel="0" collapsed="false">
      <c r="A65" s="97" t="s">
        <v>63</v>
      </c>
      <c r="B65" s="19" t="s">
        <v>33</v>
      </c>
      <c r="C65" s="89" t="n">
        <v>25067</v>
      </c>
      <c r="D65" s="90" t="n">
        <v>15000</v>
      </c>
      <c r="E65" s="84" t="s">
        <v>127</v>
      </c>
      <c r="F65" s="91" t="n">
        <v>0.0439</v>
      </c>
      <c r="G65" s="91" t="n">
        <v>0.0011</v>
      </c>
      <c r="H65" s="85" t="n">
        <f aca="false">+G65+F65</f>
        <v>0.045</v>
      </c>
      <c r="I65" s="29" t="n">
        <v>35309</v>
      </c>
      <c r="J65" s="87" t="n">
        <v>37225</v>
      </c>
      <c r="K65" s="0" t="n">
        <v>366</v>
      </c>
      <c r="L65" s="0" t="n">
        <v>334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W65" s="60" t="n">
        <f aca="false">+K65*$D65</f>
        <v>5490000</v>
      </c>
      <c r="X65" s="60" t="n">
        <f aca="false">+L65*$D65</f>
        <v>5010000</v>
      </c>
      <c r="Y65" s="60" t="n">
        <f aca="false">+M65*$D65</f>
        <v>0</v>
      </c>
      <c r="Z65" s="60" t="n">
        <f aca="false">+N65*$D65</f>
        <v>0</v>
      </c>
      <c r="AA65" s="60" t="n">
        <f aca="false">+O65*$D65</f>
        <v>0</v>
      </c>
      <c r="AB65" s="60" t="n">
        <f aca="false">+P65*$D65</f>
        <v>0</v>
      </c>
      <c r="AC65" s="60" t="n">
        <f aca="false">+Q65*$D65</f>
        <v>0</v>
      </c>
      <c r="AD65" s="60" t="n">
        <f aca="false">+R65*$D65</f>
        <v>0</v>
      </c>
      <c r="AE65" s="60" t="n">
        <f aca="false">+S65*$D65</f>
        <v>0</v>
      </c>
      <c r="AF65" s="60" t="n">
        <f aca="false">+T65*$D65</f>
        <v>0</v>
      </c>
      <c r="AG65" s="60" t="n">
        <f aca="false">+U65*$D65</f>
        <v>0</v>
      </c>
      <c r="AI65" s="27" t="n">
        <f aca="false">+W65*($F65+$G65)</f>
        <v>247050</v>
      </c>
      <c r="AJ65" s="27" t="n">
        <f aca="false">+X65*($F65+$G65)</f>
        <v>225450</v>
      </c>
      <c r="AK65" s="27" t="n">
        <f aca="false">+Y65*($F65+$G65)</f>
        <v>0</v>
      </c>
      <c r="AL65" s="27" t="n">
        <f aca="false">+Z65*($F65+$G65)</f>
        <v>0</v>
      </c>
      <c r="AM65" s="27" t="n">
        <f aca="false">+AA65*($F65+$G65)</f>
        <v>0</v>
      </c>
      <c r="AN65" s="27" t="n">
        <f aca="false">+AB65*($F65+$G65)</f>
        <v>0</v>
      </c>
      <c r="AO65" s="27" t="n">
        <f aca="false">+AC65*($F65+$G65)</f>
        <v>0</v>
      </c>
      <c r="AP65" s="27" t="n">
        <f aca="false">+AD65*($F65+$G65)</f>
        <v>0</v>
      </c>
      <c r="AQ65" s="27" t="n">
        <f aca="false">+AE65*($F65+$G65)</f>
        <v>0</v>
      </c>
      <c r="AR65" s="27" t="n">
        <f aca="false">+AF65*($F65+$G65)</f>
        <v>0</v>
      </c>
      <c r="AS65" s="27" t="n">
        <f aca="false">+AG65*($F65+$G65)</f>
        <v>0</v>
      </c>
    </row>
    <row r="66" customFormat="false" ht="12.75" hidden="false" customHeight="false" outlineLevel="0" collapsed="false">
      <c r="A66" s="97" t="s">
        <v>63</v>
      </c>
      <c r="B66" s="19" t="s">
        <v>33</v>
      </c>
      <c r="C66" s="89" t="n">
        <v>27651</v>
      </c>
      <c r="D66" s="90" t="n">
        <v>33000</v>
      </c>
      <c r="E66" s="84" t="s">
        <v>127</v>
      </c>
      <c r="F66" s="91" t="n">
        <v>0.102</v>
      </c>
      <c r="G66" s="91" t="n">
        <v>0.0011</v>
      </c>
      <c r="H66" s="85" t="n">
        <f aca="false">+G66+F66</f>
        <v>0.1031</v>
      </c>
      <c r="I66" s="23" t="n">
        <v>37073</v>
      </c>
      <c r="J66" s="87" t="n">
        <v>37134</v>
      </c>
      <c r="K66" s="0" t="n">
        <v>0</v>
      </c>
      <c r="L66" s="0" t="n">
        <v>62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W66" s="60" t="n">
        <f aca="false">+K66*$D66</f>
        <v>0</v>
      </c>
      <c r="X66" s="60" t="n">
        <f aca="false">+L66*$D66</f>
        <v>2046000</v>
      </c>
      <c r="Y66" s="60" t="n">
        <f aca="false">+M66*$D66</f>
        <v>0</v>
      </c>
      <c r="Z66" s="60" t="n">
        <f aca="false">+N66*$D66</f>
        <v>0</v>
      </c>
      <c r="AA66" s="60" t="n">
        <f aca="false">+O66*$D66</f>
        <v>0</v>
      </c>
      <c r="AB66" s="60" t="n">
        <f aca="false">+P66*$D66</f>
        <v>0</v>
      </c>
      <c r="AC66" s="60" t="n">
        <f aca="false">+Q66*$D66</f>
        <v>0</v>
      </c>
      <c r="AD66" s="60" t="n">
        <f aca="false">+R66*$D66</f>
        <v>0</v>
      </c>
      <c r="AE66" s="60" t="n">
        <f aca="false">+S66*$D66</f>
        <v>0</v>
      </c>
      <c r="AF66" s="60" t="n">
        <f aca="false">+T66*$D66</f>
        <v>0</v>
      </c>
      <c r="AG66" s="60" t="n">
        <f aca="false">+U66*$D66</f>
        <v>0</v>
      </c>
      <c r="AI66" s="27" t="n">
        <f aca="false">+W66*($F66+$G66)</f>
        <v>0</v>
      </c>
      <c r="AJ66" s="27" t="n">
        <f aca="false">+X66*($F66+$G66)</f>
        <v>210942.6</v>
      </c>
      <c r="AK66" s="27" t="n">
        <f aca="false">+Y66*($F66+$G66)</f>
        <v>0</v>
      </c>
      <c r="AL66" s="27" t="n">
        <f aca="false">+Z66*($F66+$G66)</f>
        <v>0</v>
      </c>
      <c r="AM66" s="27" t="n">
        <f aca="false">+AA66*($F66+$G66)</f>
        <v>0</v>
      </c>
      <c r="AN66" s="27" t="n">
        <f aca="false">+AB66*($F66+$G66)</f>
        <v>0</v>
      </c>
      <c r="AO66" s="27" t="n">
        <f aca="false">+AC66*($F66+$G66)</f>
        <v>0</v>
      </c>
      <c r="AP66" s="27" t="n">
        <f aca="false">+AD66*($F66+$G66)</f>
        <v>0</v>
      </c>
      <c r="AQ66" s="27" t="n">
        <f aca="false">+AE66*($F66+$G66)</f>
        <v>0</v>
      </c>
      <c r="AR66" s="27" t="n">
        <f aca="false">+AF66*($F66+$G66)</f>
        <v>0</v>
      </c>
      <c r="AS66" s="27" t="n">
        <f aca="false">+AG66*($F66+$G66)</f>
        <v>0</v>
      </c>
    </row>
    <row r="67" customFormat="false" ht="12.75" hidden="false" customHeight="false" outlineLevel="0" collapsed="false">
      <c r="A67" s="93" t="s">
        <v>63</v>
      </c>
      <c r="B67" s="19" t="s">
        <v>38</v>
      </c>
      <c r="C67" s="89" t="n">
        <v>24654</v>
      </c>
      <c r="D67" s="90" t="n">
        <v>8000</v>
      </c>
      <c r="E67" s="84" t="s">
        <v>127</v>
      </c>
      <c r="F67" s="91" t="n">
        <v>0.0667</v>
      </c>
      <c r="G67" s="91" t="n">
        <v>0.0033</v>
      </c>
      <c r="H67" s="85" t="n">
        <f aca="false">+G67+F67</f>
        <v>0.07</v>
      </c>
      <c r="I67" s="29" t="n">
        <v>35400</v>
      </c>
      <c r="J67" s="87" t="n">
        <v>37256</v>
      </c>
      <c r="K67" s="0" t="n">
        <v>366</v>
      </c>
      <c r="L67" s="0" t="n">
        <v>365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W67" s="60" t="n">
        <f aca="false">+K67*$D67</f>
        <v>2928000</v>
      </c>
      <c r="X67" s="60" t="n">
        <f aca="false">+L67*$D67</f>
        <v>2920000</v>
      </c>
      <c r="Y67" s="60" t="n">
        <f aca="false">+M67*$D67</f>
        <v>0</v>
      </c>
      <c r="Z67" s="60" t="n">
        <f aca="false">+N67*$D67</f>
        <v>0</v>
      </c>
      <c r="AA67" s="60" t="n">
        <f aca="false">+O67*$D67</f>
        <v>0</v>
      </c>
      <c r="AB67" s="60" t="n">
        <f aca="false">+P67*$D67</f>
        <v>0</v>
      </c>
      <c r="AC67" s="60" t="n">
        <f aca="false">+Q67*$D67</f>
        <v>0</v>
      </c>
      <c r="AD67" s="60" t="n">
        <f aca="false">+R67*$D67</f>
        <v>0</v>
      </c>
      <c r="AE67" s="60" t="n">
        <f aca="false">+S67*$D67</f>
        <v>0</v>
      </c>
      <c r="AF67" s="60" t="n">
        <f aca="false">+T67*$D67</f>
        <v>0</v>
      </c>
      <c r="AG67" s="60" t="n">
        <f aca="false">+U67*$D67</f>
        <v>0</v>
      </c>
      <c r="AI67" s="27" t="n">
        <f aca="false">+W67*($F67+$G67)</f>
        <v>204960</v>
      </c>
      <c r="AJ67" s="27" t="n">
        <f aca="false">+X67*($F67+$G67)</f>
        <v>204400</v>
      </c>
      <c r="AK67" s="27" t="n">
        <f aca="false">+Y67*($F67+$G67)</f>
        <v>0</v>
      </c>
      <c r="AL67" s="27" t="n">
        <f aca="false">+Z67*($F67+$G67)</f>
        <v>0</v>
      </c>
      <c r="AM67" s="27" t="n">
        <f aca="false">+AA67*($F67+$G67)</f>
        <v>0</v>
      </c>
      <c r="AN67" s="27" t="n">
        <f aca="false">+AB67*($F67+$G67)</f>
        <v>0</v>
      </c>
      <c r="AO67" s="27" t="n">
        <f aca="false">+AC67*($F67+$G67)</f>
        <v>0</v>
      </c>
      <c r="AP67" s="27" t="n">
        <f aca="false">+AD67*($F67+$G67)</f>
        <v>0</v>
      </c>
      <c r="AQ67" s="27" t="n">
        <f aca="false">+AE67*($F67+$G67)</f>
        <v>0</v>
      </c>
      <c r="AR67" s="27" t="n">
        <f aca="false">+AF67*($F67+$G67)</f>
        <v>0</v>
      </c>
      <c r="AS67" s="27" t="n">
        <f aca="false">+AG67*($F67+$G67)</f>
        <v>0</v>
      </c>
    </row>
    <row r="68" customFormat="false" ht="12.75" hidden="false" customHeight="false" outlineLevel="0" collapsed="false">
      <c r="A68" s="97" t="s">
        <v>63</v>
      </c>
      <c r="B68" s="30" t="s">
        <v>38</v>
      </c>
      <c r="C68" s="94" t="n">
        <v>24924</v>
      </c>
      <c r="D68" s="90" t="n">
        <v>25000</v>
      </c>
      <c r="E68" s="84" t="s">
        <v>127</v>
      </c>
      <c r="F68" s="91" t="n">
        <v>0.0567</v>
      </c>
      <c r="G68" s="91" t="n">
        <v>0.0033</v>
      </c>
      <c r="H68" s="85" t="n">
        <f aca="false">+G68+F68</f>
        <v>0.06</v>
      </c>
      <c r="I68" s="29" t="n">
        <v>35309</v>
      </c>
      <c r="J68" s="87" t="n">
        <v>38017</v>
      </c>
      <c r="K68" s="0" t="n">
        <v>366</v>
      </c>
      <c r="L68" s="0" t="n">
        <v>365</v>
      </c>
      <c r="M68" s="0" t="n">
        <v>365</v>
      </c>
      <c r="N68" s="0" t="n">
        <v>365</v>
      </c>
      <c r="O68" s="0" t="n">
        <v>31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W68" s="60" t="n">
        <f aca="false">+K68*$D68</f>
        <v>9150000</v>
      </c>
      <c r="X68" s="60" t="n">
        <f aca="false">+L68*$D68</f>
        <v>9125000</v>
      </c>
      <c r="Y68" s="60" t="n">
        <f aca="false">+M68*$D68</f>
        <v>9125000</v>
      </c>
      <c r="Z68" s="60" t="n">
        <f aca="false">+N68*$D68</f>
        <v>9125000</v>
      </c>
      <c r="AA68" s="60" t="n">
        <f aca="false">+O68*$D68</f>
        <v>775000</v>
      </c>
      <c r="AB68" s="60" t="n">
        <f aca="false">+P68*$D68</f>
        <v>0</v>
      </c>
      <c r="AC68" s="60" t="n">
        <f aca="false">+Q68*$D68</f>
        <v>0</v>
      </c>
      <c r="AD68" s="60" t="n">
        <f aca="false">+R68*$D68</f>
        <v>0</v>
      </c>
      <c r="AE68" s="60" t="n">
        <f aca="false">+S68*$D68</f>
        <v>0</v>
      </c>
      <c r="AF68" s="60" t="n">
        <f aca="false">+T68*$D68</f>
        <v>0</v>
      </c>
      <c r="AG68" s="60" t="n">
        <f aca="false">+U68*$D68</f>
        <v>0</v>
      </c>
      <c r="AI68" s="27" t="n">
        <f aca="false">+W68*($F68+$G68)</f>
        <v>549000</v>
      </c>
      <c r="AJ68" s="27" t="n">
        <f aca="false">+X68*($F68+$G68)</f>
        <v>547500</v>
      </c>
      <c r="AK68" s="27" t="n">
        <f aca="false">+Y68*($F68+$G68)</f>
        <v>547500</v>
      </c>
      <c r="AL68" s="27" t="n">
        <f aca="false">+Z68*($F68+$G68)</f>
        <v>547500</v>
      </c>
      <c r="AM68" s="27" t="n">
        <f aca="false">+AA68*($F68+$G68)</f>
        <v>46500</v>
      </c>
      <c r="AN68" s="27" t="n">
        <f aca="false">+AB68*($F68+$G68)</f>
        <v>0</v>
      </c>
      <c r="AO68" s="27" t="n">
        <f aca="false">+AC68*($F68+$G68)</f>
        <v>0</v>
      </c>
      <c r="AP68" s="27" t="n">
        <f aca="false">+AD68*($F68+$G68)</f>
        <v>0</v>
      </c>
      <c r="AQ68" s="27" t="n">
        <f aca="false">+AE68*($F68+$G68)</f>
        <v>0</v>
      </c>
      <c r="AR68" s="27" t="n">
        <f aca="false">+AF68*($F68+$G68)</f>
        <v>0</v>
      </c>
      <c r="AS68" s="27" t="n">
        <f aca="false">+AG68*($F68+$G68)</f>
        <v>0</v>
      </c>
    </row>
    <row r="69" customFormat="false" ht="12.75" hidden="false" customHeight="false" outlineLevel="0" collapsed="false">
      <c r="A69" s="93" t="s">
        <v>63</v>
      </c>
      <c r="B69" s="30" t="s">
        <v>39</v>
      </c>
      <c r="C69" s="94" t="n">
        <v>24568</v>
      </c>
      <c r="D69" s="90" t="n">
        <v>32000</v>
      </c>
      <c r="E69" s="84" t="s">
        <v>127</v>
      </c>
      <c r="F69" s="91" t="n">
        <v>0.0667</v>
      </c>
      <c r="G69" s="91" t="n">
        <v>0.0033</v>
      </c>
      <c r="H69" s="85" t="n">
        <f aca="false">+G69+F69</f>
        <v>0.07</v>
      </c>
      <c r="I69" s="29" t="n">
        <v>35400</v>
      </c>
      <c r="J69" s="87" t="n">
        <v>37256</v>
      </c>
      <c r="K69" s="0" t="n">
        <v>366</v>
      </c>
      <c r="L69" s="0" t="n">
        <v>365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W69" s="60" t="n">
        <f aca="false">+K69*$D69</f>
        <v>11712000</v>
      </c>
      <c r="X69" s="60" t="n">
        <f aca="false">+L69*$D69</f>
        <v>11680000</v>
      </c>
      <c r="Y69" s="60" t="n">
        <f aca="false">+M69*$D69</f>
        <v>0</v>
      </c>
      <c r="Z69" s="60" t="n">
        <f aca="false">+N69*$D69</f>
        <v>0</v>
      </c>
      <c r="AA69" s="60" t="n">
        <f aca="false">+O69*$D69</f>
        <v>0</v>
      </c>
      <c r="AB69" s="60" t="n">
        <f aca="false">+P69*$D69</f>
        <v>0</v>
      </c>
      <c r="AC69" s="60" t="n">
        <f aca="false">+Q69*$D69</f>
        <v>0</v>
      </c>
      <c r="AD69" s="60" t="n">
        <f aca="false">+R69*$D69</f>
        <v>0</v>
      </c>
      <c r="AE69" s="60" t="n">
        <f aca="false">+S69*$D69</f>
        <v>0</v>
      </c>
      <c r="AF69" s="60" t="n">
        <f aca="false">+T69*$D69</f>
        <v>0</v>
      </c>
      <c r="AG69" s="60" t="n">
        <f aca="false">+U69*$D69</f>
        <v>0</v>
      </c>
      <c r="AI69" s="27" t="n">
        <f aca="false">+W69*($F69+$G69)</f>
        <v>819840</v>
      </c>
      <c r="AJ69" s="27" t="n">
        <f aca="false">+X69*($F69+$G69)</f>
        <v>817600</v>
      </c>
      <c r="AK69" s="27" t="n">
        <f aca="false">+Y69*($F69+$G69)</f>
        <v>0</v>
      </c>
      <c r="AL69" s="27" t="n">
        <f aca="false">+Z69*($F69+$G69)</f>
        <v>0</v>
      </c>
      <c r="AM69" s="27" t="n">
        <f aca="false">+AA69*($F69+$G69)</f>
        <v>0</v>
      </c>
      <c r="AN69" s="27" t="n">
        <f aca="false">+AB69*($F69+$G69)</f>
        <v>0</v>
      </c>
      <c r="AO69" s="27" t="n">
        <f aca="false">+AC69*($F69+$G69)</f>
        <v>0</v>
      </c>
      <c r="AP69" s="27" t="n">
        <f aca="false">+AD69*($F69+$G69)</f>
        <v>0</v>
      </c>
      <c r="AQ69" s="27" t="n">
        <f aca="false">+AE69*($F69+$G69)</f>
        <v>0</v>
      </c>
      <c r="AR69" s="27" t="n">
        <f aca="false">+AF69*($F69+$G69)</f>
        <v>0</v>
      </c>
      <c r="AS69" s="27" t="n">
        <f aca="false">+AG69*($F69+$G69)</f>
        <v>0</v>
      </c>
    </row>
    <row r="70" customFormat="false" ht="12.75" hidden="false" customHeight="false" outlineLevel="0" collapsed="false">
      <c r="A70" s="97" t="s">
        <v>63</v>
      </c>
      <c r="B70" s="19" t="s">
        <v>66</v>
      </c>
      <c r="C70" s="89" t="n">
        <v>24927</v>
      </c>
      <c r="D70" s="90" t="n">
        <v>30000</v>
      </c>
      <c r="E70" s="84" t="s">
        <v>127</v>
      </c>
      <c r="F70" s="91" t="n">
        <v>0.0367</v>
      </c>
      <c r="G70" s="91" t="n">
        <v>0.0033</v>
      </c>
      <c r="H70" s="85" t="n">
        <f aca="false">+G70+F70</f>
        <v>0.04</v>
      </c>
      <c r="I70" s="29" t="n">
        <v>35309</v>
      </c>
      <c r="J70" s="87" t="n">
        <v>38748</v>
      </c>
      <c r="K70" s="0" t="n">
        <v>366</v>
      </c>
      <c r="L70" s="0" t="n">
        <v>365</v>
      </c>
      <c r="M70" s="0" t="n">
        <v>365</v>
      </c>
      <c r="N70" s="0" t="n">
        <v>365</v>
      </c>
      <c r="O70" s="0" t="n">
        <v>366</v>
      </c>
      <c r="P70" s="0" t="n">
        <v>365</v>
      </c>
      <c r="Q70" s="0" t="n">
        <v>31</v>
      </c>
      <c r="R70" s="0" t="n">
        <v>0</v>
      </c>
      <c r="S70" s="0" t="n">
        <v>0</v>
      </c>
      <c r="T70" s="0" t="n">
        <v>0</v>
      </c>
      <c r="U70" s="0" t="n">
        <v>0</v>
      </c>
      <c r="W70" s="60" t="n">
        <f aca="false">+K70*$D70</f>
        <v>10980000</v>
      </c>
      <c r="X70" s="60" t="n">
        <f aca="false">+L70*$D70</f>
        <v>10950000</v>
      </c>
      <c r="Y70" s="60" t="n">
        <f aca="false">+M70*$D70</f>
        <v>10950000</v>
      </c>
      <c r="Z70" s="60" t="n">
        <f aca="false">+N70*$D70</f>
        <v>10950000</v>
      </c>
      <c r="AA70" s="60" t="n">
        <f aca="false">+O70*$D70</f>
        <v>10980000</v>
      </c>
      <c r="AB70" s="60" t="n">
        <f aca="false">+P70*$D70</f>
        <v>10950000</v>
      </c>
      <c r="AC70" s="60" t="n">
        <f aca="false">+Q70*$D70</f>
        <v>930000</v>
      </c>
      <c r="AD70" s="60" t="n">
        <f aca="false">+R70*$D70</f>
        <v>0</v>
      </c>
      <c r="AE70" s="60" t="n">
        <f aca="false">+S70*$D70</f>
        <v>0</v>
      </c>
      <c r="AF70" s="60" t="n">
        <f aca="false">+T70*$D70</f>
        <v>0</v>
      </c>
      <c r="AG70" s="60" t="n">
        <f aca="false">+U70*$D70</f>
        <v>0</v>
      </c>
      <c r="AI70" s="27" t="n">
        <f aca="false">+W70*($F70+$G70)</f>
        <v>439200</v>
      </c>
      <c r="AJ70" s="27" t="n">
        <f aca="false">+X70*($F70+$G70)</f>
        <v>438000</v>
      </c>
      <c r="AK70" s="27" t="n">
        <f aca="false">+Y70*($F70+$G70)</f>
        <v>438000</v>
      </c>
      <c r="AL70" s="27" t="n">
        <f aca="false">+Z70*($F70+$G70)</f>
        <v>438000</v>
      </c>
      <c r="AM70" s="27" t="n">
        <f aca="false">+AA70*($F70+$G70)</f>
        <v>439200</v>
      </c>
      <c r="AN70" s="27" t="n">
        <f aca="false">+AB70*($F70+$G70)</f>
        <v>438000</v>
      </c>
      <c r="AO70" s="27" t="n">
        <f aca="false">+AC70*($F70+$G70)</f>
        <v>37200</v>
      </c>
      <c r="AP70" s="27" t="n">
        <f aca="false">+AD70*($F70+$G70)</f>
        <v>0</v>
      </c>
      <c r="AQ70" s="27" t="n">
        <f aca="false">+AE70*($F70+$G70)</f>
        <v>0</v>
      </c>
      <c r="AR70" s="27" t="n">
        <f aca="false">+AF70*($F70+$G70)</f>
        <v>0</v>
      </c>
      <c r="AS70" s="27" t="n">
        <f aca="false">+AG70*($F70+$G70)</f>
        <v>0</v>
      </c>
    </row>
    <row r="71" customFormat="false" ht="12.75" hidden="false" customHeight="false" outlineLevel="0" collapsed="false">
      <c r="A71" s="97" t="s">
        <v>63</v>
      </c>
      <c r="B71" s="19" t="s">
        <v>67</v>
      </c>
      <c r="C71" s="89" t="n">
        <v>25397</v>
      </c>
      <c r="D71" s="90" t="n">
        <v>10000</v>
      </c>
      <c r="E71" s="84" t="s">
        <v>127</v>
      </c>
      <c r="F71" s="91" t="n">
        <v>0.0289</v>
      </c>
      <c r="G71" s="91" t="n">
        <v>0.0011</v>
      </c>
      <c r="H71" s="85" t="n">
        <f aca="false">+G71+F71</f>
        <v>0.03</v>
      </c>
      <c r="I71" s="23" t="n">
        <v>35886</v>
      </c>
      <c r="J71" s="87" t="n">
        <v>37711</v>
      </c>
      <c r="K71" s="0" t="n">
        <v>366</v>
      </c>
      <c r="L71" s="0" t="n">
        <v>365</v>
      </c>
      <c r="M71" s="0" t="n">
        <v>365</v>
      </c>
      <c r="N71" s="0" t="n">
        <v>90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W71" s="60" t="n">
        <f aca="false">+K71*$D71</f>
        <v>3660000</v>
      </c>
      <c r="X71" s="60" t="n">
        <f aca="false">+L71*$D71</f>
        <v>3650000</v>
      </c>
      <c r="Y71" s="60" t="n">
        <f aca="false">+M71*$D71</f>
        <v>3650000</v>
      </c>
      <c r="Z71" s="60" t="n">
        <f aca="false">+N71*$D71</f>
        <v>900000</v>
      </c>
      <c r="AA71" s="60" t="n">
        <f aca="false">+O71*$D71</f>
        <v>0</v>
      </c>
      <c r="AB71" s="60" t="n">
        <f aca="false">+P71*$D71</f>
        <v>0</v>
      </c>
      <c r="AC71" s="60" t="n">
        <f aca="false">+Q71*$D71</f>
        <v>0</v>
      </c>
      <c r="AD71" s="60" t="n">
        <f aca="false">+R71*$D71</f>
        <v>0</v>
      </c>
      <c r="AE71" s="60" t="n">
        <f aca="false">+S71*$D71</f>
        <v>0</v>
      </c>
      <c r="AF71" s="60" t="n">
        <f aca="false">+T71*$D71</f>
        <v>0</v>
      </c>
      <c r="AG71" s="60" t="n">
        <f aca="false">+U71*$D71</f>
        <v>0</v>
      </c>
      <c r="AI71" s="27" t="n">
        <f aca="false">+W71*($F71+$G71)</f>
        <v>109800</v>
      </c>
      <c r="AJ71" s="27" t="n">
        <f aca="false">+X71*($F71+$G71)</f>
        <v>109500</v>
      </c>
      <c r="AK71" s="27" t="n">
        <f aca="false">+Y71*($F71+$G71)</f>
        <v>109500</v>
      </c>
      <c r="AL71" s="27" t="n">
        <f aca="false">+Z71*($F71+$G71)</f>
        <v>27000</v>
      </c>
      <c r="AM71" s="27" t="n">
        <f aca="false">+AA71*($F71+$G71)</f>
        <v>0</v>
      </c>
      <c r="AN71" s="27" t="n">
        <f aca="false">+AB71*($F71+$G71)</f>
        <v>0</v>
      </c>
      <c r="AO71" s="27" t="n">
        <f aca="false">+AC71*($F71+$G71)</f>
        <v>0</v>
      </c>
      <c r="AP71" s="27" t="n">
        <f aca="false">+AD71*($F71+$G71)</f>
        <v>0</v>
      </c>
      <c r="AQ71" s="27" t="n">
        <f aca="false">+AE71*($F71+$G71)</f>
        <v>0</v>
      </c>
      <c r="AR71" s="27" t="n">
        <f aca="false">+AF71*($F71+$G71)</f>
        <v>0</v>
      </c>
      <c r="AS71" s="27" t="n">
        <f aca="false">+AG71*($F71+$G71)</f>
        <v>0</v>
      </c>
    </row>
    <row r="72" customFormat="false" ht="12.75" hidden="false" customHeight="false" outlineLevel="0" collapsed="false">
      <c r="A72" s="97" t="s">
        <v>63</v>
      </c>
      <c r="B72" s="19" t="s">
        <v>68</v>
      </c>
      <c r="C72" s="89" t="n">
        <v>27047</v>
      </c>
      <c r="D72" s="90" t="n">
        <v>125000</v>
      </c>
      <c r="E72" s="95" t="s">
        <v>131</v>
      </c>
      <c r="F72" s="91" t="n">
        <v>0.0366</v>
      </c>
      <c r="G72" s="91" t="n">
        <v>0.0033</v>
      </c>
      <c r="H72" s="85" t="n">
        <f aca="false">+G72+F72</f>
        <v>0.0399</v>
      </c>
      <c r="I72" s="23" t="n">
        <v>36557</v>
      </c>
      <c r="J72" s="87" t="n">
        <v>38717</v>
      </c>
      <c r="K72" s="0" t="n">
        <v>335</v>
      </c>
      <c r="L72" s="0" t="n">
        <v>365</v>
      </c>
      <c r="M72" s="0" t="n">
        <v>365</v>
      </c>
      <c r="N72" s="0" t="n">
        <v>365</v>
      </c>
      <c r="O72" s="0" t="n">
        <v>366</v>
      </c>
      <c r="P72" s="0" t="n">
        <v>365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W72" s="60" t="n">
        <f aca="false">+K72*$D72</f>
        <v>41875000</v>
      </c>
      <c r="X72" s="60" t="n">
        <f aca="false">+L72*$D72</f>
        <v>45625000</v>
      </c>
      <c r="Y72" s="60" t="n">
        <f aca="false">+M72*$D72</f>
        <v>45625000</v>
      </c>
      <c r="Z72" s="60" t="n">
        <f aca="false">+N72*$D72</f>
        <v>45625000</v>
      </c>
      <c r="AA72" s="60" t="n">
        <f aca="false">+O72*$D72</f>
        <v>45750000</v>
      </c>
      <c r="AB72" s="60" t="n">
        <f aca="false">+P72*$D72</f>
        <v>45625000</v>
      </c>
      <c r="AC72" s="60" t="n">
        <f aca="false">+Q72*$D72</f>
        <v>0</v>
      </c>
      <c r="AD72" s="60" t="n">
        <f aca="false">+R72*$D72</f>
        <v>0</v>
      </c>
      <c r="AE72" s="60" t="n">
        <f aca="false">+S72*$D72</f>
        <v>0</v>
      </c>
      <c r="AF72" s="60" t="n">
        <f aca="false">+T72*$D72</f>
        <v>0</v>
      </c>
      <c r="AG72" s="60" t="n">
        <f aca="false">+U72*$D72</f>
        <v>0</v>
      </c>
      <c r="AI72" s="27" t="n">
        <f aca="false">+W72*($F72+$G72)</f>
        <v>1670812.5</v>
      </c>
      <c r="AJ72" s="27" t="n">
        <f aca="false">+X72*($F72+$G72)</f>
        <v>1820437.5</v>
      </c>
      <c r="AK72" s="27" t="n">
        <f aca="false">+Y72*($F72+$G72)</f>
        <v>1820437.5</v>
      </c>
      <c r="AL72" s="27" t="n">
        <f aca="false">+Z72*($F72+$G72)</f>
        <v>1820437.5</v>
      </c>
      <c r="AM72" s="27" t="n">
        <f aca="false">+AA72*($F72+$G72)</f>
        <v>1825425</v>
      </c>
      <c r="AN72" s="27" t="n">
        <f aca="false">+AB72*($F72+$G72)</f>
        <v>1820437.5</v>
      </c>
      <c r="AO72" s="27" t="n">
        <f aca="false">+AC72*($F72+$G72)</f>
        <v>0</v>
      </c>
      <c r="AP72" s="27" t="n">
        <f aca="false">+AD72*($F72+$G72)</f>
        <v>0</v>
      </c>
      <c r="AQ72" s="27" t="n">
        <f aca="false">+AE72*($F72+$G72)</f>
        <v>0</v>
      </c>
      <c r="AR72" s="27" t="n">
        <f aca="false">+AF72*($F72+$G72)</f>
        <v>0</v>
      </c>
      <c r="AS72" s="27" t="n">
        <f aca="false">+AG72*($F72+$G72)</f>
        <v>0</v>
      </c>
    </row>
    <row r="73" customFormat="false" ht="12.75" hidden="false" customHeight="false" outlineLevel="0" collapsed="false">
      <c r="A73" s="97" t="s">
        <v>63</v>
      </c>
      <c r="B73" s="19" t="s">
        <v>69</v>
      </c>
      <c r="C73" s="89" t="n">
        <v>27342</v>
      </c>
      <c r="D73" s="90" t="n">
        <v>30000</v>
      </c>
      <c r="E73" s="84" t="s">
        <v>127</v>
      </c>
      <c r="F73" s="91" t="n">
        <v>0.0589</v>
      </c>
      <c r="G73" s="91" t="n">
        <v>0.0011</v>
      </c>
      <c r="H73" s="85" t="n">
        <f aca="false">+G73+F73</f>
        <v>0.06</v>
      </c>
      <c r="I73" s="23" t="n">
        <v>36892</v>
      </c>
      <c r="J73" s="87" t="n">
        <v>37256</v>
      </c>
      <c r="K73" s="0" t="n">
        <v>0</v>
      </c>
      <c r="L73" s="0" t="n">
        <v>365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W73" s="60" t="n">
        <f aca="false">+K73*$D73</f>
        <v>0</v>
      </c>
      <c r="X73" s="60" t="n">
        <f aca="false">+L73*$D73</f>
        <v>10950000</v>
      </c>
      <c r="Y73" s="60" t="n">
        <f aca="false">+M73*$D73</f>
        <v>0</v>
      </c>
      <c r="Z73" s="60" t="n">
        <f aca="false">+N73*$D73</f>
        <v>0</v>
      </c>
      <c r="AA73" s="60" t="n">
        <f aca="false">+O73*$D73</f>
        <v>0</v>
      </c>
      <c r="AB73" s="60" t="n">
        <f aca="false">+P73*$D73</f>
        <v>0</v>
      </c>
      <c r="AC73" s="60" t="n">
        <f aca="false">+Q73*$D73</f>
        <v>0</v>
      </c>
      <c r="AD73" s="60" t="n">
        <f aca="false">+R73*$D73</f>
        <v>0</v>
      </c>
      <c r="AE73" s="60" t="n">
        <f aca="false">+S73*$D73</f>
        <v>0</v>
      </c>
      <c r="AF73" s="60" t="n">
        <f aca="false">+T73*$D73</f>
        <v>0</v>
      </c>
      <c r="AG73" s="60" t="n">
        <f aca="false">+U73*$D73</f>
        <v>0</v>
      </c>
      <c r="AI73" s="27" t="n">
        <f aca="false">+W73*($F73+$G73)</f>
        <v>0</v>
      </c>
      <c r="AJ73" s="27" t="n">
        <f aca="false">+X73*($F73+$G73)</f>
        <v>657000</v>
      </c>
      <c r="AK73" s="27" t="n">
        <f aca="false">+Y73*($F73+$G73)</f>
        <v>0</v>
      </c>
      <c r="AL73" s="27" t="n">
        <f aca="false">+Z73*($F73+$G73)</f>
        <v>0</v>
      </c>
      <c r="AM73" s="27" t="n">
        <f aca="false">+AA73*($F73+$G73)</f>
        <v>0</v>
      </c>
      <c r="AN73" s="27" t="n">
        <f aca="false">+AB73*($F73+$G73)</f>
        <v>0</v>
      </c>
      <c r="AO73" s="27" t="n">
        <f aca="false">+AC73*($F73+$G73)</f>
        <v>0</v>
      </c>
      <c r="AP73" s="27" t="n">
        <f aca="false">+AD73*($F73+$G73)</f>
        <v>0</v>
      </c>
      <c r="AQ73" s="27" t="n">
        <f aca="false">+AE73*($F73+$G73)</f>
        <v>0</v>
      </c>
      <c r="AR73" s="27" t="n">
        <f aca="false">+AF73*($F73+$G73)</f>
        <v>0</v>
      </c>
      <c r="AS73" s="27" t="n">
        <f aca="false">+AG73*($F73+$G73)</f>
        <v>0</v>
      </c>
    </row>
    <row r="74" customFormat="false" ht="12.75" hidden="false" customHeight="false" outlineLevel="0" collapsed="false">
      <c r="A74" s="97" t="s">
        <v>63</v>
      </c>
      <c r="B74" s="19" t="s">
        <v>70</v>
      </c>
      <c r="C74" s="89" t="n">
        <v>26044</v>
      </c>
      <c r="D74" s="90" t="n">
        <v>85000</v>
      </c>
      <c r="E74" s="84" t="s">
        <v>127</v>
      </c>
      <c r="F74" s="91" t="n">
        <v>0.0289</v>
      </c>
      <c r="G74" s="91" t="n">
        <v>0.0011</v>
      </c>
      <c r="H74" s="85" t="n">
        <f aca="false">+G74+F74</f>
        <v>0.03</v>
      </c>
      <c r="I74" s="23" t="n">
        <v>35886</v>
      </c>
      <c r="J74" s="87" t="n">
        <v>37925</v>
      </c>
      <c r="K74" s="0" t="n">
        <v>366</v>
      </c>
      <c r="L74" s="0" t="n">
        <v>365</v>
      </c>
      <c r="M74" s="0" t="n">
        <v>365</v>
      </c>
      <c r="N74" s="0" t="n">
        <v>304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W74" s="60" t="n">
        <f aca="false">+K74*$D74</f>
        <v>31110000</v>
      </c>
      <c r="X74" s="60" t="n">
        <f aca="false">+L74*$D74</f>
        <v>31025000</v>
      </c>
      <c r="Y74" s="60" t="n">
        <f aca="false">+M74*$D74</f>
        <v>31025000</v>
      </c>
      <c r="Z74" s="60" t="n">
        <f aca="false">+N74*$D74</f>
        <v>25840000</v>
      </c>
      <c r="AA74" s="60" t="n">
        <f aca="false">+O74*$D74</f>
        <v>0</v>
      </c>
      <c r="AB74" s="60" t="n">
        <f aca="false">+P74*$D74</f>
        <v>0</v>
      </c>
      <c r="AC74" s="60" t="n">
        <f aca="false">+Q74*$D74</f>
        <v>0</v>
      </c>
      <c r="AD74" s="60" t="n">
        <f aca="false">+R74*$D74</f>
        <v>0</v>
      </c>
      <c r="AE74" s="60" t="n">
        <f aca="false">+S74*$D74</f>
        <v>0</v>
      </c>
      <c r="AF74" s="60" t="n">
        <f aca="false">+T74*$D74</f>
        <v>0</v>
      </c>
      <c r="AG74" s="60" t="n">
        <f aca="false">+U74*$D74</f>
        <v>0</v>
      </c>
      <c r="AI74" s="27" t="n">
        <f aca="false">+W74*($F74+$G74)</f>
        <v>933300</v>
      </c>
      <c r="AJ74" s="27" t="n">
        <f aca="false">+X74*($F74+$G74)</f>
        <v>930750</v>
      </c>
      <c r="AK74" s="27" t="n">
        <f aca="false">+Y74*($F74+$G74)</f>
        <v>930750</v>
      </c>
      <c r="AL74" s="27" t="n">
        <f aca="false">+Z74*($F74+$G74)</f>
        <v>775200</v>
      </c>
      <c r="AM74" s="27" t="n">
        <f aca="false">+AA74*($F74+$G74)</f>
        <v>0</v>
      </c>
      <c r="AN74" s="27" t="n">
        <f aca="false">+AB74*($F74+$G74)</f>
        <v>0</v>
      </c>
      <c r="AO74" s="27" t="n">
        <f aca="false">+AC74*($F74+$G74)</f>
        <v>0</v>
      </c>
      <c r="AP74" s="27" t="n">
        <f aca="false">+AD74*($F74+$G74)</f>
        <v>0</v>
      </c>
      <c r="AQ74" s="27" t="n">
        <f aca="false">+AE74*($F74+$G74)</f>
        <v>0</v>
      </c>
      <c r="AR74" s="27" t="n">
        <f aca="false">+AF74*($F74+$G74)</f>
        <v>0</v>
      </c>
      <c r="AS74" s="27" t="n">
        <f aca="false">+AG74*($F74+$G74)</f>
        <v>0</v>
      </c>
    </row>
    <row r="75" customFormat="false" ht="12.75" hidden="false" customHeight="false" outlineLevel="0" collapsed="false">
      <c r="A75" s="97" t="s">
        <v>63</v>
      </c>
      <c r="B75" s="19" t="s">
        <v>70</v>
      </c>
      <c r="C75" s="89" t="n">
        <v>26436</v>
      </c>
      <c r="D75" s="90" t="n">
        <v>59000</v>
      </c>
      <c r="E75" s="84" t="s">
        <v>127</v>
      </c>
      <c r="F75" s="91" t="n">
        <v>0.0489</v>
      </c>
      <c r="G75" s="91" t="n">
        <v>0.0011</v>
      </c>
      <c r="H75" s="85" t="n">
        <f aca="false">+G75+F75</f>
        <v>0.05</v>
      </c>
      <c r="I75" s="23" t="n">
        <v>36100</v>
      </c>
      <c r="J75" s="87" t="n">
        <v>37925</v>
      </c>
      <c r="K75" s="0" t="n">
        <v>366</v>
      </c>
      <c r="L75" s="0" t="n">
        <v>365</v>
      </c>
      <c r="M75" s="0" t="n">
        <v>365</v>
      </c>
      <c r="N75" s="0" t="n">
        <v>304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W75" s="60" t="n">
        <f aca="false">+K75*$D75</f>
        <v>21594000</v>
      </c>
      <c r="X75" s="60" t="n">
        <f aca="false">+L75*$D75</f>
        <v>21535000</v>
      </c>
      <c r="Y75" s="60" t="n">
        <f aca="false">+M75*$D75</f>
        <v>21535000</v>
      </c>
      <c r="Z75" s="60" t="n">
        <f aca="false">+N75*$D75</f>
        <v>17936000</v>
      </c>
      <c r="AA75" s="60" t="n">
        <f aca="false">+O75*$D75</f>
        <v>0</v>
      </c>
      <c r="AB75" s="60" t="n">
        <f aca="false">+P75*$D75</f>
        <v>0</v>
      </c>
      <c r="AC75" s="60" t="n">
        <f aca="false">+Q75*$D75</f>
        <v>0</v>
      </c>
      <c r="AD75" s="60" t="n">
        <f aca="false">+R75*$D75</f>
        <v>0</v>
      </c>
      <c r="AE75" s="60" t="n">
        <f aca="false">+S75*$D75</f>
        <v>0</v>
      </c>
      <c r="AF75" s="60" t="n">
        <f aca="false">+T75*$D75</f>
        <v>0</v>
      </c>
      <c r="AG75" s="60" t="n">
        <f aca="false">+U75*$D75</f>
        <v>0</v>
      </c>
      <c r="AI75" s="27" t="n">
        <f aca="false">+W75*($F75+$G75)</f>
        <v>1079700</v>
      </c>
      <c r="AJ75" s="27" t="n">
        <f aca="false">+X75*($F75+$G75)</f>
        <v>1076750</v>
      </c>
      <c r="AK75" s="27" t="n">
        <f aca="false">+Y75*($F75+$G75)</f>
        <v>1076750</v>
      </c>
      <c r="AL75" s="27" t="n">
        <f aca="false">+Z75*($F75+$G75)</f>
        <v>896800</v>
      </c>
      <c r="AM75" s="27" t="n">
        <f aca="false">+AA75*($F75+$G75)</f>
        <v>0</v>
      </c>
      <c r="AN75" s="27" t="n">
        <f aca="false">+AB75*($F75+$G75)</f>
        <v>0</v>
      </c>
      <c r="AO75" s="27" t="n">
        <f aca="false">+AC75*($F75+$G75)</f>
        <v>0</v>
      </c>
      <c r="AP75" s="27" t="n">
        <f aca="false">+AD75*($F75+$G75)</f>
        <v>0</v>
      </c>
      <c r="AQ75" s="27" t="n">
        <f aca="false">+AE75*($F75+$G75)</f>
        <v>0</v>
      </c>
      <c r="AR75" s="27" t="n">
        <f aca="false">+AF75*($F75+$G75)</f>
        <v>0</v>
      </c>
      <c r="AS75" s="27" t="n">
        <f aca="false">+AG75*($F75+$G75)</f>
        <v>0</v>
      </c>
    </row>
    <row r="76" customFormat="false" ht="12.75" hidden="false" customHeight="false" outlineLevel="0" collapsed="false">
      <c r="A76" s="97" t="s">
        <v>63</v>
      </c>
      <c r="B76" s="19" t="s">
        <v>71</v>
      </c>
      <c r="C76" s="89" t="n">
        <v>24669</v>
      </c>
      <c r="D76" s="90" t="n">
        <v>12500</v>
      </c>
      <c r="E76" s="84" t="s">
        <v>130</v>
      </c>
      <c r="F76" s="91" t="n">
        <v>0.0567</v>
      </c>
      <c r="G76" s="91" t="n">
        <v>0.0033</v>
      </c>
      <c r="H76" s="85" t="n">
        <f aca="false">+G76+F76</f>
        <v>0.06</v>
      </c>
      <c r="I76" s="29" t="n">
        <v>35309</v>
      </c>
      <c r="J76" s="87" t="n">
        <v>38748</v>
      </c>
      <c r="K76" s="0" t="n">
        <v>366</v>
      </c>
      <c r="L76" s="0" t="n">
        <v>365</v>
      </c>
      <c r="M76" s="0" t="n">
        <v>365</v>
      </c>
      <c r="N76" s="0" t="n">
        <v>365</v>
      </c>
      <c r="O76" s="0" t="n">
        <v>366</v>
      </c>
      <c r="P76" s="0" t="n">
        <v>365</v>
      </c>
      <c r="Q76" s="0" t="n">
        <v>31</v>
      </c>
      <c r="R76" s="0" t="n">
        <v>0</v>
      </c>
      <c r="S76" s="0" t="n">
        <v>0</v>
      </c>
      <c r="T76" s="0" t="n">
        <v>0</v>
      </c>
      <c r="U76" s="0" t="n">
        <v>0</v>
      </c>
      <c r="W76" s="60" t="n">
        <f aca="false">+K76*$D76</f>
        <v>4575000</v>
      </c>
      <c r="X76" s="60" t="n">
        <f aca="false">+L76*$D76</f>
        <v>4562500</v>
      </c>
      <c r="Y76" s="60" t="n">
        <f aca="false">+M76*$D76</f>
        <v>4562500</v>
      </c>
      <c r="Z76" s="60" t="n">
        <f aca="false">+N76*$D76</f>
        <v>4562500</v>
      </c>
      <c r="AA76" s="60" t="n">
        <f aca="false">+O76*$D76</f>
        <v>4575000</v>
      </c>
      <c r="AB76" s="60" t="n">
        <f aca="false">+P76*$D76</f>
        <v>4562500</v>
      </c>
      <c r="AC76" s="60" t="n">
        <f aca="false">+Q76*$D76</f>
        <v>387500</v>
      </c>
      <c r="AD76" s="60" t="n">
        <f aca="false">+R76*$D76</f>
        <v>0</v>
      </c>
      <c r="AE76" s="60" t="n">
        <f aca="false">+S76*$D76</f>
        <v>0</v>
      </c>
      <c r="AF76" s="60" t="n">
        <f aca="false">+T76*$D76</f>
        <v>0</v>
      </c>
      <c r="AG76" s="60" t="n">
        <f aca="false">+U76*$D76</f>
        <v>0</v>
      </c>
      <c r="AI76" s="27" t="n">
        <f aca="false">+W76*($F76+$G76)</f>
        <v>274500</v>
      </c>
      <c r="AJ76" s="27" t="n">
        <f aca="false">+X76*($F76+$G76)</f>
        <v>273750</v>
      </c>
      <c r="AK76" s="27" t="n">
        <f aca="false">+Y76*($F76+$G76)</f>
        <v>273750</v>
      </c>
      <c r="AL76" s="27" t="n">
        <f aca="false">+Z76*($F76+$G76)</f>
        <v>273750</v>
      </c>
      <c r="AM76" s="27" t="n">
        <f aca="false">+AA76*($F76+$G76)</f>
        <v>274500</v>
      </c>
      <c r="AN76" s="27" t="n">
        <f aca="false">+AB76*($F76+$G76)</f>
        <v>273750</v>
      </c>
      <c r="AO76" s="27" t="n">
        <f aca="false">+AC76*($F76+$G76)</f>
        <v>23250</v>
      </c>
      <c r="AP76" s="27" t="n">
        <f aca="false">+AD76*($F76+$G76)</f>
        <v>0</v>
      </c>
      <c r="AQ76" s="27" t="n">
        <f aca="false">+AE76*($F76+$G76)</f>
        <v>0</v>
      </c>
      <c r="AR76" s="27" t="n">
        <f aca="false">+AF76*($F76+$G76)</f>
        <v>0</v>
      </c>
      <c r="AS76" s="27" t="n">
        <f aca="false">+AG76*($F76+$G76)</f>
        <v>0</v>
      </c>
    </row>
    <row r="77" customFormat="false" ht="12.75" hidden="false" customHeight="false" outlineLevel="0" collapsed="false">
      <c r="A77" s="97" t="s">
        <v>63</v>
      </c>
      <c r="B77" s="19" t="s">
        <v>72</v>
      </c>
      <c r="C77" s="89" t="n">
        <v>27344</v>
      </c>
      <c r="D77" s="90" t="n">
        <v>13500</v>
      </c>
      <c r="E77" s="84" t="s">
        <v>127</v>
      </c>
      <c r="F77" s="91" t="n">
        <v>0.0417</v>
      </c>
      <c r="G77" s="91" t="n">
        <v>0.0033</v>
      </c>
      <c r="H77" s="85" t="n">
        <f aca="false">+G77+F77</f>
        <v>0.045</v>
      </c>
      <c r="I77" s="23" t="n">
        <v>36892</v>
      </c>
      <c r="J77" s="87" t="n">
        <v>37621</v>
      </c>
      <c r="K77" s="0" t="n">
        <v>0</v>
      </c>
      <c r="L77" s="0" t="n">
        <v>365</v>
      </c>
      <c r="M77" s="0" t="n">
        <v>365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W77" s="60" t="n">
        <f aca="false">+K77*$D77</f>
        <v>0</v>
      </c>
      <c r="X77" s="60" t="n">
        <f aca="false">+L77*$D77</f>
        <v>4927500</v>
      </c>
      <c r="Y77" s="60" t="n">
        <f aca="false">+M77*$D77</f>
        <v>4927500</v>
      </c>
      <c r="Z77" s="60" t="n">
        <f aca="false">+N77*$D77</f>
        <v>0</v>
      </c>
      <c r="AA77" s="60" t="n">
        <f aca="false">+O77*$D77</f>
        <v>0</v>
      </c>
      <c r="AB77" s="60" t="n">
        <f aca="false">+P77*$D77</f>
        <v>0</v>
      </c>
      <c r="AC77" s="60" t="n">
        <f aca="false">+Q77*$D77</f>
        <v>0</v>
      </c>
      <c r="AD77" s="60" t="n">
        <f aca="false">+R77*$D77</f>
        <v>0</v>
      </c>
      <c r="AE77" s="60" t="n">
        <f aca="false">+S77*$D77</f>
        <v>0</v>
      </c>
      <c r="AF77" s="60" t="n">
        <f aca="false">+T77*$D77</f>
        <v>0</v>
      </c>
      <c r="AG77" s="60" t="n">
        <f aca="false">+U77*$D77</f>
        <v>0</v>
      </c>
      <c r="AI77" s="27" t="n">
        <f aca="false">+W77*($F77+$G77)</f>
        <v>0</v>
      </c>
      <c r="AJ77" s="27" t="n">
        <f aca="false">+X77*($F77+$G77)</f>
        <v>221737.5</v>
      </c>
      <c r="AK77" s="27" t="n">
        <f aca="false">+Y77*($F77+$G77)</f>
        <v>221737.5</v>
      </c>
      <c r="AL77" s="27" t="n">
        <f aca="false">+Z77*($F77+$G77)</f>
        <v>0</v>
      </c>
      <c r="AM77" s="27" t="n">
        <f aca="false">+AA77*($F77+$G77)</f>
        <v>0</v>
      </c>
      <c r="AN77" s="27" t="n">
        <f aca="false">+AB77*($F77+$G77)</f>
        <v>0</v>
      </c>
      <c r="AO77" s="27" t="n">
        <f aca="false">+AC77*($F77+$G77)</f>
        <v>0</v>
      </c>
      <c r="AP77" s="27" t="n">
        <f aca="false">+AD77*($F77+$G77)</f>
        <v>0</v>
      </c>
      <c r="AQ77" s="27" t="n">
        <f aca="false">+AE77*($F77+$G77)</f>
        <v>0</v>
      </c>
      <c r="AR77" s="27" t="n">
        <f aca="false">+AF77*($F77+$G77)</f>
        <v>0</v>
      </c>
      <c r="AS77" s="27" t="n">
        <f aca="false">+AG77*($F77+$G77)</f>
        <v>0</v>
      </c>
    </row>
    <row r="78" customFormat="false" ht="12.75" hidden="false" customHeight="false" outlineLevel="0" collapsed="false">
      <c r="A78" s="97" t="s">
        <v>63</v>
      </c>
      <c r="B78" s="19" t="s">
        <v>73</v>
      </c>
      <c r="C78" s="89" t="n">
        <v>24925</v>
      </c>
      <c r="D78" s="90" t="n">
        <v>100000</v>
      </c>
      <c r="E78" s="84" t="s">
        <v>127</v>
      </c>
      <c r="F78" s="91" t="n">
        <v>0.0567</v>
      </c>
      <c r="G78" s="91" t="n">
        <v>0.0033</v>
      </c>
      <c r="H78" s="85" t="n">
        <f aca="false">+G78+F78</f>
        <v>0.06</v>
      </c>
      <c r="I78" s="29" t="n">
        <v>35309</v>
      </c>
      <c r="J78" s="87" t="n">
        <v>38017</v>
      </c>
      <c r="K78" s="0" t="n">
        <v>366</v>
      </c>
      <c r="L78" s="0" t="n">
        <v>365</v>
      </c>
      <c r="M78" s="0" t="n">
        <v>365</v>
      </c>
      <c r="N78" s="0" t="n">
        <v>365</v>
      </c>
      <c r="O78" s="0" t="n">
        <v>31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W78" s="60" t="n">
        <f aca="false">+K78*$D78</f>
        <v>36600000</v>
      </c>
      <c r="X78" s="60" t="n">
        <f aca="false">+L78*$D78</f>
        <v>36500000</v>
      </c>
      <c r="Y78" s="60" t="n">
        <f aca="false">+M78*$D78</f>
        <v>36500000</v>
      </c>
      <c r="Z78" s="60" t="n">
        <f aca="false">+N78*$D78</f>
        <v>36500000</v>
      </c>
      <c r="AA78" s="60" t="n">
        <f aca="false">+O78*$D78</f>
        <v>3100000</v>
      </c>
      <c r="AB78" s="60" t="n">
        <f aca="false">+P78*$D78</f>
        <v>0</v>
      </c>
      <c r="AC78" s="60" t="n">
        <f aca="false">+Q78*$D78</f>
        <v>0</v>
      </c>
      <c r="AD78" s="60" t="n">
        <f aca="false">+R78*$D78</f>
        <v>0</v>
      </c>
      <c r="AE78" s="60" t="n">
        <f aca="false">+S78*$D78</f>
        <v>0</v>
      </c>
      <c r="AF78" s="60" t="n">
        <f aca="false">+T78*$D78</f>
        <v>0</v>
      </c>
      <c r="AG78" s="60" t="n">
        <f aca="false">+U78*$D78</f>
        <v>0</v>
      </c>
      <c r="AI78" s="27" t="n">
        <f aca="false">+W78*($F78+$G78)</f>
        <v>2196000</v>
      </c>
      <c r="AJ78" s="27" t="n">
        <f aca="false">+X78*($F78+$G78)</f>
        <v>2190000</v>
      </c>
      <c r="AK78" s="27" t="n">
        <f aca="false">+Y78*($F78+$G78)</f>
        <v>2190000</v>
      </c>
      <c r="AL78" s="27" t="n">
        <f aca="false">+Z78*($F78+$G78)</f>
        <v>2190000</v>
      </c>
      <c r="AM78" s="27" t="n">
        <f aca="false">+AA78*($F78+$G78)</f>
        <v>186000</v>
      </c>
      <c r="AN78" s="27" t="n">
        <f aca="false">+AB78*($F78+$G78)</f>
        <v>0</v>
      </c>
      <c r="AO78" s="27" t="n">
        <f aca="false">+AC78*($F78+$G78)</f>
        <v>0</v>
      </c>
      <c r="AP78" s="27" t="n">
        <f aca="false">+AD78*($F78+$G78)</f>
        <v>0</v>
      </c>
      <c r="AQ78" s="27" t="n">
        <f aca="false">+AE78*($F78+$G78)</f>
        <v>0</v>
      </c>
      <c r="AR78" s="27" t="n">
        <f aca="false">+AF78*($F78+$G78)</f>
        <v>0</v>
      </c>
      <c r="AS78" s="27" t="n">
        <f aca="false">+AG78*($F78+$G78)</f>
        <v>0</v>
      </c>
    </row>
    <row r="79" customFormat="false" ht="12.75" hidden="false" customHeight="false" outlineLevel="0" collapsed="false">
      <c r="A79" s="22" t="s">
        <v>18</v>
      </c>
      <c r="C79" s="0"/>
      <c r="D79" s="2"/>
      <c r="E79" s="3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8"/>
      <c r="R79" s="24"/>
      <c r="S79" s="24"/>
      <c r="T79" s="24"/>
      <c r="U79" s="24"/>
      <c r="V79" s="24"/>
      <c r="W79" s="24" t="n">
        <f aca="false">SUM(W61:W78)</f>
        <v>201634000</v>
      </c>
      <c r="X79" s="24" t="n">
        <f aca="false">SUM(X61:X78)</f>
        <v>237516800</v>
      </c>
      <c r="Y79" s="24" t="n">
        <f aca="false">SUM(Y61:Y78)</f>
        <v>209875000</v>
      </c>
      <c r="Z79" s="24" t="n">
        <f aca="false">SUM(Z61:Z78)</f>
        <v>193413500</v>
      </c>
      <c r="AA79" s="24" t="n">
        <f aca="false">SUM(AA61:AA78)</f>
        <v>87140000</v>
      </c>
      <c r="AB79" s="24" t="n">
        <f aca="false">SUM(AB61:AB78)</f>
        <v>83037500</v>
      </c>
      <c r="AC79" s="24" t="n">
        <f aca="false">SUM(AC61:AC78)</f>
        <v>23217500</v>
      </c>
      <c r="AD79" s="24" t="n">
        <f aca="false">SUM(AD61:AD78)</f>
        <v>21900000</v>
      </c>
      <c r="AE79" s="24" t="n">
        <f aca="false">SUM(AE61:AE78)</f>
        <v>20100000</v>
      </c>
      <c r="AF79" s="24" t="n">
        <f aca="false">SUM(AF61:AF78)</f>
        <v>0</v>
      </c>
      <c r="AG79" s="24" t="n">
        <f aca="false">SUM(AG61:AG78)</f>
        <v>0</v>
      </c>
      <c r="AH79" s="27"/>
      <c r="AI79" s="27" t="n">
        <f aca="false">SUM(AI61:AI78)</f>
        <v>9622162.5</v>
      </c>
      <c r="AJ79" s="27" t="n">
        <f aca="false">SUM(AJ61:AJ78)</f>
        <v>11699553.6</v>
      </c>
      <c r="AK79" s="27" t="n">
        <f aca="false">SUM(AK61:AK78)</f>
        <v>10773157.5</v>
      </c>
      <c r="AL79" s="27" t="n">
        <f aca="false">SUM(AL61:AL78)</f>
        <v>10133420</v>
      </c>
      <c r="AM79" s="27" t="n">
        <f aca="false">SUM(AM61:AM78)</f>
        <v>3869625</v>
      </c>
      <c r="AN79" s="27" t="n">
        <f aca="false">SUM(AN61:AN78)</f>
        <v>3627187.5</v>
      </c>
      <c r="AO79" s="27" t="n">
        <f aca="false">SUM(AO61:AO78)</f>
        <v>1155450</v>
      </c>
      <c r="AP79" s="27" t="n">
        <f aca="false">SUM(AP61:AP78)</f>
        <v>1095000</v>
      </c>
      <c r="AQ79" s="27" t="n">
        <f aca="false">SUM(AQ61:AQ78)</f>
        <v>1005000</v>
      </c>
      <c r="AR79" s="27" t="n">
        <f aca="false">SUM(AR61:AR78)</f>
        <v>0</v>
      </c>
      <c r="AS79" s="27" t="n">
        <f aca="false">SUM(AS61:AS78)</f>
        <v>0</v>
      </c>
    </row>
    <row r="80" customFormat="false" ht="12.75" hidden="false" customHeight="false" outlineLevel="0" collapsed="false">
      <c r="C80" s="0"/>
      <c r="D80" s="0"/>
      <c r="E80" s="3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8"/>
      <c r="R80" s="28"/>
    </row>
    <row r="81" customFormat="false" ht="12.75" hidden="false" customHeight="false" outlineLevel="0" collapsed="false">
      <c r="A81" s="22" t="s">
        <v>105</v>
      </c>
      <c r="C81" s="0"/>
      <c r="D81" s="59" t="n">
        <v>0.120715169136503</v>
      </c>
      <c r="E81" s="3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8"/>
      <c r="R81" s="24"/>
      <c r="S81" s="24"/>
      <c r="T81" s="24"/>
      <c r="U81" s="24"/>
      <c r="V81" s="24"/>
      <c r="W81" s="24" t="n">
        <f aca="false">SUM(W61:W78)</f>
        <v>201634000</v>
      </c>
      <c r="X81" s="24" t="n">
        <f aca="false">SUM(X61:X78)</f>
        <v>237516800</v>
      </c>
      <c r="Y81" s="24" t="n">
        <f aca="false">SUM(Y61:Y78)</f>
        <v>209875000</v>
      </c>
      <c r="Z81" s="24" t="n">
        <f aca="false">SUM(Z61:Z78)</f>
        <v>193413500</v>
      </c>
      <c r="AA81" s="24" t="n">
        <f aca="false">SUM(AA61:AA78)</f>
        <v>87140000</v>
      </c>
      <c r="AB81" s="24" t="n">
        <f aca="false">SUM(AB61:AB78)</f>
        <v>83037500</v>
      </c>
      <c r="AC81" s="24" t="n">
        <f aca="false">SUM(AC61:AC78)</f>
        <v>23217500</v>
      </c>
      <c r="AD81" s="24" t="n">
        <f aca="false">SUM(AD61:AD78)</f>
        <v>21900000</v>
      </c>
      <c r="AE81" s="24" t="n">
        <f aca="false">SUM(AE61:AE78)</f>
        <v>20100000</v>
      </c>
      <c r="AF81" s="24" t="n">
        <f aca="false">SUM(AF61:AF78)</f>
        <v>0</v>
      </c>
      <c r="AG81" s="24" t="n">
        <f aca="false">SUM(AG61:AG78)</f>
        <v>0</v>
      </c>
      <c r="AH81" s="27"/>
      <c r="AI81" s="27"/>
      <c r="AJ81" s="27"/>
      <c r="AK81" s="27"/>
      <c r="AL81" s="27"/>
      <c r="AM81" s="27"/>
      <c r="AN81" s="37"/>
      <c r="AO81" s="37"/>
    </row>
    <row r="82" customFormat="false" ht="12.75" hidden="false" customHeight="false" outlineLevel="0" collapsed="false">
      <c r="A82" s="22" t="s">
        <v>104</v>
      </c>
      <c r="C82" s="0"/>
      <c r="D82" s="2"/>
      <c r="E82" s="3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8"/>
      <c r="R82" s="24"/>
      <c r="S82" s="24"/>
      <c r="T82" s="24"/>
      <c r="U82" s="24"/>
      <c r="V82" s="24"/>
      <c r="W82" s="24" t="n">
        <f aca="false">+W81/K6</f>
        <v>550912.568306011</v>
      </c>
      <c r="X82" s="24" t="n">
        <f aca="false">+X81/L6</f>
        <v>650730.95890411</v>
      </c>
      <c r="Y82" s="24" t="n">
        <f aca="false">+Y81/M6</f>
        <v>575000</v>
      </c>
      <c r="Z82" s="24" t="n">
        <f aca="false">+Z81/N6</f>
        <v>529900</v>
      </c>
      <c r="AA82" s="24" t="n">
        <f aca="false">+AA81/O6</f>
        <v>238087.431693989</v>
      </c>
      <c r="AB82" s="24" t="n">
        <f aca="false">+AB81/P6</f>
        <v>227500</v>
      </c>
      <c r="AC82" s="24" t="n">
        <f aca="false">+AC81/Q6</f>
        <v>63609.5890410959</v>
      </c>
      <c r="AD82" s="24" t="n">
        <f aca="false">+AD81/R6</f>
        <v>60000</v>
      </c>
      <c r="AE82" s="24" t="n">
        <f aca="false">+AE81/S6</f>
        <v>54918.0327868853</v>
      </c>
      <c r="AF82" s="24" t="n">
        <f aca="false">+AF81/T6</f>
        <v>0</v>
      </c>
      <c r="AG82" s="24" t="n">
        <f aca="false">+AG81/U6</f>
        <v>0</v>
      </c>
      <c r="AH82" s="27"/>
      <c r="AI82" s="27"/>
      <c r="AJ82" s="27"/>
      <c r="AK82" s="27"/>
      <c r="AL82" s="27"/>
      <c r="AM82" s="27"/>
      <c r="AN82" s="37"/>
      <c r="AO82" s="37"/>
    </row>
    <row r="83" customFormat="false" ht="12.75" hidden="false" customHeight="false" outlineLevel="0" collapsed="false">
      <c r="A83" s="22" t="s">
        <v>108</v>
      </c>
      <c r="C83" s="0"/>
      <c r="D83" s="59" t="n">
        <v>0.0867773867080112</v>
      </c>
      <c r="E83" s="3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8"/>
      <c r="R83" s="24"/>
      <c r="S83" s="24"/>
      <c r="T83" s="24"/>
      <c r="U83" s="24"/>
      <c r="V83" s="24"/>
      <c r="W83" s="24" t="n">
        <f aca="false">705000-W82</f>
        <v>154087.431693989</v>
      </c>
      <c r="X83" s="24" t="n">
        <f aca="false">705000-X82</f>
        <v>54269.0410958905</v>
      </c>
      <c r="Y83" s="24" t="n">
        <f aca="false">705000-Y82</f>
        <v>130000</v>
      </c>
      <c r="Z83" s="24" t="n">
        <f aca="false">705000-Z82</f>
        <v>175100</v>
      </c>
      <c r="AA83" s="24" t="n">
        <f aca="false">705000-AA82</f>
        <v>466912.568306011</v>
      </c>
      <c r="AB83" s="24" t="n">
        <f aca="false">705000-AB82</f>
        <v>477500</v>
      </c>
      <c r="AC83" s="24" t="n">
        <f aca="false">705000-AC82</f>
        <v>641390.410958904</v>
      </c>
      <c r="AD83" s="24" t="n">
        <f aca="false">705000-AD82</f>
        <v>645000</v>
      </c>
      <c r="AE83" s="24" t="n">
        <f aca="false">705000-AE82</f>
        <v>650081.967213115</v>
      </c>
      <c r="AF83" s="24" t="n">
        <f aca="false">705000-AF82</f>
        <v>705000</v>
      </c>
      <c r="AG83" s="24" t="n">
        <f aca="false">705000-AG82</f>
        <v>705000</v>
      </c>
      <c r="AH83" s="27"/>
      <c r="AI83" s="27"/>
      <c r="AJ83" s="27"/>
      <c r="AK83" s="27"/>
      <c r="AL83" s="27"/>
      <c r="AM83" s="27"/>
    </row>
    <row r="84" customFormat="false" ht="12.75" hidden="false" customHeight="false" outlineLevel="0" collapsed="false">
      <c r="A84" s="22" t="s">
        <v>136</v>
      </c>
      <c r="C84" s="0"/>
      <c r="D84" s="2"/>
      <c r="E84" s="3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8"/>
      <c r="R84" s="24"/>
      <c r="S84" s="24"/>
      <c r="T84" s="24"/>
      <c r="U84" s="24"/>
      <c r="V84" s="24"/>
      <c r="W84" s="24"/>
      <c r="X84" s="24"/>
      <c r="Y84" s="24"/>
      <c r="Z84" s="24"/>
      <c r="AA84" s="24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customFormat="false" ht="12.75" hidden="false" customHeight="false" outlineLevel="0" collapsed="false">
      <c r="A85" s="22"/>
      <c r="C85" s="0"/>
      <c r="D85" s="2"/>
      <c r="E85" s="3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8"/>
      <c r="R85" s="24"/>
      <c r="S85" s="24"/>
      <c r="T85" s="24"/>
      <c r="U85" s="24"/>
      <c r="V85" s="24"/>
      <c r="W85" s="24"/>
      <c r="X85" s="24"/>
      <c r="Y85" s="24"/>
      <c r="Z85" s="24"/>
      <c r="AA85" s="24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customFormat="false" ht="12.75" hidden="false" customHeight="false" outlineLevel="0" collapsed="false">
      <c r="A86" s="22"/>
      <c r="C86" s="0"/>
      <c r="D86" s="2"/>
      <c r="E86" s="3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8"/>
      <c r="R86" s="24"/>
      <c r="S86" s="24"/>
      <c r="T86" s="24"/>
      <c r="U86" s="24"/>
      <c r="V86" s="24"/>
      <c r="W86" s="24"/>
      <c r="X86" s="24"/>
      <c r="Y86" s="24"/>
      <c r="Z86" s="24"/>
      <c r="AA86" s="24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customFormat="false" ht="12.75" hidden="false" customHeight="false" outlineLevel="0" collapsed="false">
      <c r="K87" s="9" t="s">
        <v>17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8"/>
      <c r="W87" s="11" t="s">
        <v>19</v>
      </c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I87" s="11" t="s">
        <v>20</v>
      </c>
      <c r="AJ87" s="11"/>
      <c r="AK87" s="11"/>
      <c r="AL87" s="11"/>
      <c r="AM87" s="11"/>
      <c r="AN87" s="11"/>
      <c r="AO87" s="11"/>
      <c r="AP87" s="11"/>
      <c r="AQ87" s="11"/>
      <c r="AR87" s="11"/>
      <c r="AS87" s="11"/>
    </row>
    <row r="88" customFormat="false" ht="13.5" hidden="false" customHeight="false" outlineLevel="0" collapsed="false">
      <c r="A88" s="77" t="s">
        <v>21</v>
      </c>
      <c r="B88" s="77" t="s">
        <v>22</v>
      </c>
      <c r="C88" s="78" t="s">
        <v>23</v>
      </c>
      <c r="D88" s="79" t="s">
        <v>121</v>
      </c>
      <c r="E88" s="78" t="s">
        <v>122</v>
      </c>
      <c r="F88" s="80" t="s">
        <v>123</v>
      </c>
      <c r="G88" s="80" t="s">
        <v>124</v>
      </c>
      <c r="H88" s="81" t="s">
        <v>125</v>
      </c>
      <c r="I88" s="82" t="s">
        <v>126</v>
      </c>
      <c r="J88" s="17" t="s">
        <v>16</v>
      </c>
      <c r="K88" s="13" t="n">
        <v>2000</v>
      </c>
      <c r="L88" s="13" t="n">
        <v>2001</v>
      </c>
      <c r="M88" s="13" t="n">
        <v>2002</v>
      </c>
      <c r="N88" s="13" t="n">
        <v>2003</v>
      </c>
      <c r="O88" s="13" t="n">
        <v>2004</v>
      </c>
      <c r="P88" s="13" t="n">
        <v>2005</v>
      </c>
      <c r="Q88" s="13" t="n">
        <v>2006</v>
      </c>
      <c r="R88" s="13" t="n">
        <v>2007</v>
      </c>
      <c r="S88" s="13" t="n">
        <v>2008</v>
      </c>
      <c r="T88" s="13" t="n">
        <v>2009</v>
      </c>
      <c r="U88" s="13" t="n">
        <v>2010</v>
      </c>
      <c r="V88" s="8"/>
      <c r="W88" s="16" t="n">
        <v>2000</v>
      </c>
      <c r="X88" s="17" t="n">
        <v>2001</v>
      </c>
      <c r="Y88" s="17" t="n">
        <v>2002</v>
      </c>
      <c r="Z88" s="17" t="n">
        <v>2003</v>
      </c>
      <c r="AA88" s="17" t="n">
        <v>2004</v>
      </c>
      <c r="AB88" s="17" t="n">
        <v>2005</v>
      </c>
      <c r="AC88" s="17" t="n">
        <v>2006</v>
      </c>
      <c r="AD88" s="17" t="n">
        <v>2007</v>
      </c>
      <c r="AE88" s="17" t="n">
        <v>2008</v>
      </c>
      <c r="AF88" s="17" t="n">
        <v>2009</v>
      </c>
      <c r="AG88" s="18" t="n">
        <v>2010</v>
      </c>
      <c r="AI88" s="16" t="n">
        <v>2000</v>
      </c>
      <c r="AJ88" s="17" t="n">
        <v>2001</v>
      </c>
      <c r="AK88" s="17" t="n">
        <v>2002</v>
      </c>
      <c r="AL88" s="17" t="n">
        <v>2003</v>
      </c>
      <c r="AM88" s="17" t="n">
        <v>2004</v>
      </c>
      <c r="AN88" s="17" t="n">
        <v>2005</v>
      </c>
      <c r="AO88" s="17" t="n">
        <v>2006</v>
      </c>
      <c r="AP88" s="17" t="n">
        <v>2007</v>
      </c>
      <c r="AQ88" s="17" t="n">
        <v>2008</v>
      </c>
      <c r="AR88" s="17" t="n">
        <v>2009</v>
      </c>
      <c r="AS88" s="18" t="n">
        <v>2010</v>
      </c>
    </row>
    <row r="89" customFormat="false" ht="12.75" hidden="false" customHeight="false" outlineLevel="0" collapsed="false">
      <c r="A89" s="102" t="s">
        <v>13</v>
      </c>
      <c r="B89" s="50" t="s">
        <v>75</v>
      </c>
      <c r="C89" s="61" t="n">
        <v>24735</v>
      </c>
      <c r="D89" s="62" t="n">
        <v>4000</v>
      </c>
      <c r="E89" s="61" t="s">
        <v>133</v>
      </c>
      <c r="F89" s="63" t="n">
        <v>0.102</v>
      </c>
      <c r="G89" s="63" t="n">
        <v>0.0011</v>
      </c>
      <c r="H89" s="85" t="n">
        <f aca="false">+G89+F89</f>
        <v>0.1031</v>
      </c>
      <c r="I89" s="86" t="n">
        <v>36525</v>
      </c>
      <c r="J89" s="87" t="n">
        <v>36616</v>
      </c>
      <c r="K89" s="0" t="n">
        <v>91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W89" s="60" t="n">
        <f aca="false">+K89*$D89</f>
        <v>364000</v>
      </c>
      <c r="X89" s="60" t="n">
        <f aca="false">+L89*$D89</f>
        <v>0</v>
      </c>
      <c r="Y89" s="60" t="n">
        <f aca="false">+M89*$D89</f>
        <v>0</v>
      </c>
      <c r="Z89" s="60" t="n">
        <f aca="false">+N89*$D89</f>
        <v>0</v>
      </c>
      <c r="AA89" s="60" t="n">
        <f aca="false">+O89*$D89</f>
        <v>0</v>
      </c>
      <c r="AB89" s="60" t="n">
        <f aca="false">+P89*$D89</f>
        <v>0</v>
      </c>
      <c r="AC89" s="60" t="n">
        <f aca="false">+Q89*$D89</f>
        <v>0</v>
      </c>
      <c r="AD89" s="60" t="n">
        <f aca="false">+R89*$D89</f>
        <v>0</v>
      </c>
      <c r="AE89" s="60" t="n">
        <f aca="false">+S89*$D89</f>
        <v>0</v>
      </c>
      <c r="AF89" s="60" t="n">
        <f aca="false">+T89*$D89</f>
        <v>0</v>
      </c>
      <c r="AG89" s="60" t="n">
        <f aca="false">+U89*$D89</f>
        <v>0</v>
      </c>
      <c r="AI89" s="27" t="n">
        <f aca="false">+W89*($F89+$G89)</f>
        <v>37528.4</v>
      </c>
      <c r="AJ89" s="27" t="n">
        <f aca="false">+X89*($F89+$G89)</f>
        <v>0</v>
      </c>
      <c r="AK89" s="27" t="n">
        <f aca="false">+Y89*($F89+$G89)</f>
        <v>0</v>
      </c>
      <c r="AL89" s="27" t="n">
        <f aca="false">+Z89*($F89+$G89)</f>
        <v>0</v>
      </c>
      <c r="AM89" s="27" t="n">
        <f aca="false">+AA89*($F89+$G89)</f>
        <v>0</v>
      </c>
      <c r="AN89" s="27" t="n">
        <f aca="false">+AB89*($F89+$G89)</f>
        <v>0</v>
      </c>
      <c r="AO89" s="27" t="n">
        <f aca="false">+AC89*($F89+$G89)</f>
        <v>0</v>
      </c>
      <c r="AP89" s="27" t="n">
        <f aca="false">+AD89*($F89+$G89)</f>
        <v>0</v>
      </c>
      <c r="AQ89" s="27" t="n">
        <f aca="false">+AE89*($F89+$G89)</f>
        <v>0</v>
      </c>
      <c r="AR89" s="27" t="n">
        <f aca="false">+AF89*($F89+$G89)</f>
        <v>0</v>
      </c>
      <c r="AS89" s="27" t="n">
        <f aca="false">+AG89*($F89+$G89)</f>
        <v>0</v>
      </c>
    </row>
    <row r="90" customFormat="false" ht="12.75" hidden="false" customHeight="false" outlineLevel="0" collapsed="false">
      <c r="A90" s="101" t="s">
        <v>13</v>
      </c>
      <c r="B90" s="40" t="s">
        <v>65</v>
      </c>
      <c r="C90" s="61" t="n">
        <v>25071</v>
      </c>
      <c r="D90" s="62" t="n">
        <v>90000</v>
      </c>
      <c r="E90" s="84" t="s">
        <v>127</v>
      </c>
      <c r="F90" s="63" t="n">
        <v>0.102</v>
      </c>
      <c r="G90" s="63" t="n">
        <v>0.0011</v>
      </c>
      <c r="H90" s="85" t="n">
        <f aca="false">+G90+F90</f>
        <v>0.1031</v>
      </c>
      <c r="I90" s="86" t="n">
        <v>36525</v>
      </c>
      <c r="J90" s="87" t="n">
        <v>39782</v>
      </c>
      <c r="K90" s="0" t="n">
        <v>366</v>
      </c>
      <c r="L90" s="0" t="n">
        <v>365</v>
      </c>
      <c r="M90" s="0" t="n">
        <v>365</v>
      </c>
      <c r="N90" s="0" t="n">
        <v>365</v>
      </c>
      <c r="O90" s="0" t="n">
        <v>366</v>
      </c>
      <c r="P90" s="0" t="n">
        <v>365</v>
      </c>
      <c r="Q90" s="0" t="n">
        <v>365</v>
      </c>
      <c r="R90" s="0" t="n">
        <v>335</v>
      </c>
      <c r="S90" s="0" t="n">
        <v>0</v>
      </c>
      <c r="T90" s="0" t="n">
        <v>0</v>
      </c>
      <c r="U90" s="0" t="n">
        <v>0</v>
      </c>
      <c r="W90" s="60" t="n">
        <f aca="false">+K90*$D90</f>
        <v>32940000</v>
      </c>
      <c r="X90" s="60" t="n">
        <f aca="false">+L90*$D90</f>
        <v>32850000</v>
      </c>
      <c r="Y90" s="60" t="n">
        <f aca="false">+M90*$D90</f>
        <v>32850000</v>
      </c>
      <c r="Z90" s="60" t="n">
        <f aca="false">+N90*$D90</f>
        <v>32850000</v>
      </c>
      <c r="AA90" s="60" t="n">
        <f aca="false">+O90*$D90</f>
        <v>32940000</v>
      </c>
      <c r="AB90" s="60" t="n">
        <f aca="false">+P90*$D90</f>
        <v>32850000</v>
      </c>
      <c r="AC90" s="60" t="n">
        <f aca="false">+Q90*$D90</f>
        <v>32850000</v>
      </c>
      <c r="AD90" s="60" t="n">
        <f aca="false">+R90*$D90</f>
        <v>30150000</v>
      </c>
      <c r="AE90" s="60" t="n">
        <f aca="false">+S90*$D90</f>
        <v>0</v>
      </c>
      <c r="AF90" s="60" t="n">
        <f aca="false">+T90*$D90</f>
        <v>0</v>
      </c>
      <c r="AG90" s="60" t="n">
        <f aca="false">+U90*$D90</f>
        <v>0</v>
      </c>
      <c r="AI90" s="27" t="n">
        <f aca="false">+W90*($F90+$G90)</f>
        <v>3396114</v>
      </c>
      <c r="AJ90" s="27" t="n">
        <f aca="false">+X90*($F90+$G90)</f>
        <v>3386835</v>
      </c>
      <c r="AK90" s="27" t="n">
        <f aca="false">+Y90*($F90+$G90)</f>
        <v>3386835</v>
      </c>
      <c r="AL90" s="27" t="n">
        <f aca="false">+Z90*($F90+$G90)</f>
        <v>3386835</v>
      </c>
      <c r="AM90" s="27" t="n">
        <f aca="false">+AA90*($F90+$G90)</f>
        <v>3396114</v>
      </c>
      <c r="AN90" s="27" t="n">
        <f aca="false">+AB90*($F90+$G90)</f>
        <v>3386835</v>
      </c>
      <c r="AO90" s="27" t="n">
        <f aca="false">+AC90*($F90+$G90)</f>
        <v>3386835</v>
      </c>
      <c r="AP90" s="27" t="n">
        <f aca="false">+AD90*($F90+$G90)</f>
        <v>3108465</v>
      </c>
      <c r="AQ90" s="27" t="n">
        <f aca="false">+AE90*($F90+$G90)</f>
        <v>0</v>
      </c>
      <c r="AR90" s="27" t="n">
        <f aca="false">+AF90*($F90+$G90)</f>
        <v>0</v>
      </c>
      <c r="AS90" s="27" t="n">
        <f aca="false">+AG90*($F90+$G90)</f>
        <v>0</v>
      </c>
    </row>
    <row r="91" customFormat="false" ht="12.75" hidden="false" customHeight="false" outlineLevel="0" collapsed="false">
      <c r="A91" s="103" t="s">
        <v>13</v>
      </c>
      <c r="B91" s="40" t="s">
        <v>65</v>
      </c>
      <c r="C91" s="61" t="n">
        <v>25700</v>
      </c>
      <c r="D91" s="62" t="n">
        <v>25000</v>
      </c>
      <c r="E91" s="84" t="s">
        <v>127</v>
      </c>
      <c r="F91" s="63" t="n">
        <v>0.102</v>
      </c>
      <c r="G91" s="63" t="n">
        <v>0.0011</v>
      </c>
      <c r="H91" s="85" t="n">
        <f aca="false">+G91+F91</f>
        <v>0.1031</v>
      </c>
      <c r="I91" s="86" t="n">
        <v>36525</v>
      </c>
      <c r="J91" s="87" t="n">
        <v>37621</v>
      </c>
      <c r="K91" s="0" t="n">
        <v>366</v>
      </c>
      <c r="L91" s="0" t="n">
        <v>365</v>
      </c>
      <c r="M91" s="0" t="n">
        <v>365</v>
      </c>
      <c r="N91" s="0" t="n">
        <v>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W91" s="60" t="n">
        <f aca="false">+K91*$D91</f>
        <v>9150000</v>
      </c>
      <c r="X91" s="60" t="n">
        <f aca="false">+L91*$D91</f>
        <v>9125000</v>
      </c>
      <c r="Y91" s="60" t="n">
        <f aca="false">+M91*$D91</f>
        <v>9125000</v>
      </c>
      <c r="Z91" s="60" t="n">
        <f aca="false">+N91*$D91</f>
        <v>0</v>
      </c>
      <c r="AA91" s="60" t="n">
        <f aca="false">+O91*$D91</f>
        <v>0</v>
      </c>
      <c r="AB91" s="60" t="n">
        <f aca="false">+P91*$D91</f>
        <v>0</v>
      </c>
      <c r="AC91" s="60" t="n">
        <f aca="false">+Q91*$D91</f>
        <v>0</v>
      </c>
      <c r="AD91" s="60" t="n">
        <f aca="false">+R91*$D91</f>
        <v>0</v>
      </c>
      <c r="AE91" s="60" t="n">
        <f aca="false">+S91*$D91</f>
        <v>0</v>
      </c>
      <c r="AF91" s="60" t="n">
        <f aca="false">+T91*$D91</f>
        <v>0</v>
      </c>
      <c r="AG91" s="60" t="n">
        <f aca="false">+U91*$D91</f>
        <v>0</v>
      </c>
      <c r="AI91" s="27" t="n">
        <f aca="false">+W91*($F91+$G91)</f>
        <v>943365</v>
      </c>
      <c r="AJ91" s="27" t="n">
        <f aca="false">+X91*($F91+$G91)</f>
        <v>940787.5</v>
      </c>
      <c r="AK91" s="27" t="n">
        <f aca="false">+Y91*($F91+$G91)</f>
        <v>940787.5</v>
      </c>
      <c r="AL91" s="27" t="n">
        <f aca="false">+Z91*($F91+$G91)</f>
        <v>0</v>
      </c>
      <c r="AM91" s="27" t="n">
        <f aca="false">+AA91*($F91+$G91)</f>
        <v>0</v>
      </c>
      <c r="AN91" s="27" t="n">
        <f aca="false">+AB91*($F91+$G91)</f>
        <v>0</v>
      </c>
      <c r="AO91" s="27" t="n">
        <f aca="false">+AC91*($F91+$G91)</f>
        <v>0</v>
      </c>
      <c r="AP91" s="27" t="n">
        <f aca="false">+AD91*($F91+$G91)</f>
        <v>0</v>
      </c>
      <c r="AQ91" s="27" t="n">
        <f aca="false">+AE91*($F91+$G91)</f>
        <v>0</v>
      </c>
      <c r="AR91" s="27" t="n">
        <f aca="false">+AF91*($F91+$G91)</f>
        <v>0</v>
      </c>
      <c r="AS91" s="27" t="n">
        <f aca="false">+AG91*($F91+$G91)</f>
        <v>0</v>
      </c>
    </row>
    <row r="92" customFormat="false" ht="12.75" hidden="false" customHeight="false" outlineLevel="0" collapsed="false">
      <c r="A92" s="92" t="s">
        <v>13</v>
      </c>
      <c r="B92" s="22" t="s">
        <v>33</v>
      </c>
      <c r="C92" s="61" t="n">
        <v>25025</v>
      </c>
      <c r="D92" s="62" t="n">
        <v>80000</v>
      </c>
      <c r="E92" s="84" t="s">
        <v>127</v>
      </c>
      <c r="F92" s="63" t="n">
        <v>0.102</v>
      </c>
      <c r="G92" s="63" t="n">
        <v>0.0011</v>
      </c>
      <c r="H92" s="85" t="n">
        <f aca="false">+G92+F92</f>
        <v>0.1031</v>
      </c>
      <c r="I92" s="86" t="n">
        <v>36525</v>
      </c>
      <c r="J92" s="87" t="n">
        <v>39051</v>
      </c>
      <c r="K92" s="0" t="n">
        <v>366</v>
      </c>
      <c r="L92" s="0" t="n">
        <v>365</v>
      </c>
      <c r="M92" s="0" t="n">
        <v>365</v>
      </c>
      <c r="N92" s="0" t="n">
        <v>365</v>
      </c>
      <c r="O92" s="0" t="n">
        <v>366</v>
      </c>
      <c r="P92" s="0" t="n">
        <v>365</v>
      </c>
      <c r="Q92" s="0" t="n">
        <v>334</v>
      </c>
      <c r="R92" s="0" t="n">
        <v>0</v>
      </c>
      <c r="S92" s="0" t="n">
        <v>0</v>
      </c>
      <c r="T92" s="0" t="n">
        <v>0</v>
      </c>
      <c r="U92" s="0" t="n">
        <v>0</v>
      </c>
      <c r="W92" s="60" t="n">
        <f aca="false">+K92*$D92</f>
        <v>29280000</v>
      </c>
      <c r="X92" s="60" t="n">
        <f aca="false">+L92*$D92</f>
        <v>29200000</v>
      </c>
      <c r="Y92" s="60" t="n">
        <f aca="false">+M92*$D92</f>
        <v>29200000</v>
      </c>
      <c r="Z92" s="60" t="n">
        <f aca="false">+N92*$D92</f>
        <v>29200000</v>
      </c>
      <c r="AA92" s="60" t="n">
        <f aca="false">+O92*$D92</f>
        <v>29280000</v>
      </c>
      <c r="AB92" s="60" t="n">
        <f aca="false">+P92*$D92</f>
        <v>29200000</v>
      </c>
      <c r="AC92" s="60" t="n">
        <f aca="false">+Q92*$D92</f>
        <v>26720000</v>
      </c>
      <c r="AD92" s="60" t="n">
        <f aca="false">+R92*$D92</f>
        <v>0</v>
      </c>
      <c r="AE92" s="60" t="n">
        <f aca="false">+S92*$D92</f>
        <v>0</v>
      </c>
      <c r="AF92" s="60" t="n">
        <f aca="false">+T92*$D92</f>
        <v>0</v>
      </c>
      <c r="AG92" s="60" t="n">
        <f aca="false">+U92*$D92</f>
        <v>0</v>
      </c>
      <c r="AI92" s="27" t="n">
        <f aca="false">+W92*($F92+$G92)</f>
        <v>3018768</v>
      </c>
      <c r="AJ92" s="27" t="n">
        <f aca="false">+X92*($F92+$G92)</f>
        <v>3010520</v>
      </c>
      <c r="AK92" s="27" t="n">
        <f aca="false">+Y92*($F92+$G92)</f>
        <v>3010520</v>
      </c>
      <c r="AL92" s="27" t="n">
        <f aca="false">+Z92*($F92+$G92)</f>
        <v>3010520</v>
      </c>
      <c r="AM92" s="27" t="n">
        <f aca="false">+AA92*($F92+$G92)</f>
        <v>3018768</v>
      </c>
      <c r="AN92" s="27" t="n">
        <f aca="false">+AB92*($F92+$G92)</f>
        <v>3010520</v>
      </c>
      <c r="AO92" s="27" t="n">
        <f aca="false">+AC92*($F92+$G92)</f>
        <v>2754832</v>
      </c>
      <c r="AP92" s="27" t="n">
        <f aca="false">+AD92*($F92+$G92)</f>
        <v>0</v>
      </c>
      <c r="AQ92" s="27" t="n">
        <f aca="false">+AE92*($F92+$G92)</f>
        <v>0</v>
      </c>
      <c r="AR92" s="27" t="n">
        <f aca="false">+AF92*($F92+$G92)</f>
        <v>0</v>
      </c>
      <c r="AS92" s="27" t="n">
        <f aca="false">+AG92*($F92+$G92)</f>
        <v>0</v>
      </c>
    </row>
    <row r="93" customFormat="false" ht="12.75" hidden="false" customHeight="false" outlineLevel="0" collapsed="false">
      <c r="A93" s="102" t="s">
        <v>13</v>
      </c>
      <c r="B93" s="50" t="s">
        <v>76</v>
      </c>
      <c r="C93" s="61" t="n">
        <v>24216</v>
      </c>
      <c r="D93" s="62" t="n">
        <v>55000</v>
      </c>
      <c r="E93" s="84" t="s">
        <v>127</v>
      </c>
      <c r="F93" s="63" t="n">
        <v>0.102</v>
      </c>
      <c r="G93" s="63" t="n">
        <v>0.0011</v>
      </c>
      <c r="H93" s="85" t="n">
        <f aca="false">+G93+F93</f>
        <v>0.1031</v>
      </c>
      <c r="I93" s="86" t="n">
        <v>36525</v>
      </c>
      <c r="J93" s="87" t="n">
        <v>36585</v>
      </c>
      <c r="K93" s="0" t="n">
        <v>60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W93" s="60" t="n">
        <f aca="false">+K93*$D93</f>
        <v>3300000</v>
      </c>
      <c r="X93" s="60" t="n">
        <f aca="false">+L93*$D93</f>
        <v>0</v>
      </c>
      <c r="Y93" s="60" t="n">
        <f aca="false">+M93*$D93</f>
        <v>0</v>
      </c>
      <c r="Z93" s="60" t="n">
        <f aca="false">+N93*$D93</f>
        <v>0</v>
      </c>
      <c r="AA93" s="60" t="n">
        <f aca="false">+O93*$D93</f>
        <v>0</v>
      </c>
      <c r="AB93" s="60" t="n">
        <f aca="false">+P93*$D93</f>
        <v>0</v>
      </c>
      <c r="AC93" s="60" t="n">
        <f aca="false">+Q93*$D93</f>
        <v>0</v>
      </c>
      <c r="AD93" s="60" t="n">
        <f aca="false">+R93*$D93</f>
        <v>0</v>
      </c>
      <c r="AE93" s="60" t="n">
        <f aca="false">+S93*$D93</f>
        <v>0</v>
      </c>
      <c r="AF93" s="60" t="n">
        <f aca="false">+T93*$D93</f>
        <v>0</v>
      </c>
      <c r="AG93" s="60" t="n">
        <f aca="false">+U93*$D93</f>
        <v>0</v>
      </c>
      <c r="AI93" s="27" t="n">
        <f aca="false">+W93*($F93+$G93)</f>
        <v>340230</v>
      </c>
      <c r="AJ93" s="27" t="n">
        <f aca="false">+X93*($F93+$G93)</f>
        <v>0</v>
      </c>
      <c r="AK93" s="27" t="n">
        <f aca="false">+Y93*($F93+$G93)</f>
        <v>0</v>
      </c>
      <c r="AL93" s="27" t="n">
        <f aca="false">+Z93*($F93+$G93)</f>
        <v>0</v>
      </c>
      <c r="AM93" s="27" t="n">
        <f aca="false">+AA93*($F93+$G93)</f>
        <v>0</v>
      </c>
      <c r="AN93" s="27" t="n">
        <f aca="false">+AB93*($F93+$G93)</f>
        <v>0</v>
      </c>
      <c r="AO93" s="27" t="n">
        <f aca="false">+AC93*($F93+$G93)</f>
        <v>0</v>
      </c>
      <c r="AP93" s="27" t="n">
        <f aca="false">+AD93*($F93+$G93)</f>
        <v>0</v>
      </c>
      <c r="AQ93" s="27" t="n">
        <f aca="false">+AE93*($F93+$G93)</f>
        <v>0</v>
      </c>
      <c r="AR93" s="27" t="n">
        <f aca="false">+AF93*($F93+$G93)</f>
        <v>0</v>
      </c>
      <c r="AS93" s="27" t="n">
        <f aca="false">+AG93*($F93+$G93)</f>
        <v>0</v>
      </c>
    </row>
    <row r="94" customFormat="false" ht="12.75" hidden="false" customHeight="false" outlineLevel="0" collapsed="false">
      <c r="A94" s="103" t="s">
        <v>13</v>
      </c>
      <c r="B94" s="22" t="s">
        <v>77</v>
      </c>
      <c r="C94" s="61" t="n">
        <v>27458</v>
      </c>
      <c r="D94" s="62" t="n">
        <v>14000</v>
      </c>
      <c r="E94" s="61" t="s">
        <v>132</v>
      </c>
      <c r="F94" s="63" t="n">
        <v>0.102</v>
      </c>
      <c r="G94" s="63" t="n">
        <v>0.0011</v>
      </c>
      <c r="H94" s="85" t="n">
        <f aca="false">+G94+F94</f>
        <v>0.1031</v>
      </c>
      <c r="I94" s="86" t="n">
        <v>37621</v>
      </c>
      <c r="J94" s="87" t="n">
        <v>38717</v>
      </c>
      <c r="K94" s="0" t="n">
        <v>0</v>
      </c>
      <c r="L94" s="0" t="n">
        <v>0</v>
      </c>
      <c r="M94" s="0" t="n">
        <v>0</v>
      </c>
      <c r="N94" s="0" t="n">
        <v>365</v>
      </c>
      <c r="O94" s="0" t="n">
        <v>366</v>
      </c>
      <c r="P94" s="0" t="n">
        <v>365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W94" s="60" t="n">
        <f aca="false">+K94*$D94</f>
        <v>0</v>
      </c>
      <c r="X94" s="60" t="n">
        <f aca="false">+L94*$D94</f>
        <v>0</v>
      </c>
      <c r="Y94" s="60" t="n">
        <f aca="false">+M94*$D94</f>
        <v>0</v>
      </c>
      <c r="Z94" s="60" t="n">
        <f aca="false">+N94*$D94</f>
        <v>5110000</v>
      </c>
      <c r="AA94" s="60" t="n">
        <f aca="false">+O94*$D94</f>
        <v>5124000</v>
      </c>
      <c r="AB94" s="60" t="n">
        <f aca="false">+P94*$D94</f>
        <v>5110000</v>
      </c>
      <c r="AC94" s="60" t="n">
        <f aca="false">+Q94*$D94</f>
        <v>0</v>
      </c>
      <c r="AD94" s="60" t="n">
        <f aca="false">+R94*$D94</f>
        <v>0</v>
      </c>
      <c r="AE94" s="60" t="n">
        <f aca="false">+S94*$D94</f>
        <v>0</v>
      </c>
      <c r="AF94" s="60" t="n">
        <f aca="false">+T94*$D94</f>
        <v>0</v>
      </c>
      <c r="AG94" s="60" t="n">
        <f aca="false">+U94*$D94</f>
        <v>0</v>
      </c>
      <c r="AI94" s="27" t="n">
        <f aca="false">+W94*($F94+$G94)</f>
        <v>0</v>
      </c>
      <c r="AJ94" s="27" t="n">
        <f aca="false">+X94*($F94+$G94)</f>
        <v>0</v>
      </c>
      <c r="AK94" s="27" t="n">
        <f aca="false">+Y94*($F94+$G94)</f>
        <v>0</v>
      </c>
      <c r="AL94" s="27" t="n">
        <f aca="false">+Z94*($F94+$G94)</f>
        <v>526841</v>
      </c>
      <c r="AM94" s="27" t="n">
        <f aca="false">+AA94*($F94+$G94)</f>
        <v>528284.4</v>
      </c>
      <c r="AN94" s="27" t="n">
        <f aca="false">+AB94*($F94+$G94)</f>
        <v>526841</v>
      </c>
      <c r="AO94" s="27" t="n">
        <f aca="false">+AC94*($F94+$G94)</f>
        <v>0</v>
      </c>
      <c r="AP94" s="27" t="n">
        <f aca="false">+AD94*($F94+$G94)</f>
        <v>0</v>
      </c>
      <c r="AQ94" s="27" t="n">
        <f aca="false">+AE94*($F94+$G94)</f>
        <v>0</v>
      </c>
      <c r="AR94" s="27" t="n">
        <f aca="false">+AF94*($F94+$G94)</f>
        <v>0</v>
      </c>
      <c r="AS94" s="27" t="n">
        <f aca="false">+AG94*($F94+$G94)</f>
        <v>0</v>
      </c>
    </row>
    <row r="95" customFormat="false" ht="12.75" hidden="false" customHeight="false" outlineLevel="0" collapsed="false">
      <c r="A95" s="102" t="s">
        <v>13</v>
      </c>
      <c r="B95" s="22" t="s">
        <v>78</v>
      </c>
      <c r="C95" s="61" t="n">
        <v>26519</v>
      </c>
      <c r="D95" s="62" t="n">
        <v>25000</v>
      </c>
      <c r="E95" s="61" t="s">
        <v>133</v>
      </c>
      <c r="F95" s="63" t="n">
        <v>0.1052</v>
      </c>
      <c r="G95" s="63" t="n">
        <v>0.0011</v>
      </c>
      <c r="H95" s="85" t="n">
        <f aca="false">+G95+F95</f>
        <v>0.1063</v>
      </c>
      <c r="I95" s="86" t="n">
        <v>36525</v>
      </c>
      <c r="J95" s="87" t="n">
        <v>39141</v>
      </c>
      <c r="K95" s="0" t="n">
        <v>366</v>
      </c>
      <c r="L95" s="0" t="n">
        <v>365</v>
      </c>
      <c r="M95" s="0" t="n">
        <v>365</v>
      </c>
      <c r="N95" s="0" t="n">
        <v>365</v>
      </c>
      <c r="O95" s="0" t="n">
        <v>366</v>
      </c>
      <c r="P95" s="0" t="n">
        <v>365</v>
      </c>
      <c r="Q95" s="0" t="n">
        <v>365</v>
      </c>
      <c r="R95" s="0" t="n">
        <v>59</v>
      </c>
      <c r="S95" s="0" t="n">
        <v>0</v>
      </c>
      <c r="T95" s="0" t="n">
        <v>0</v>
      </c>
      <c r="U95" s="0" t="n">
        <v>0</v>
      </c>
      <c r="W95" s="60" t="n">
        <f aca="false">+K95*$D95</f>
        <v>9150000</v>
      </c>
      <c r="X95" s="60" t="n">
        <f aca="false">+L95*$D95</f>
        <v>9125000</v>
      </c>
      <c r="Y95" s="60" t="n">
        <f aca="false">+M95*$D95</f>
        <v>9125000</v>
      </c>
      <c r="Z95" s="60" t="n">
        <f aca="false">+N95*$D95</f>
        <v>9125000</v>
      </c>
      <c r="AA95" s="60" t="n">
        <f aca="false">+O95*$D95</f>
        <v>9150000</v>
      </c>
      <c r="AB95" s="60" t="n">
        <f aca="false">+P95*$D95</f>
        <v>9125000</v>
      </c>
      <c r="AC95" s="60" t="n">
        <f aca="false">+Q95*$D95</f>
        <v>9125000</v>
      </c>
      <c r="AD95" s="60" t="n">
        <f aca="false">+R95*$D95</f>
        <v>1475000</v>
      </c>
      <c r="AE95" s="60" t="n">
        <f aca="false">+S95*$D95</f>
        <v>0</v>
      </c>
      <c r="AF95" s="60" t="n">
        <f aca="false">+T95*$D95</f>
        <v>0</v>
      </c>
      <c r="AG95" s="60" t="n">
        <f aca="false">+U95*$D95</f>
        <v>0</v>
      </c>
      <c r="AI95" s="27" t="n">
        <f aca="false">+W95*($F95+$G95)</f>
        <v>972645</v>
      </c>
      <c r="AJ95" s="27" t="n">
        <f aca="false">+X95*($F95+$G95)</f>
        <v>969987.5</v>
      </c>
      <c r="AK95" s="27" t="n">
        <f aca="false">+Y95*($F95+$G95)</f>
        <v>969987.5</v>
      </c>
      <c r="AL95" s="27" t="n">
        <f aca="false">+Z95*($F95+$G95)</f>
        <v>969987.5</v>
      </c>
      <c r="AM95" s="27" t="n">
        <f aca="false">+AA95*($F95+$G95)</f>
        <v>972645</v>
      </c>
      <c r="AN95" s="27" t="n">
        <f aca="false">+AB95*($F95+$G95)</f>
        <v>969987.5</v>
      </c>
      <c r="AO95" s="27" t="n">
        <f aca="false">+AC95*($F95+$G95)</f>
        <v>969987.5</v>
      </c>
      <c r="AP95" s="27" t="n">
        <f aca="false">+AD95*($F95+$G95)</f>
        <v>156792.5</v>
      </c>
      <c r="AQ95" s="27" t="n">
        <f aca="false">+AE95*($F95+$G95)</f>
        <v>0</v>
      </c>
      <c r="AR95" s="27" t="n">
        <f aca="false">+AF95*($F95+$G95)</f>
        <v>0</v>
      </c>
      <c r="AS95" s="27" t="n">
        <f aca="false">+AG95*($F95+$G95)</f>
        <v>0</v>
      </c>
    </row>
    <row r="96" customFormat="false" ht="12.75" hidden="false" customHeight="false" outlineLevel="0" collapsed="false">
      <c r="A96" s="103" t="s">
        <v>13</v>
      </c>
      <c r="B96" s="22" t="s">
        <v>79</v>
      </c>
      <c r="C96" s="61" t="n">
        <v>27566</v>
      </c>
      <c r="D96" s="62" t="n">
        <v>20000</v>
      </c>
      <c r="E96" s="61" t="s">
        <v>128</v>
      </c>
      <c r="F96" s="63" t="n">
        <v>0.102</v>
      </c>
      <c r="G96" s="63" t="n">
        <v>0.0011</v>
      </c>
      <c r="H96" s="85" t="n">
        <f aca="false">+G96+F96</f>
        <v>0.1031</v>
      </c>
      <c r="I96" s="86" t="n">
        <v>37316</v>
      </c>
      <c r="J96" s="87" t="n">
        <v>39172</v>
      </c>
      <c r="K96" s="0" t="n">
        <v>0</v>
      </c>
      <c r="L96" s="0" t="n">
        <v>0</v>
      </c>
      <c r="M96" s="0" t="n">
        <v>306</v>
      </c>
      <c r="N96" s="0" t="n">
        <v>365</v>
      </c>
      <c r="O96" s="0" t="n">
        <v>366</v>
      </c>
      <c r="P96" s="0" t="n">
        <v>365</v>
      </c>
      <c r="Q96" s="0" t="n">
        <v>365</v>
      </c>
      <c r="R96" s="0" t="n">
        <v>90</v>
      </c>
      <c r="S96" s="0" t="n">
        <v>0</v>
      </c>
      <c r="T96" s="0" t="n">
        <v>0</v>
      </c>
      <c r="U96" s="0" t="n">
        <v>0</v>
      </c>
      <c r="W96" s="60" t="n">
        <f aca="false">+K96*$D96</f>
        <v>0</v>
      </c>
      <c r="X96" s="60" t="n">
        <f aca="false">+L96*$D96</f>
        <v>0</v>
      </c>
      <c r="Y96" s="60" t="n">
        <f aca="false">+M96*$D96</f>
        <v>6120000</v>
      </c>
      <c r="Z96" s="60" t="n">
        <f aca="false">+N96*$D96</f>
        <v>7300000</v>
      </c>
      <c r="AA96" s="60" t="n">
        <f aca="false">+O96*$D96</f>
        <v>7320000</v>
      </c>
      <c r="AB96" s="60" t="n">
        <f aca="false">+P96*$D96</f>
        <v>7300000</v>
      </c>
      <c r="AC96" s="60" t="n">
        <f aca="false">+Q96*$D96</f>
        <v>7300000</v>
      </c>
      <c r="AD96" s="60" t="n">
        <f aca="false">+R96*$D96</f>
        <v>1800000</v>
      </c>
      <c r="AE96" s="60" t="n">
        <f aca="false">+S96*$D96</f>
        <v>0</v>
      </c>
      <c r="AF96" s="60" t="n">
        <f aca="false">+T96*$D96</f>
        <v>0</v>
      </c>
      <c r="AG96" s="60" t="n">
        <f aca="false">+U96*$D96</f>
        <v>0</v>
      </c>
      <c r="AI96" s="27" t="n">
        <f aca="false">+W96*($F96+$G96)</f>
        <v>0</v>
      </c>
      <c r="AJ96" s="27" t="n">
        <f aca="false">+X96*($F96+$G96)</f>
        <v>0</v>
      </c>
      <c r="AK96" s="27" t="n">
        <f aca="false">+Y96*($F96+$G96)</f>
        <v>630972</v>
      </c>
      <c r="AL96" s="27" t="n">
        <f aca="false">+Z96*($F96+$G96)</f>
        <v>752630</v>
      </c>
      <c r="AM96" s="27" t="n">
        <f aca="false">+AA96*($F96+$G96)</f>
        <v>754692</v>
      </c>
      <c r="AN96" s="27" t="n">
        <f aca="false">+AB96*($F96+$G96)</f>
        <v>752630</v>
      </c>
      <c r="AO96" s="27" t="n">
        <f aca="false">+AC96*($F96+$G96)</f>
        <v>752630</v>
      </c>
      <c r="AP96" s="27" t="n">
        <f aca="false">+AD96*($F96+$G96)</f>
        <v>185580</v>
      </c>
      <c r="AQ96" s="27" t="n">
        <f aca="false">+AE96*($F96+$G96)</f>
        <v>0</v>
      </c>
      <c r="AR96" s="27" t="n">
        <f aca="false">+AF96*($F96+$G96)</f>
        <v>0</v>
      </c>
      <c r="AS96" s="27" t="n">
        <f aca="false">+AG96*($F96+$G96)</f>
        <v>0</v>
      </c>
    </row>
    <row r="97" customFormat="false" ht="12.75" hidden="false" customHeight="false" outlineLevel="0" collapsed="false">
      <c r="A97" s="102" t="s">
        <v>13</v>
      </c>
      <c r="B97" s="22" t="s">
        <v>80</v>
      </c>
      <c r="C97" s="61" t="n">
        <v>20835</v>
      </c>
      <c r="D97" s="62" t="n">
        <v>20000</v>
      </c>
      <c r="E97" s="61" t="s">
        <v>133</v>
      </c>
      <c r="F97" s="63" t="n">
        <v>0.1052</v>
      </c>
      <c r="G97" s="63" t="n">
        <v>0.0011</v>
      </c>
      <c r="H97" s="85" t="n">
        <f aca="false">+G97+F97</f>
        <v>0.1063</v>
      </c>
      <c r="I97" s="86" t="n">
        <v>36525</v>
      </c>
      <c r="J97" s="87" t="n">
        <v>37315</v>
      </c>
      <c r="K97" s="0" t="n">
        <v>366</v>
      </c>
      <c r="L97" s="0" t="n">
        <v>365</v>
      </c>
      <c r="M97" s="0" t="n">
        <v>59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W97" s="60" t="n">
        <f aca="false">+K97*$D97</f>
        <v>7320000</v>
      </c>
      <c r="X97" s="60" t="n">
        <f aca="false">+L97*$D97</f>
        <v>7300000</v>
      </c>
      <c r="Y97" s="60" t="n">
        <f aca="false">+M97*$D97</f>
        <v>1180000</v>
      </c>
      <c r="Z97" s="60" t="n">
        <f aca="false">+N97*$D97</f>
        <v>0</v>
      </c>
      <c r="AA97" s="60" t="n">
        <f aca="false">+O97*$D97</f>
        <v>0</v>
      </c>
      <c r="AB97" s="60" t="n">
        <f aca="false">+P97*$D97</f>
        <v>0</v>
      </c>
      <c r="AC97" s="60" t="n">
        <f aca="false">+Q97*$D97</f>
        <v>0</v>
      </c>
      <c r="AD97" s="60" t="n">
        <f aca="false">+R97*$D97</f>
        <v>0</v>
      </c>
      <c r="AE97" s="60" t="n">
        <f aca="false">+S97*$D97</f>
        <v>0</v>
      </c>
      <c r="AF97" s="60" t="n">
        <f aca="false">+T97*$D97</f>
        <v>0</v>
      </c>
      <c r="AG97" s="60" t="n">
        <f aca="false">+U97*$D97</f>
        <v>0</v>
      </c>
      <c r="AI97" s="27" t="n">
        <f aca="false">+W97*($F97+$G97)</f>
        <v>778116</v>
      </c>
      <c r="AJ97" s="27" t="n">
        <f aca="false">+X97*($F97+$G97)</f>
        <v>775990</v>
      </c>
      <c r="AK97" s="27" t="n">
        <f aca="false">+Y97*($F97+$G97)</f>
        <v>125434</v>
      </c>
      <c r="AL97" s="27" t="n">
        <f aca="false">+Z97*($F97+$G97)</f>
        <v>0</v>
      </c>
      <c r="AM97" s="27" t="n">
        <f aca="false">+AA97*($F97+$G97)</f>
        <v>0</v>
      </c>
      <c r="AN97" s="27" t="n">
        <f aca="false">+AB97*($F97+$G97)</f>
        <v>0</v>
      </c>
      <c r="AO97" s="27" t="n">
        <f aca="false">+AC97*($F97+$G97)</f>
        <v>0</v>
      </c>
      <c r="AP97" s="27" t="n">
        <f aca="false">+AD97*($F97+$G97)</f>
        <v>0</v>
      </c>
      <c r="AQ97" s="27" t="n">
        <f aca="false">+AE97*($F97+$G97)</f>
        <v>0</v>
      </c>
      <c r="AR97" s="27" t="n">
        <f aca="false">+AF97*($F97+$G97)</f>
        <v>0</v>
      </c>
      <c r="AS97" s="27" t="n">
        <f aca="false">+AG97*($F97+$G97)</f>
        <v>0</v>
      </c>
    </row>
    <row r="98" customFormat="false" ht="12.75" hidden="false" customHeight="false" outlineLevel="0" collapsed="false">
      <c r="A98" s="102" t="s">
        <v>13</v>
      </c>
      <c r="B98" s="22" t="s">
        <v>81</v>
      </c>
      <c r="C98" s="61" t="n">
        <v>26371</v>
      </c>
      <c r="D98" s="62" t="n">
        <v>25000</v>
      </c>
      <c r="E98" s="61" t="s">
        <v>133</v>
      </c>
      <c r="F98" s="63" t="n">
        <v>0.1052</v>
      </c>
      <c r="G98" s="63" t="n">
        <v>0.0011</v>
      </c>
      <c r="H98" s="85" t="n">
        <f aca="false">+G98+F98</f>
        <v>0.1063</v>
      </c>
      <c r="I98" s="86" t="n">
        <v>36525</v>
      </c>
      <c r="J98" s="87" t="n">
        <v>39172</v>
      </c>
      <c r="K98" s="0" t="n">
        <v>366</v>
      </c>
      <c r="L98" s="0" t="n">
        <v>365</v>
      </c>
      <c r="M98" s="0" t="n">
        <v>365</v>
      </c>
      <c r="N98" s="0" t="n">
        <v>365</v>
      </c>
      <c r="O98" s="0" t="n">
        <v>366</v>
      </c>
      <c r="P98" s="0" t="n">
        <v>365</v>
      </c>
      <c r="Q98" s="0" t="n">
        <v>365</v>
      </c>
      <c r="R98" s="0" t="n">
        <v>90</v>
      </c>
      <c r="S98" s="0" t="n">
        <v>0</v>
      </c>
      <c r="T98" s="0" t="n">
        <v>0</v>
      </c>
      <c r="U98" s="0" t="n">
        <v>0</v>
      </c>
      <c r="W98" s="60" t="n">
        <f aca="false">+K98*$D98</f>
        <v>9150000</v>
      </c>
      <c r="X98" s="60" t="n">
        <f aca="false">+L98*$D98</f>
        <v>9125000</v>
      </c>
      <c r="Y98" s="60" t="n">
        <f aca="false">+M98*$D98</f>
        <v>9125000</v>
      </c>
      <c r="Z98" s="60" t="n">
        <f aca="false">+N98*$D98</f>
        <v>9125000</v>
      </c>
      <c r="AA98" s="60" t="n">
        <f aca="false">+O98*$D98</f>
        <v>9150000</v>
      </c>
      <c r="AB98" s="60" t="n">
        <f aca="false">+P98*$D98</f>
        <v>9125000</v>
      </c>
      <c r="AC98" s="60" t="n">
        <f aca="false">+Q98*$D98</f>
        <v>9125000</v>
      </c>
      <c r="AD98" s="60" t="n">
        <f aca="false">+R98*$D98</f>
        <v>2250000</v>
      </c>
      <c r="AE98" s="60" t="n">
        <f aca="false">+S98*$D98</f>
        <v>0</v>
      </c>
      <c r="AF98" s="60" t="n">
        <f aca="false">+T98*$D98</f>
        <v>0</v>
      </c>
      <c r="AG98" s="60" t="n">
        <f aca="false">+U98*$D98</f>
        <v>0</v>
      </c>
      <c r="AI98" s="27" t="n">
        <f aca="false">+W98*($F98+$G98)</f>
        <v>972645</v>
      </c>
      <c r="AJ98" s="27" t="n">
        <f aca="false">+X98*($F98+$G98)</f>
        <v>969987.5</v>
      </c>
      <c r="AK98" s="27" t="n">
        <f aca="false">+Y98*($F98+$G98)</f>
        <v>969987.5</v>
      </c>
      <c r="AL98" s="27" t="n">
        <f aca="false">+Z98*($F98+$G98)</f>
        <v>969987.5</v>
      </c>
      <c r="AM98" s="27" t="n">
        <f aca="false">+AA98*($F98+$G98)</f>
        <v>972645</v>
      </c>
      <c r="AN98" s="27" t="n">
        <f aca="false">+AB98*($F98+$G98)</f>
        <v>969987.5</v>
      </c>
      <c r="AO98" s="27" t="n">
        <f aca="false">+AC98*($F98+$G98)</f>
        <v>969987.5</v>
      </c>
      <c r="AP98" s="27" t="n">
        <f aca="false">+AD98*($F98+$G98)</f>
        <v>239175</v>
      </c>
      <c r="AQ98" s="27" t="n">
        <f aca="false">+AE98*($F98+$G98)</f>
        <v>0</v>
      </c>
      <c r="AR98" s="27" t="n">
        <f aca="false">+AF98*($F98+$G98)</f>
        <v>0</v>
      </c>
      <c r="AS98" s="27" t="n">
        <f aca="false">+AG98*($F98+$G98)</f>
        <v>0</v>
      </c>
    </row>
    <row r="99" customFormat="false" ht="12.75" hidden="false" customHeight="false" outlineLevel="0" collapsed="false">
      <c r="A99" s="103" t="s">
        <v>13</v>
      </c>
      <c r="B99" s="22" t="s">
        <v>82</v>
      </c>
      <c r="C99" s="61" t="n">
        <v>27453</v>
      </c>
      <c r="D99" s="62" t="n">
        <v>35000</v>
      </c>
      <c r="E99" s="61" t="s">
        <v>132</v>
      </c>
      <c r="F99" s="63" t="n">
        <v>0.102</v>
      </c>
      <c r="G99" s="63" t="n">
        <v>0.0011</v>
      </c>
      <c r="H99" s="85" t="n">
        <f aca="false">+G99+F99</f>
        <v>0.1031</v>
      </c>
      <c r="I99" s="86" t="n">
        <v>37621</v>
      </c>
      <c r="J99" s="87" t="n">
        <v>37986</v>
      </c>
      <c r="K99" s="0" t="n">
        <v>0</v>
      </c>
      <c r="L99" s="0" t="n">
        <v>0</v>
      </c>
      <c r="M99" s="0" t="n">
        <v>0</v>
      </c>
      <c r="N99" s="0" t="n">
        <v>365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W99" s="60" t="n">
        <f aca="false">+K99*$D99</f>
        <v>0</v>
      </c>
      <c r="X99" s="60" t="n">
        <f aca="false">+L99*$D99</f>
        <v>0</v>
      </c>
      <c r="Y99" s="60" t="n">
        <f aca="false">+M99*$D99</f>
        <v>0</v>
      </c>
      <c r="Z99" s="60" t="n">
        <f aca="false">+N99*$D99</f>
        <v>12775000</v>
      </c>
      <c r="AA99" s="60" t="n">
        <f aca="false">+O99*$D99</f>
        <v>0</v>
      </c>
      <c r="AB99" s="60" t="n">
        <f aca="false">+P99*$D99</f>
        <v>0</v>
      </c>
      <c r="AC99" s="60" t="n">
        <f aca="false">+Q99*$D99</f>
        <v>0</v>
      </c>
      <c r="AD99" s="60" t="n">
        <f aca="false">+R99*$D99</f>
        <v>0</v>
      </c>
      <c r="AE99" s="60" t="n">
        <f aca="false">+S99*$D99</f>
        <v>0</v>
      </c>
      <c r="AF99" s="60" t="n">
        <f aca="false">+T99*$D99</f>
        <v>0</v>
      </c>
      <c r="AG99" s="60" t="n">
        <f aca="false">+U99*$D99</f>
        <v>0</v>
      </c>
      <c r="AI99" s="27" t="n">
        <f aca="false">+W99*($F99+$G99)</f>
        <v>0</v>
      </c>
      <c r="AJ99" s="27" t="n">
        <f aca="false">+X99*($F99+$G99)</f>
        <v>0</v>
      </c>
      <c r="AK99" s="27" t="n">
        <f aca="false">+Y99*($F99+$G99)</f>
        <v>0</v>
      </c>
      <c r="AL99" s="27" t="n">
        <f aca="false">+Z99*($F99+$G99)</f>
        <v>1317102.5</v>
      </c>
      <c r="AM99" s="27" t="n">
        <f aca="false">+AA99*($F99+$G99)</f>
        <v>0</v>
      </c>
      <c r="AN99" s="27" t="n">
        <f aca="false">+AB99*($F99+$G99)</f>
        <v>0</v>
      </c>
      <c r="AO99" s="27" t="n">
        <f aca="false">+AC99*($F99+$G99)</f>
        <v>0</v>
      </c>
      <c r="AP99" s="27" t="n">
        <f aca="false">+AD99*($F99+$G99)</f>
        <v>0</v>
      </c>
      <c r="AQ99" s="27" t="n">
        <f aca="false">+AE99*($F99+$G99)</f>
        <v>0</v>
      </c>
      <c r="AR99" s="27" t="n">
        <f aca="false">+AF99*($F99+$G99)</f>
        <v>0</v>
      </c>
      <c r="AS99" s="27" t="n">
        <f aca="false">+AG99*($F99+$G99)</f>
        <v>0</v>
      </c>
    </row>
    <row r="100" customFormat="false" ht="12.75" hidden="false" customHeight="false" outlineLevel="0" collapsed="false">
      <c r="A100" s="103" t="s">
        <v>13</v>
      </c>
      <c r="B100" s="22" t="s">
        <v>82</v>
      </c>
      <c r="C100" s="61" t="n">
        <v>27456</v>
      </c>
      <c r="D100" s="62" t="n">
        <v>21500</v>
      </c>
      <c r="E100" s="61" t="s">
        <v>132</v>
      </c>
      <c r="F100" s="63" t="n">
        <v>0.102</v>
      </c>
      <c r="G100" s="63" t="n">
        <v>0.0011</v>
      </c>
      <c r="H100" s="85" t="n">
        <f aca="false">+G100+F100</f>
        <v>0.1031</v>
      </c>
      <c r="I100" s="86" t="n">
        <v>37560</v>
      </c>
      <c r="J100" s="87" t="n">
        <v>37621</v>
      </c>
      <c r="K100" s="0" t="n">
        <v>0</v>
      </c>
      <c r="L100" s="0" t="n">
        <v>0</v>
      </c>
      <c r="M100" s="0" t="n">
        <v>61</v>
      </c>
      <c r="N100" s="0" t="n">
        <v>0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W100" s="60" t="n">
        <f aca="false">+K100*$D100</f>
        <v>0</v>
      </c>
      <c r="X100" s="60" t="n">
        <f aca="false">+L100*$D100</f>
        <v>0</v>
      </c>
      <c r="Y100" s="60" t="n">
        <f aca="false">+M100*$D100</f>
        <v>1311500</v>
      </c>
      <c r="Z100" s="60" t="n">
        <f aca="false">+N100*$D100</f>
        <v>0</v>
      </c>
      <c r="AA100" s="60" t="n">
        <f aca="false">+O100*$D100</f>
        <v>0</v>
      </c>
      <c r="AB100" s="60" t="n">
        <f aca="false">+P100*$D100</f>
        <v>0</v>
      </c>
      <c r="AC100" s="60" t="n">
        <f aca="false">+Q100*$D100</f>
        <v>0</v>
      </c>
      <c r="AD100" s="60" t="n">
        <f aca="false">+R100*$D100</f>
        <v>0</v>
      </c>
      <c r="AE100" s="60" t="n">
        <f aca="false">+S100*$D100</f>
        <v>0</v>
      </c>
      <c r="AF100" s="60" t="n">
        <f aca="false">+T100*$D100</f>
        <v>0</v>
      </c>
      <c r="AG100" s="60" t="n">
        <f aca="false">+U100*$D100</f>
        <v>0</v>
      </c>
      <c r="AI100" s="27" t="n">
        <f aca="false">+W100*($F100+$G100)</f>
        <v>0</v>
      </c>
      <c r="AJ100" s="27" t="n">
        <f aca="false">+X100*($F100+$G100)</f>
        <v>0</v>
      </c>
      <c r="AK100" s="27" t="n">
        <f aca="false">+Y100*($F100+$G100)</f>
        <v>135215.65</v>
      </c>
      <c r="AL100" s="27" t="n">
        <f aca="false">+Z100*($F100+$G100)</f>
        <v>0</v>
      </c>
      <c r="AM100" s="27" t="n">
        <f aca="false">+AA100*($F100+$G100)</f>
        <v>0</v>
      </c>
      <c r="AN100" s="27" t="n">
        <f aca="false">+AB100*($F100+$G100)</f>
        <v>0</v>
      </c>
      <c r="AO100" s="27" t="n">
        <f aca="false">+AC100*($F100+$G100)</f>
        <v>0</v>
      </c>
      <c r="AP100" s="27" t="n">
        <f aca="false">+AD100*($F100+$G100)</f>
        <v>0</v>
      </c>
      <c r="AQ100" s="27" t="n">
        <f aca="false">+AE100*($F100+$G100)</f>
        <v>0</v>
      </c>
      <c r="AR100" s="27" t="n">
        <f aca="false">+AF100*($F100+$G100)</f>
        <v>0</v>
      </c>
      <c r="AS100" s="27" t="n">
        <f aca="false">+AG100*($F100+$G100)</f>
        <v>0</v>
      </c>
    </row>
    <row r="101" customFormat="false" ht="12.75" hidden="false" customHeight="false" outlineLevel="0" collapsed="false">
      <c r="A101" s="103" t="s">
        <v>13</v>
      </c>
      <c r="B101" s="22" t="s">
        <v>82</v>
      </c>
      <c r="C101" s="61" t="n">
        <v>27457</v>
      </c>
      <c r="D101" s="62" t="n">
        <v>13500</v>
      </c>
      <c r="E101" s="61" t="s">
        <v>132</v>
      </c>
      <c r="F101" s="63" t="n">
        <v>0.102</v>
      </c>
      <c r="G101" s="63" t="n">
        <v>0.0011</v>
      </c>
      <c r="H101" s="85" t="n">
        <f aca="false">+G101+F101</f>
        <v>0.1031</v>
      </c>
      <c r="I101" s="86" t="n">
        <v>37225</v>
      </c>
      <c r="J101" s="87" t="n">
        <v>37256</v>
      </c>
      <c r="K101" s="0" t="n">
        <v>0</v>
      </c>
      <c r="L101" s="0" t="n">
        <v>31</v>
      </c>
      <c r="M101" s="0" t="n">
        <v>0</v>
      </c>
      <c r="N101" s="0" t="n">
        <v>0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W101" s="60" t="n">
        <f aca="false">+K101*$D101</f>
        <v>0</v>
      </c>
      <c r="X101" s="60" t="n">
        <f aca="false">+L101*$D101</f>
        <v>418500</v>
      </c>
      <c r="Y101" s="60" t="n">
        <f aca="false">+M101*$D101</f>
        <v>0</v>
      </c>
      <c r="Z101" s="60" t="n">
        <f aca="false">+N101*$D101</f>
        <v>0</v>
      </c>
      <c r="AA101" s="60" t="n">
        <f aca="false">+O101*$D101</f>
        <v>0</v>
      </c>
      <c r="AB101" s="60" t="n">
        <f aca="false">+P101*$D101</f>
        <v>0</v>
      </c>
      <c r="AC101" s="60" t="n">
        <f aca="false">+Q101*$D101</f>
        <v>0</v>
      </c>
      <c r="AD101" s="60" t="n">
        <f aca="false">+R101*$D101</f>
        <v>0</v>
      </c>
      <c r="AE101" s="60" t="n">
        <f aca="false">+S101*$D101</f>
        <v>0</v>
      </c>
      <c r="AF101" s="60" t="n">
        <f aca="false">+T101*$D101</f>
        <v>0</v>
      </c>
      <c r="AG101" s="60" t="n">
        <f aca="false">+U101*$D101</f>
        <v>0</v>
      </c>
      <c r="AI101" s="27" t="n">
        <f aca="false">+W101*($F101+$G101)</f>
        <v>0</v>
      </c>
      <c r="AJ101" s="27" t="n">
        <f aca="false">+X101*($F101+$G101)</f>
        <v>43147.35</v>
      </c>
      <c r="AK101" s="27" t="n">
        <f aca="false">+Y101*($F101+$G101)</f>
        <v>0</v>
      </c>
      <c r="AL101" s="27" t="n">
        <f aca="false">+Z101*($F101+$G101)</f>
        <v>0</v>
      </c>
      <c r="AM101" s="27" t="n">
        <f aca="false">+AA101*($F101+$G101)</f>
        <v>0</v>
      </c>
      <c r="AN101" s="27" t="n">
        <f aca="false">+AB101*($F101+$G101)</f>
        <v>0</v>
      </c>
      <c r="AO101" s="27" t="n">
        <f aca="false">+AC101*($F101+$G101)</f>
        <v>0</v>
      </c>
      <c r="AP101" s="27" t="n">
        <f aca="false">+AD101*($F101+$G101)</f>
        <v>0</v>
      </c>
      <c r="AQ101" s="27" t="n">
        <f aca="false">+AE101*($F101+$G101)</f>
        <v>0</v>
      </c>
      <c r="AR101" s="27" t="n">
        <f aca="false">+AF101*($F101+$G101)</f>
        <v>0</v>
      </c>
      <c r="AS101" s="27" t="n">
        <f aca="false">+AG101*($F101+$G101)</f>
        <v>0</v>
      </c>
    </row>
    <row r="102" customFormat="false" ht="12.75" hidden="false" customHeight="false" outlineLevel="0" collapsed="false">
      <c r="A102" s="97" t="s">
        <v>13</v>
      </c>
      <c r="B102" s="22" t="s">
        <v>38</v>
      </c>
      <c r="C102" s="61" t="n">
        <v>24654</v>
      </c>
      <c r="D102" s="62" t="n">
        <v>8000</v>
      </c>
      <c r="E102" s="84" t="s">
        <v>127</v>
      </c>
      <c r="F102" s="63" t="n">
        <v>0.102</v>
      </c>
      <c r="G102" s="63" t="n">
        <v>0.0011</v>
      </c>
      <c r="H102" s="85" t="n">
        <f aca="false">+G102+F102</f>
        <v>0.1031</v>
      </c>
      <c r="I102" s="86" t="n">
        <v>36525</v>
      </c>
      <c r="J102" s="87" t="n">
        <v>37256</v>
      </c>
      <c r="K102" s="0" t="n">
        <v>366</v>
      </c>
      <c r="L102" s="0" t="n">
        <v>365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W102" s="60" t="n">
        <f aca="false">+K102*$D102</f>
        <v>2928000</v>
      </c>
      <c r="X102" s="60" t="n">
        <f aca="false">+L102*$D102</f>
        <v>2920000</v>
      </c>
      <c r="Y102" s="60" t="n">
        <f aca="false">+M102*$D102</f>
        <v>0</v>
      </c>
      <c r="Z102" s="60" t="n">
        <f aca="false">+N102*$D102</f>
        <v>0</v>
      </c>
      <c r="AA102" s="60" t="n">
        <f aca="false">+O102*$D102</f>
        <v>0</v>
      </c>
      <c r="AB102" s="60" t="n">
        <f aca="false">+P102*$D102</f>
        <v>0</v>
      </c>
      <c r="AC102" s="60" t="n">
        <f aca="false">+Q102*$D102</f>
        <v>0</v>
      </c>
      <c r="AD102" s="60" t="n">
        <f aca="false">+R102*$D102</f>
        <v>0</v>
      </c>
      <c r="AE102" s="60" t="n">
        <f aca="false">+S102*$D102</f>
        <v>0</v>
      </c>
      <c r="AF102" s="60" t="n">
        <f aca="false">+T102*$D102</f>
        <v>0</v>
      </c>
      <c r="AG102" s="60" t="n">
        <f aca="false">+U102*$D102</f>
        <v>0</v>
      </c>
      <c r="AI102" s="27" t="n">
        <f aca="false">+W102*($F102+$G102)</f>
        <v>301876.8</v>
      </c>
      <c r="AJ102" s="27" t="n">
        <f aca="false">+X102*($F102+$G102)</f>
        <v>301052</v>
      </c>
      <c r="AK102" s="27" t="n">
        <f aca="false">+Y102*($F102+$G102)</f>
        <v>0</v>
      </c>
      <c r="AL102" s="27" t="n">
        <f aca="false">+Z102*($F102+$G102)</f>
        <v>0</v>
      </c>
      <c r="AM102" s="27" t="n">
        <f aca="false">+AA102*($F102+$G102)</f>
        <v>0</v>
      </c>
      <c r="AN102" s="27" t="n">
        <f aca="false">+AB102*($F102+$G102)</f>
        <v>0</v>
      </c>
      <c r="AO102" s="27" t="n">
        <f aca="false">+AC102*($F102+$G102)</f>
        <v>0</v>
      </c>
      <c r="AP102" s="27" t="n">
        <f aca="false">+AD102*($F102+$G102)</f>
        <v>0</v>
      </c>
      <c r="AQ102" s="27" t="n">
        <f aca="false">+AE102*($F102+$G102)</f>
        <v>0</v>
      </c>
      <c r="AR102" s="27" t="n">
        <f aca="false">+AF102*($F102+$G102)</f>
        <v>0</v>
      </c>
      <c r="AS102" s="27" t="n">
        <f aca="false">+AG102*($F102+$G102)</f>
        <v>0</v>
      </c>
    </row>
    <row r="103" customFormat="false" ht="12.75" hidden="false" customHeight="false" outlineLevel="0" collapsed="false">
      <c r="A103" s="97" t="s">
        <v>13</v>
      </c>
      <c r="B103" s="19" t="s">
        <v>39</v>
      </c>
      <c r="C103" s="61" t="n">
        <v>24568</v>
      </c>
      <c r="D103" s="62" t="n">
        <v>32000</v>
      </c>
      <c r="E103" s="84" t="s">
        <v>127</v>
      </c>
      <c r="F103" s="63" t="n">
        <v>0.102</v>
      </c>
      <c r="G103" s="63" t="n">
        <v>0.0011</v>
      </c>
      <c r="H103" s="85" t="n">
        <f aca="false">+G103+F103</f>
        <v>0.1031</v>
      </c>
      <c r="I103" s="86" t="n">
        <v>36525</v>
      </c>
      <c r="J103" s="87" t="n">
        <v>37256</v>
      </c>
      <c r="K103" s="0" t="n">
        <v>366</v>
      </c>
      <c r="L103" s="0" t="n">
        <v>365</v>
      </c>
      <c r="M103" s="0" t="n">
        <v>0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W103" s="60" t="n">
        <f aca="false">+K103*$D103</f>
        <v>11712000</v>
      </c>
      <c r="X103" s="60" t="n">
        <f aca="false">+L103*$D103</f>
        <v>11680000</v>
      </c>
      <c r="Y103" s="60" t="n">
        <f aca="false">+M103*$D103</f>
        <v>0</v>
      </c>
      <c r="Z103" s="60" t="n">
        <f aca="false">+N103*$D103</f>
        <v>0</v>
      </c>
      <c r="AA103" s="60" t="n">
        <f aca="false">+O103*$D103</f>
        <v>0</v>
      </c>
      <c r="AB103" s="60" t="n">
        <f aca="false">+P103*$D103</f>
        <v>0</v>
      </c>
      <c r="AC103" s="60" t="n">
        <f aca="false">+Q103*$D103</f>
        <v>0</v>
      </c>
      <c r="AD103" s="60" t="n">
        <f aca="false">+R103*$D103</f>
        <v>0</v>
      </c>
      <c r="AE103" s="60" t="n">
        <f aca="false">+S103*$D103</f>
        <v>0</v>
      </c>
      <c r="AF103" s="60" t="n">
        <f aca="false">+T103*$D103</f>
        <v>0</v>
      </c>
      <c r="AG103" s="60" t="n">
        <f aca="false">+U103*$D103</f>
        <v>0</v>
      </c>
      <c r="AI103" s="27" t="n">
        <f aca="false">+W103*($F103+$G103)</f>
        <v>1207507.2</v>
      </c>
      <c r="AJ103" s="27" t="n">
        <f aca="false">+X103*($F103+$G103)</f>
        <v>1204208</v>
      </c>
      <c r="AK103" s="27" t="n">
        <f aca="false">+Y103*($F103+$G103)</f>
        <v>0</v>
      </c>
      <c r="AL103" s="27" t="n">
        <f aca="false">+Z103*($F103+$G103)</f>
        <v>0</v>
      </c>
      <c r="AM103" s="27" t="n">
        <f aca="false">+AA103*($F103+$G103)</f>
        <v>0</v>
      </c>
      <c r="AN103" s="27" t="n">
        <f aca="false">+AB103*($F103+$G103)</f>
        <v>0</v>
      </c>
      <c r="AO103" s="27" t="n">
        <f aca="false">+AC103*($F103+$G103)</f>
        <v>0</v>
      </c>
      <c r="AP103" s="27" t="n">
        <f aca="false">+AD103*($F103+$G103)</f>
        <v>0</v>
      </c>
      <c r="AQ103" s="27" t="n">
        <f aca="false">+AE103*($F103+$G103)</f>
        <v>0</v>
      </c>
      <c r="AR103" s="27" t="n">
        <f aca="false">+AF103*($F103+$G103)</f>
        <v>0</v>
      </c>
      <c r="AS103" s="27" t="n">
        <f aca="false">+AG103*($F103+$G103)</f>
        <v>0</v>
      </c>
    </row>
    <row r="104" customFormat="false" ht="12.75" hidden="false" customHeight="false" outlineLevel="0" collapsed="false">
      <c r="A104" s="103" t="s">
        <v>13</v>
      </c>
      <c r="B104" s="22" t="s">
        <v>84</v>
      </c>
      <c r="C104" s="61" t="n">
        <v>26125</v>
      </c>
      <c r="D104" s="62" t="n">
        <v>8600</v>
      </c>
      <c r="E104" s="84" t="s">
        <v>127</v>
      </c>
      <c r="F104" s="63" t="n">
        <v>0.102</v>
      </c>
      <c r="G104" s="63" t="n">
        <v>0.0011</v>
      </c>
      <c r="H104" s="85" t="n">
        <f aca="false">+G104+F104</f>
        <v>0.1031</v>
      </c>
      <c r="I104" s="86" t="n">
        <v>36525</v>
      </c>
      <c r="J104" s="87" t="n">
        <v>37772</v>
      </c>
      <c r="K104" s="0" t="n">
        <v>366</v>
      </c>
      <c r="L104" s="0" t="n">
        <v>365</v>
      </c>
      <c r="M104" s="0" t="n">
        <v>365</v>
      </c>
      <c r="N104" s="0" t="n">
        <v>151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W104" s="60" t="n">
        <f aca="false">+K104*$D104</f>
        <v>3147600</v>
      </c>
      <c r="X104" s="60" t="n">
        <f aca="false">+L104*$D104</f>
        <v>3139000</v>
      </c>
      <c r="Y104" s="60" t="n">
        <f aca="false">+M104*$D104</f>
        <v>3139000</v>
      </c>
      <c r="Z104" s="60" t="n">
        <f aca="false">+N104*$D104</f>
        <v>1298600</v>
      </c>
      <c r="AA104" s="60" t="n">
        <f aca="false">+O104*$D104</f>
        <v>0</v>
      </c>
      <c r="AB104" s="60" t="n">
        <f aca="false">+P104*$D104</f>
        <v>0</v>
      </c>
      <c r="AC104" s="60" t="n">
        <f aca="false">+Q104*$D104</f>
        <v>0</v>
      </c>
      <c r="AD104" s="60" t="n">
        <f aca="false">+R104*$D104</f>
        <v>0</v>
      </c>
      <c r="AE104" s="60" t="n">
        <f aca="false">+S104*$D104</f>
        <v>0</v>
      </c>
      <c r="AF104" s="60" t="n">
        <f aca="false">+T104*$D104</f>
        <v>0</v>
      </c>
      <c r="AG104" s="60" t="n">
        <f aca="false">+U104*$D104</f>
        <v>0</v>
      </c>
      <c r="AI104" s="27" t="n">
        <f aca="false">+W104*($F104+$G104)</f>
        <v>324517.56</v>
      </c>
      <c r="AJ104" s="27" t="n">
        <f aca="false">+X104*($F104+$G104)</f>
        <v>323630.9</v>
      </c>
      <c r="AK104" s="27" t="n">
        <f aca="false">+Y104*($F104+$G104)</f>
        <v>323630.9</v>
      </c>
      <c r="AL104" s="27" t="n">
        <f aca="false">+Z104*($F104+$G104)</f>
        <v>133885.66</v>
      </c>
      <c r="AM104" s="27" t="n">
        <f aca="false">+AA104*($F104+$G104)</f>
        <v>0</v>
      </c>
      <c r="AN104" s="27" t="n">
        <f aca="false">+AB104*($F104+$G104)</f>
        <v>0</v>
      </c>
      <c r="AO104" s="27" t="n">
        <f aca="false">+AC104*($F104+$G104)</f>
        <v>0</v>
      </c>
      <c r="AP104" s="27" t="n">
        <f aca="false">+AD104*($F104+$G104)</f>
        <v>0</v>
      </c>
      <c r="AQ104" s="27" t="n">
        <f aca="false">+AE104*($F104+$G104)</f>
        <v>0</v>
      </c>
      <c r="AR104" s="27" t="n">
        <f aca="false">+AF104*($F104+$G104)</f>
        <v>0</v>
      </c>
      <c r="AS104" s="27" t="n">
        <f aca="false">+AG104*($F104+$G104)</f>
        <v>0</v>
      </c>
    </row>
    <row r="105" customFormat="false" ht="12.75" hidden="false" customHeight="false" outlineLevel="0" collapsed="false">
      <c r="A105" s="103" t="s">
        <v>13</v>
      </c>
      <c r="B105" s="22" t="s">
        <v>85</v>
      </c>
      <c r="C105" s="61" t="n">
        <v>26884</v>
      </c>
      <c r="D105" s="62" t="n">
        <v>40000</v>
      </c>
      <c r="E105" s="84" t="s">
        <v>127</v>
      </c>
      <c r="F105" s="63" t="n">
        <v>0.102</v>
      </c>
      <c r="G105" s="63" t="n">
        <v>0.0011</v>
      </c>
      <c r="H105" s="85" t="n">
        <f aca="false">+G105+F105</f>
        <v>0.1031</v>
      </c>
      <c r="I105" s="86" t="n">
        <v>36646</v>
      </c>
      <c r="J105" s="87" t="n">
        <v>38656</v>
      </c>
      <c r="K105" s="0" t="n">
        <v>245</v>
      </c>
      <c r="L105" s="0" t="n">
        <v>365</v>
      </c>
      <c r="M105" s="0" t="n">
        <v>365</v>
      </c>
      <c r="N105" s="0" t="n">
        <v>365</v>
      </c>
      <c r="O105" s="0" t="n">
        <v>366</v>
      </c>
      <c r="P105" s="0" t="n">
        <v>304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W105" s="60" t="n">
        <f aca="false">+K105*$D105</f>
        <v>9800000</v>
      </c>
      <c r="X105" s="60" t="n">
        <f aca="false">+L105*$D105</f>
        <v>14600000</v>
      </c>
      <c r="Y105" s="60" t="n">
        <f aca="false">+M105*$D105</f>
        <v>14600000</v>
      </c>
      <c r="Z105" s="60" t="n">
        <f aca="false">+N105*$D105</f>
        <v>14600000</v>
      </c>
      <c r="AA105" s="60" t="n">
        <f aca="false">+O105*$D105</f>
        <v>14640000</v>
      </c>
      <c r="AB105" s="60" t="n">
        <f aca="false">+P105*$D105</f>
        <v>12160000</v>
      </c>
      <c r="AC105" s="60" t="n">
        <f aca="false">+Q105*$D105</f>
        <v>0</v>
      </c>
      <c r="AD105" s="60" t="n">
        <f aca="false">+R105*$D105</f>
        <v>0</v>
      </c>
      <c r="AE105" s="60" t="n">
        <f aca="false">+S105*$D105</f>
        <v>0</v>
      </c>
      <c r="AF105" s="60" t="n">
        <f aca="false">+T105*$D105</f>
        <v>0</v>
      </c>
      <c r="AG105" s="60" t="n">
        <f aca="false">+U105*$D105</f>
        <v>0</v>
      </c>
      <c r="AI105" s="27" t="n">
        <f aca="false">+W105*($F105+$G105)</f>
        <v>1010380</v>
      </c>
      <c r="AJ105" s="27" t="n">
        <f aca="false">+X105*($F105+$G105)</f>
        <v>1505260</v>
      </c>
      <c r="AK105" s="27" t="n">
        <f aca="false">+Y105*($F105+$G105)</f>
        <v>1505260</v>
      </c>
      <c r="AL105" s="27" t="n">
        <f aca="false">+Z105*($F105+$G105)</f>
        <v>1505260</v>
      </c>
      <c r="AM105" s="27" t="n">
        <f aca="false">+AA105*($F105+$G105)</f>
        <v>1509384</v>
      </c>
      <c r="AN105" s="27" t="n">
        <f aca="false">+AB105*($F105+$G105)</f>
        <v>1253696</v>
      </c>
      <c r="AO105" s="27" t="n">
        <f aca="false">+AC105*($F105+$G105)</f>
        <v>0</v>
      </c>
      <c r="AP105" s="27" t="n">
        <f aca="false">+AD105*($F105+$G105)</f>
        <v>0</v>
      </c>
      <c r="AQ105" s="27" t="n">
        <f aca="false">+AE105*($F105+$G105)</f>
        <v>0</v>
      </c>
      <c r="AR105" s="27" t="n">
        <f aca="false">+AF105*($F105+$G105)</f>
        <v>0</v>
      </c>
      <c r="AS105" s="27" t="n">
        <f aca="false">+AG105*($F105+$G105)</f>
        <v>0</v>
      </c>
    </row>
    <row r="106" customFormat="false" ht="12.75" hidden="false" customHeight="false" outlineLevel="0" collapsed="false">
      <c r="A106" s="102" t="s">
        <v>13</v>
      </c>
      <c r="B106" s="22" t="s">
        <v>86</v>
      </c>
      <c r="C106" s="61" t="n">
        <v>26677</v>
      </c>
      <c r="D106" s="62" t="n">
        <v>25000</v>
      </c>
      <c r="E106" s="84" t="s">
        <v>127</v>
      </c>
      <c r="F106" s="63" t="n">
        <v>0.1052</v>
      </c>
      <c r="G106" s="63" t="n">
        <v>0.0011</v>
      </c>
      <c r="H106" s="85" t="n">
        <f aca="false">+G106+F106</f>
        <v>0.1063</v>
      </c>
      <c r="I106" s="86" t="n">
        <v>36525</v>
      </c>
      <c r="J106" s="87" t="n">
        <v>39172</v>
      </c>
      <c r="K106" s="0" t="n">
        <v>366</v>
      </c>
      <c r="L106" s="0" t="n">
        <v>365</v>
      </c>
      <c r="M106" s="0" t="n">
        <v>365</v>
      </c>
      <c r="N106" s="0" t="n">
        <v>365</v>
      </c>
      <c r="O106" s="0" t="n">
        <v>366</v>
      </c>
      <c r="P106" s="0" t="n">
        <v>365</v>
      </c>
      <c r="Q106" s="0" t="n">
        <v>365</v>
      </c>
      <c r="R106" s="0" t="n">
        <v>90</v>
      </c>
      <c r="S106" s="0" t="n">
        <v>0</v>
      </c>
      <c r="T106" s="0" t="n">
        <v>0</v>
      </c>
      <c r="U106" s="0" t="n">
        <v>0</v>
      </c>
      <c r="W106" s="60" t="n">
        <f aca="false">+K106*$D106</f>
        <v>9150000</v>
      </c>
      <c r="X106" s="60" t="n">
        <f aca="false">+L106*$D106</f>
        <v>9125000</v>
      </c>
      <c r="Y106" s="60" t="n">
        <f aca="false">+M106*$D106</f>
        <v>9125000</v>
      </c>
      <c r="Z106" s="60" t="n">
        <f aca="false">+N106*$D106</f>
        <v>9125000</v>
      </c>
      <c r="AA106" s="60" t="n">
        <f aca="false">+O106*$D106</f>
        <v>9150000</v>
      </c>
      <c r="AB106" s="60" t="n">
        <f aca="false">+P106*$D106</f>
        <v>9125000</v>
      </c>
      <c r="AC106" s="60" t="n">
        <f aca="false">+Q106*$D106</f>
        <v>9125000</v>
      </c>
      <c r="AD106" s="60" t="n">
        <f aca="false">+R106*$D106</f>
        <v>2250000</v>
      </c>
      <c r="AE106" s="60" t="n">
        <f aca="false">+S106*$D106</f>
        <v>0</v>
      </c>
      <c r="AF106" s="60" t="n">
        <f aca="false">+T106*$D106</f>
        <v>0</v>
      </c>
      <c r="AG106" s="60" t="n">
        <f aca="false">+U106*$D106</f>
        <v>0</v>
      </c>
      <c r="AI106" s="27" t="n">
        <f aca="false">+W106*($F106+$G106)</f>
        <v>972645</v>
      </c>
      <c r="AJ106" s="27" t="n">
        <f aca="false">+X106*($F106+$G106)</f>
        <v>969987.5</v>
      </c>
      <c r="AK106" s="27" t="n">
        <f aca="false">+Y106*($F106+$G106)</f>
        <v>969987.5</v>
      </c>
      <c r="AL106" s="27" t="n">
        <f aca="false">+Z106*($F106+$G106)</f>
        <v>969987.5</v>
      </c>
      <c r="AM106" s="27" t="n">
        <f aca="false">+AA106*($F106+$G106)</f>
        <v>972645</v>
      </c>
      <c r="AN106" s="27" t="n">
        <f aca="false">+AB106*($F106+$G106)</f>
        <v>969987.5</v>
      </c>
      <c r="AO106" s="27" t="n">
        <f aca="false">+AC106*($F106+$G106)</f>
        <v>969987.5</v>
      </c>
      <c r="AP106" s="27" t="n">
        <f aca="false">+AD106*($F106+$G106)</f>
        <v>239175</v>
      </c>
      <c r="AQ106" s="27" t="n">
        <f aca="false">+AE106*($F106+$G106)</f>
        <v>0</v>
      </c>
      <c r="AR106" s="27" t="n">
        <f aca="false">+AF106*($F106+$G106)</f>
        <v>0</v>
      </c>
      <c r="AS106" s="27" t="n">
        <f aca="false">+AG106*($F106+$G106)</f>
        <v>0</v>
      </c>
    </row>
    <row r="107" customFormat="false" ht="12.75" hidden="false" customHeight="false" outlineLevel="0" collapsed="false">
      <c r="A107" s="102" t="s">
        <v>13</v>
      </c>
      <c r="B107" s="22" t="s">
        <v>88</v>
      </c>
      <c r="C107" s="61" t="n">
        <v>21372</v>
      </c>
      <c r="D107" s="62" t="n">
        <v>1346</v>
      </c>
      <c r="E107" s="61" t="s">
        <v>134</v>
      </c>
      <c r="F107" s="63" t="n">
        <v>0</v>
      </c>
      <c r="G107" s="63" t="n">
        <v>0</v>
      </c>
      <c r="H107" s="85" t="n">
        <v>0.1328</v>
      </c>
      <c r="I107" s="86" t="n">
        <v>36525</v>
      </c>
      <c r="J107" s="87" t="n">
        <v>37986</v>
      </c>
      <c r="K107" s="0" t="n">
        <v>366</v>
      </c>
      <c r="L107" s="0" t="n">
        <v>365</v>
      </c>
      <c r="M107" s="0" t="n">
        <v>365</v>
      </c>
      <c r="N107" s="0" t="n">
        <v>365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W107" s="60" t="n">
        <f aca="false">+K107*$D107</f>
        <v>492636</v>
      </c>
      <c r="X107" s="60" t="n">
        <f aca="false">+L107*$D107</f>
        <v>491290</v>
      </c>
      <c r="Y107" s="60" t="n">
        <f aca="false">+M107*$D107</f>
        <v>491290</v>
      </c>
      <c r="Z107" s="60" t="n">
        <f aca="false">+N107*$D107</f>
        <v>491290</v>
      </c>
      <c r="AA107" s="60" t="n">
        <f aca="false">+O107*$D107</f>
        <v>0</v>
      </c>
      <c r="AB107" s="60" t="n">
        <f aca="false">+P107*$D107</f>
        <v>0</v>
      </c>
      <c r="AC107" s="60" t="n">
        <f aca="false">+Q107*$D107</f>
        <v>0</v>
      </c>
      <c r="AD107" s="60" t="n">
        <f aca="false">+R107*$D107</f>
        <v>0</v>
      </c>
      <c r="AE107" s="60" t="n">
        <f aca="false">+S107*$D107</f>
        <v>0</v>
      </c>
      <c r="AF107" s="60" t="n">
        <f aca="false">+T107*$D107</f>
        <v>0</v>
      </c>
      <c r="AG107" s="60" t="n">
        <f aca="false">+U107*$D107</f>
        <v>0</v>
      </c>
      <c r="AI107" s="27" t="n">
        <f aca="false">+W107*($F107+$G107)</f>
        <v>0</v>
      </c>
      <c r="AJ107" s="27" t="n">
        <f aca="false">+X107*($F107+$G107)</f>
        <v>0</v>
      </c>
      <c r="AK107" s="27" t="n">
        <f aca="false">+Y107*($F107+$G107)</f>
        <v>0</v>
      </c>
      <c r="AL107" s="27" t="n">
        <f aca="false">+Z107*($F107+$G107)</f>
        <v>0</v>
      </c>
      <c r="AM107" s="27" t="n">
        <f aca="false">+AA107*($F107+$G107)</f>
        <v>0</v>
      </c>
      <c r="AN107" s="27" t="n">
        <f aca="false">+AB107*($F107+$G107)</f>
        <v>0</v>
      </c>
      <c r="AO107" s="27" t="n">
        <f aca="false">+AC107*($F107+$G107)</f>
        <v>0</v>
      </c>
      <c r="AP107" s="27" t="n">
        <f aca="false">+AD107*($F107+$G107)</f>
        <v>0</v>
      </c>
      <c r="AQ107" s="27" t="n">
        <f aca="false">+AE107*($F107+$G107)</f>
        <v>0</v>
      </c>
      <c r="AR107" s="27" t="n">
        <f aca="false">+AF107*($F107+$G107)</f>
        <v>0</v>
      </c>
      <c r="AS107" s="27" t="n">
        <f aca="false">+AG107*($F107+$G107)</f>
        <v>0</v>
      </c>
    </row>
    <row r="108" customFormat="false" ht="12.75" hidden="false" customHeight="false" outlineLevel="0" collapsed="false">
      <c r="A108" s="103" t="s">
        <v>13</v>
      </c>
      <c r="B108" s="22" t="s">
        <v>54</v>
      </c>
      <c r="C108" s="61" t="n">
        <v>26813</v>
      </c>
      <c r="D108" s="62" t="n">
        <v>3500</v>
      </c>
      <c r="E108" s="84" t="s">
        <v>127</v>
      </c>
      <c r="F108" s="63" t="n">
        <v>0.102</v>
      </c>
      <c r="G108" s="63" t="n">
        <v>0.0011</v>
      </c>
      <c r="H108" s="85" t="n">
        <f aca="false">+G108+F108</f>
        <v>0.1031</v>
      </c>
      <c r="I108" s="86" t="n">
        <v>36646</v>
      </c>
      <c r="J108" s="87" t="n">
        <v>39506</v>
      </c>
      <c r="K108" s="0" t="n">
        <v>245</v>
      </c>
      <c r="L108" s="0" t="n">
        <v>365</v>
      </c>
      <c r="M108" s="0" t="n">
        <v>365</v>
      </c>
      <c r="N108" s="0" t="n">
        <v>365</v>
      </c>
      <c r="O108" s="0" t="n">
        <v>366</v>
      </c>
      <c r="P108" s="0" t="n">
        <v>365</v>
      </c>
      <c r="Q108" s="0" t="n">
        <v>365</v>
      </c>
      <c r="R108" s="0" t="n">
        <v>59</v>
      </c>
      <c r="S108" s="0" t="n">
        <v>0</v>
      </c>
      <c r="T108" s="0" t="n">
        <v>0</v>
      </c>
      <c r="U108" s="0" t="n">
        <v>0</v>
      </c>
      <c r="W108" s="60" t="n">
        <f aca="false">+K108*$D108</f>
        <v>857500</v>
      </c>
      <c r="X108" s="60" t="n">
        <f aca="false">+L108*$D108</f>
        <v>1277500</v>
      </c>
      <c r="Y108" s="60" t="n">
        <f aca="false">+M108*$D108</f>
        <v>1277500</v>
      </c>
      <c r="Z108" s="60" t="n">
        <f aca="false">+N108*$D108</f>
        <v>1277500</v>
      </c>
      <c r="AA108" s="60" t="n">
        <f aca="false">+O108*$D108</f>
        <v>1281000</v>
      </c>
      <c r="AB108" s="60" t="n">
        <f aca="false">+P108*$D108</f>
        <v>1277500</v>
      </c>
      <c r="AC108" s="60" t="n">
        <f aca="false">+Q108*$D108</f>
        <v>1277500</v>
      </c>
      <c r="AD108" s="60" t="n">
        <f aca="false">+R108*$D108</f>
        <v>206500</v>
      </c>
      <c r="AE108" s="60" t="n">
        <f aca="false">+S108*$D108</f>
        <v>0</v>
      </c>
      <c r="AF108" s="60" t="n">
        <f aca="false">+T108*$D108</f>
        <v>0</v>
      </c>
      <c r="AG108" s="60" t="n">
        <f aca="false">+U108*$D108</f>
        <v>0</v>
      </c>
      <c r="AI108" s="27" t="n">
        <f aca="false">+W108*($F108+$G108)</f>
        <v>88408.25</v>
      </c>
      <c r="AJ108" s="27" t="n">
        <f aca="false">+X108*($F108+$G108)</f>
        <v>131710.25</v>
      </c>
      <c r="AK108" s="27" t="n">
        <f aca="false">+Y108*($F108+$G108)</f>
        <v>131710.25</v>
      </c>
      <c r="AL108" s="27" t="n">
        <f aca="false">+Z108*($F108+$G108)</f>
        <v>131710.25</v>
      </c>
      <c r="AM108" s="27" t="n">
        <f aca="false">+AA108*($F108+$G108)</f>
        <v>132071.1</v>
      </c>
      <c r="AN108" s="27" t="n">
        <f aca="false">+AB108*($F108+$G108)</f>
        <v>131710.25</v>
      </c>
      <c r="AO108" s="27" t="n">
        <f aca="false">+AC108*($F108+$G108)</f>
        <v>131710.25</v>
      </c>
      <c r="AP108" s="27" t="n">
        <f aca="false">+AD108*($F108+$G108)</f>
        <v>21290.15</v>
      </c>
      <c r="AQ108" s="27" t="n">
        <f aca="false">+AE108*($F108+$G108)</f>
        <v>0</v>
      </c>
      <c r="AR108" s="27" t="n">
        <f aca="false">+AF108*($F108+$G108)</f>
        <v>0</v>
      </c>
      <c r="AS108" s="27" t="n">
        <f aca="false">+AG108*($F108+$G108)</f>
        <v>0</v>
      </c>
    </row>
    <row r="109" customFormat="false" ht="12.75" hidden="false" customHeight="false" outlineLevel="0" collapsed="false">
      <c r="A109" s="102" t="s">
        <v>13</v>
      </c>
      <c r="B109" s="22" t="s">
        <v>89</v>
      </c>
      <c r="C109" s="61" t="n">
        <v>21175</v>
      </c>
      <c r="D109" s="62" t="n">
        <v>150000</v>
      </c>
      <c r="E109" s="61" t="s">
        <v>137</v>
      </c>
      <c r="F109" s="63" t="n">
        <v>0.1052</v>
      </c>
      <c r="G109" s="63" t="n">
        <v>0.0011</v>
      </c>
      <c r="H109" s="85" t="n">
        <f aca="false">+G109+F109</f>
        <v>0.1063</v>
      </c>
      <c r="I109" s="86" t="n">
        <v>36525</v>
      </c>
      <c r="J109" s="87" t="n">
        <v>39172</v>
      </c>
      <c r="K109" s="0" t="n">
        <v>366</v>
      </c>
      <c r="L109" s="0" t="n">
        <v>365</v>
      </c>
      <c r="M109" s="0" t="n">
        <v>365</v>
      </c>
      <c r="N109" s="0" t="n">
        <v>365</v>
      </c>
      <c r="O109" s="0" t="n">
        <v>366</v>
      </c>
      <c r="P109" s="0" t="n">
        <v>365</v>
      </c>
      <c r="Q109" s="0" t="n">
        <v>365</v>
      </c>
      <c r="R109" s="0" t="n">
        <v>90</v>
      </c>
      <c r="S109" s="0" t="n">
        <v>0</v>
      </c>
      <c r="T109" s="0" t="n">
        <v>0</v>
      </c>
      <c r="U109" s="0" t="n">
        <v>0</v>
      </c>
      <c r="W109" s="60" t="n">
        <f aca="false">+K109*$D109</f>
        <v>54900000</v>
      </c>
      <c r="X109" s="60" t="n">
        <f aca="false">+L109*$D109</f>
        <v>54750000</v>
      </c>
      <c r="Y109" s="60" t="n">
        <f aca="false">+M109*$D109</f>
        <v>54750000</v>
      </c>
      <c r="Z109" s="60" t="n">
        <f aca="false">+N109*$D109</f>
        <v>54750000</v>
      </c>
      <c r="AA109" s="60" t="n">
        <f aca="false">+O109*$D109</f>
        <v>54900000</v>
      </c>
      <c r="AB109" s="60" t="n">
        <f aca="false">+P109*$D109</f>
        <v>54750000</v>
      </c>
      <c r="AC109" s="60" t="n">
        <f aca="false">+Q109*$D109</f>
        <v>54750000</v>
      </c>
      <c r="AD109" s="60" t="n">
        <f aca="false">+R109*$D109</f>
        <v>13500000</v>
      </c>
      <c r="AE109" s="60" t="n">
        <f aca="false">+S109*$D109</f>
        <v>0</v>
      </c>
      <c r="AF109" s="60" t="n">
        <f aca="false">+T109*$D109</f>
        <v>0</v>
      </c>
      <c r="AG109" s="60" t="n">
        <f aca="false">+U109*$D109</f>
        <v>0</v>
      </c>
      <c r="AI109" s="27" t="n">
        <f aca="false">+W109*($F109+$G109)</f>
        <v>5835870</v>
      </c>
      <c r="AJ109" s="27" t="n">
        <f aca="false">+X109*($F109+$G109)</f>
        <v>5819925</v>
      </c>
      <c r="AK109" s="27" t="n">
        <f aca="false">+Y109*($F109+$G109)</f>
        <v>5819925</v>
      </c>
      <c r="AL109" s="27" t="n">
        <f aca="false">+Z109*($F109+$G109)</f>
        <v>5819925</v>
      </c>
      <c r="AM109" s="27" t="n">
        <f aca="false">+AA109*($F109+$G109)</f>
        <v>5835870</v>
      </c>
      <c r="AN109" s="27" t="n">
        <f aca="false">+AB109*($F109+$G109)</f>
        <v>5819925</v>
      </c>
      <c r="AO109" s="27" t="n">
        <f aca="false">+AC109*($F109+$G109)</f>
        <v>5819925</v>
      </c>
      <c r="AP109" s="27" t="n">
        <f aca="false">+AD109*($F109+$G109)</f>
        <v>1435050</v>
      </c>
      <c r="AQ109" s="27" t="n">
        <f aca="false">+AE109*($F109+$G109)</f>
        <v>0</v>
      </c>
      <c r="AR109" s="27" t="n">
        <f aca="false">+AF109*($F109+$G109)</f>
        <v>0</v>
      </c>
      <c r="AS109" s="27" t="n">
        <f aca="false">+AG109*($F109+$G109)</f>
        <v>0</v>
      </c>
    </row>
    <row r="110" customFormat="false" ht="12.75" hidden="false" customHeight="false" outlineLevel="0" collapsed="false">
      <c r="A110" s="102" t="s">
        <v>13</v>
      </c>
      <c r="B110" s="22" t="s">
        <v>90</v>
      </c>
      <c r="C110" s="61" t="n">
        <v>21172</v>
      </c>
      <c r="D110" s="62" t="n">
        <v>0</v>
      </c>
      <c r="H110" s="85" t="n">
        <f aca="false">+G110+F110</f>
        <v>0</v>
      </c>
      <c r="I110" s="86" t="n">
        <v>36525</v>
      </c>
      <c r="J110" s="87" t="n">
        <v>39172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W110" s="60" t="n">
        <f aca="false">+K110*$D110</f>
        <v>0</v>
      </c>
      <c r="X110" s="60" t="n">
        <f aca="false">+L110*$D110</f>
        <v>0</v>
      </c>
      <c r="Y110" s="60" t="n">
        <f aca="false">+M110*$D110</f>
        <v>0</v>
      </c>
      <c r="Z110" s="60" t="n">
        <f aca="false">+N110*$D110</f>
        <v>0</v>
      </c>
      <c r="AA110" s="60" t="n">
        <f aca="false">+O110*$D110</f>
        <v>0</v>
      </c>
      <c r="AB110" s="60" t="n">
        <f aca="false">+P110*$D110</f>
        <v>0</v>
      </c>
      <c r="AC110" s="60" t="n">
        <f aca="false">+Q110*$D110</f>
        <v>0</v>
      </c>
      <c r="AD110" s="60" t="n">
        <f aca="false">+R110*$D110</f>
        <v>0</v>
      </c>
      <c r="AE110" s="60" t="n">
        <f aca="false">+S110*$D110</f>
        <v>0</v>
      </c>
      <c r="AF110" s="60" t="n">
        <f aca="false">+T110*$D110</f>
        <v>0</v>
      </c>
      <c r="AG110" s="60" t="n">
        <f aca="false">+U110*$D110</f>
        <v>0</v>
      </c>
      <c r="AI110" s="27" t="n">
        <f aca="false">+W110*($F110+$G110)</f>
        <v>0</v>
      </c>
      <c r="AJ110" s="27" t="n">
        <f aca="false">+X110*($F110+$G110)</f>
        <v>0</v>
      </c>
      <c r="AK110" s="27" t="n">
        <f aca="false">+Y110*($F110+$G110)</f>
        <v>0</v>
      </c>
      <c r="AL110" s="27" t="n">
        <f aca="false">+Z110*($F110+$G110)</f>
        <v>0</v>
      </c>
      <c r="AM110" s="27" t="n">
        <f aca="false">+AA110*($F110+$G110)</f>
        <v>0</v>
      </c>
      <c r="AN110" s="27" t="n">
        <f aca="false">+AB110*($F110+$G110)</f>
        <v>0</v>
      </c>
      <c r="AO110" s="27" t="n">
        <f aca="false">+AC110*($F110+$G110)</f>
        <v>0</v>
      </c>
      <c r="AP110" s="27" t="n">
        <f aca="false">+AD110*($F110+$G110)</f>
        <v>0</v>
      </c>
      <c r="AQ110" s="27" t="n">
        <f aca="false">+AE110*($F110+$G110)</f>
        <v>0</v>
      </c>
      <c r="AR110" s="27" t="n">
        <f aca="false">+AF110*($F110+$G110)</f>
        <v>0</v>
      </c>
      <c r="AS110" s="27" t="n">
        <f aca="false">+AG110*($F110+$G110)</f>
        <v>0</v>
      </c>
    </row>
    <row r="111" customFormat="false" ht="12.75" hidden="false" customHeight="false" outlineLevel="0" collapsed="false">
      <c r="A111" s="103" t="s">
        <v>13</v>
      </c>
      <c r="B111" s="22" t="s">
        <v>91</v>
      </c>
      <c r="C111" s="61" t="n">
        <v>27454</v>
      </c>
      <c r="D111" s="62" t="n">
        <v>27500</v>
      </c>
      <c r="E111" s="61" t="s">
        <v>132</v>
      </c>
      <c r="F111" s="63" t="n">
        <v>0.102</v>
      </c>
      <c r="G111" s="63" t="n">
        <v>0.0011</v>
      </c>
      <c r="H111" s="85" t="n">
        <f aca="false">+G111+F111</f>
        <v>0.1031</v>
      </c>
      <c r="I111" s="86" t="n">
        <v>37256</v>
      </c>
      <c r="J111" s="87" t="n">
        <v>37621</v>
      </c>
      <c r="K111" s="0" t="n">
        <v>0</v>
      </c>
      <c r="L111" s="0" t="n">
        <v>0</v>
      </c>
      <c r="M111" s="0" t="n">
        <v>365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W111" s="60" t="n">
        <f aca="false">+K111*$D111</f>
        <v>0</v>
      </c>
      <c r="X111" s="60" t="n">
        <f aca="false">+L111*$D111</f>
        <v>0</v>
      </c>
      <c r="Y111" s="60" t="n">
        <f aca="false">+M111*$D111</f>
        <v>10037500</v>
      </c>
      <c r="Z111" s="60" t="n">
        <f aca="false">+N111*$D111</f>
        <v>0</v>
      </c>
      <c r="AA111" s="60" t="n">
        <f aca="false">+O111*$D111</f>
        <v>0</v>
      </c>
      <c r="AB111" s="60" t="n">
        <f aca="false">+P111*$D111</f>
        <v>0</v>
      </c>
      <c r="AC111" s="60" t="n">
        <f aca="false">+Q111*$D111</f>
        <v>0</v>
      </c>
      <c r="AD111" s="60" t="n">
        <f aca="false">+R111*$D111</f>
        <v>0</v>
      </c>
      <c r="AE111" s="60" t="n">
        <f aca="false">+S111*$D111</f>
        <v>0</v>
      </c>
      <c r="AF111" s="60" t="n">
        <f aca="false">+T111*$D111</f>
        <v>0</v>
      </c>
      <c r="AG111" s="60" t="n">
        <f aca="false">+U111*$D111</f>
        <v>0</v>
      </c>
      <c r="AI111" s="27" t="n">
        <f aca="false">+W111*($F111+$G111)</f>
        <v>0</v>
      </c>
      <c r="AJ111" s="27" t="n">
        <f aca="false">+X111*($F111+$G111)</f>
        <v>0</v>
      </c>
      <c r="AK111" s="27" t="n">
        <f aca="false">+Y111*($F111+$G111)</f>
        <v>1034866.25</v>
      </c>
      <c r="AL111" s="27" t="n">
        <f aca="false">+Z111*($F111+$G111)</f>
        <v>0</v>
      </c>
      <c r="AM111" s="27" t="n">
        <f aca="false">+AA111*($F111+$G111)</f>
        <v>0</v>
      </c>
      <c r="AN111" s="27" t="n">
        <f aca="false">+AB111*($F111+$G111)</f>
        <v>0</v>
      </c>
      <c r="AO111" s="27" t="n">
        <f aca="false">+AC111*($F111+$G111)</f>
        <v>0</v>
      </c>
      <c r="AP111" s="27" t="n">
        <f aca="false">+AD111*($F111+$G111)</f>
        <v>0</v>
      </c>
      <c r="AQ111" s="27" t="n">
        <f aca="false">+AE111*($F111+$G111)</f>
        <v>0</v>
      </c>
      <c r="AR111" s="27" t="n">
        <f aca="false">+AF111*($F111+$G111)</f>
        <v>0</v>
      </c>
      <c r="AS111" s="27" t="n">
        <f aca="false">+AG111*($F111+$G111)</f>
        <v>0</v>
      </c>
    </row>
    <row r="112" customFormat="false" ht="12.75" hidden="false" customHeight="false" outlineLevel="0" collapsed="false">
      <c r="A112" s="102" t="s">
        <v>13</v>
      </c>
      <c r="B112" s="22" t="s">
        <v>92</v>
      </c>
      <c r="C112" s="61" t="n">
        <v>21375</v>
      </c>
      <c r="D112" s="62" t="n">
        <v>20000</v>
      </c>
      <c r="E112" s="61" t="s">
        <v>133</v>
      </c>
      <c r="F112" s="63" t="n">
        <v>0.1052</v>
      </c>
      <c r="G112" s="63" t="n">
        <v>0.0011</v>
      </c>
      <c r="H112" s="85" t="n">
        <f aca="false">+G112+F112</f>
        <v>0.1063</v>
      </c>
      <c r="I112" s="86" t="n">
        <v>36525</v>
      </c>
      <c r="J112" s="87" t="n">
        <v>39141</v>
      </c>
      <c r="K112" s="0" t="n">
        <v>366</v>
      </c>
      <c r="L112" s="0" t="n">
        <v>365</v>
      </c>
      <c r="M112" s="0" t="n">
        <v>365</v>
      </c>
      <c r="N112" s="0" t="n">
        <v>365</v>
      </c>
      <c r="O112" s="0" t="n">
        <v>366</v>
      </c>
      <c r="P112" s="0" t="n">
        <v>365</v>
      </c>
      <c r="Q112" s="0" t="n">
        <v>365</v>
      </c>
      <c r="R112" s="0" t="n">
        <v>59</v>
      </c>
      <c r="S112" s="0" t="n">
        <v>0</v>
      </c>
      <c r="T112" s="0" t="n">
        <v>0</v>
      </c>
      <c r="U112" s="0" t="n">
        <v>0</v>
      </c>
      <c r="W112" s="60" t="n">
        <f aca="false">+K112*$D112</f>
        <v>7320000</v>
      </c>
      <c r="X112" s="60" t="n">
        <f aca="false">+L112*$D112</f>
        <v>7300000</v>
      </c>
      <c r="Y112" s="60" t="n">
        <f aca="false">+M112*$D112</f>
        <v>7300000</v>
      </c>
      <c r="Z112" s="60" t="n">
        <f aca="false">+N112*$D112</f>
        <v>7300000</v>
      </c>
      <c r="AA112" s="60" t="n">
        <f aca="false">+O112*$D112</f>
        <v>7320000</v>
      </c>
      <c r="AB112" s="60" t="n">
        <f aca="false">+P112*$D112</f>
        <v>7300000</v>
      </c>
      <c r="AC112" s="60" t="n">
        <f aca="false">+Q112*$D112</f>
        <v>7300000</v>
      </c>
      <c r="AD112" s="60" t="n">
        <f aca="false">+R112*$D112</f>
        <v>1180000</v>
      </c>
      <c r="AE112" s="60" t="n">
        <f aca="false">+S112*$D112</f>
        <v>0</v>
      </c>
      <c r="AF112" s="60" t="n">
        <f aca="false">+T112*$D112</f>
        <v>0</v>
      </c>
      <c r="AG112" s="60" t="n">
        <f aca="false">+U112*$D112</f>
        <v>0</v>
      </c>
      <c r="AI112" s="27" t="n">
        <f aca="false">+W112*($F112+$G112)</f>
        <v>778116</v>
      </c>
      <c r="AJ112" s="27" t="n">
        <f aca="false">+X112*($F112+$G112)</f>
        <v>775990</v>
      </c>
      <c r="AK112" s="27" t="n">
        <f aca="false">+Y112*($F112+$G112)</f>
        <v>775990</v>
      </c>
      <c r="AL112" s="27" t="n">
        <f aca="false">+Z112*($F112+$G112)</f>
        <v>775990</v>
      </c>
      <c r="AM112" s="27" t="n">
        <f aca="false">+AA112*($F112+$G112)</f>
        <v>778116</v>
      </c>
      <c r="AN112" s="27" t="n">
        <f aca="false">+AB112*($F112+$G112)</f>
        <v>775990</v>
      </c>
      <c r="AO112" s="27" t="n">
        <f aca="false">+AC112*($F112+$G112)</f>
        <v>775990</v>
      </c>
      <c r="AP112" s="27" t="n">
        <f aca="false">+AD112*($F112+$G112)</f>
        <v>125434</v>
      </c>
      <c r="AQ112" s="27" t="n">
        <f aca="false">+AE112*($F112+$G112)</f>
        <v>0</v>
      </c>
      <c r="AR112" s="27" t="n">
        <f aca="false">+AF112*($F112+$G112)</f>
        <v>0</v>
      </c>
      <c r="AS112" s="27" t="n">
        <f aca="false">+AG112*($F112+$G112)</f>
        <v>0</v>
      </c>
    </row>
    <row r="113" customFormat="false" ht="12.75" hidden="false" customHeight="false" outlineLevel="0" collapsed="false">
      <c r="A113" s="103" t="s">
        <v>13</v>
      </c>
      <c r="B113" s="22" t="s">
        <v>58</v>
      </c>
      <c r="C113" s="61" t="n">
        <v>26816</v>
      </c>
      <c r="D113" s="62" t="n">
        <v>21500</v>
      </c>
      <c r="E113" s="84" t="s">
        <v>127</v>
      </c>
      <c r="F113" s="63" t="n">
        <v>0.102</v>
      </c>
      <c r="G113" s="63" t="n">
        <v>0.0011</v>
      </c>
      <c r="H113" s="85" t="n">
        <f aca="false">+G113+F113</f>
        <v>0.1031</v>
      </c>
      <c r="I113" s="86" t="n">
        <v>36646</v>
      </c>
      <c r="J113" s="87" t="n">
        <v>38472</v>
      </c>
      <c r="K113" s="0" t="n">
        <v>245</v>
      </c>
      <c r="L113" s="0" t="n">
        <v>365</v>
      </c>
      <c r="M113" s="0" t="n">
        <v>365</v>
      </c>
      <c r="N113" s="0" t="n">
        <v>365</v>
      </c>
      <c r="O113" s="0" t="n">
        <v>366</v>
      </c>
      <c r="P113" s="0" t="n">
        <v>120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W113" s="60" t="n">
        <f aca="false">+K113*$D113</f>
        <v>5267500</v>
      </c>
      <c r="X113" s="60" t="n">
        <f aca="false">+L113*$D113</f>
        <v>7847500</v>
      </c>
      <c r="Y113" s="60" t="n">
        <f aca="false">+M113*$D113</f>
        <v>7847500</v>
      </c>
      <c r="Z113" s="60" t="n">
        <f aca="false">+N113*$D113</f>
        <v>7847500</v>
      </c>
      <c r="AA113" s="60" t="n">
        <f aca="false">+O113*$D113</f>
        <v>7869000</v>
      </c>
      <c r="AB113" s="60" t="n">
        <f aca="false">+P113*$D113</f>
        <v>2580000</v>
      </c>
      <c r="AC113" s="60" t="n">
        <f aca="false">+Q113*$D113</f>
        <v>0</v>
      </c>
      <c r="AD113" s="60" t="n">
        <f aca="false">+R113*$D113</f>
        <v>0</v>
      </c>
      <c r="AE113" s="60" t="n">
        <f aca="false">+S113*$D113</f>
        <v>0</v>
      </c>
      <c r="AF113" s="60" t="n">
        <f aca="false">+T113*$D113</f>
        <v>0</v>
      </c>
      <c r="AG113" s="60" t="n">
        <f aca="false">+U113*$D113</f>
        <v>0</v>
      </c>
      <c r="AI113" s="27" t="n">
        <f aca="false">+W113*($F113+$G113)</f>
        <v>543079.25</v>
      </c>
      <c r="AJ113" s="27" t="n">
        <f aca="false">+X113*($F113+$G113)</f>
        <v>809077.25</v>
      </c>
      <c r="AK113" s="27" t="n">
        <f aca="false">+Y113*($F113+$G113)</f>
        <v>809077.25</v>
      </c>
      <c r="AL113" s="27" t="n">
        <f aca="false">+Z113*($F113+$G113)</f>
        <v>809077.25</v>
      </c>
      <c r="AM113" s="27" t="n">
        <f aca="false">+AA113*($F113+$G113)</f>
        <v>811293.9</v>
      </c>
      <c r="AN113" s="27" t="n">
        <f aca="false">+AB113*($F113+$G113)</f>
        <v>265998</v>
      </c>
      <c r="AO113" s="27" t="n">
        <f aca="false">+AC113*($F113+$G113)</f>
        <v>0</v>
      </c>
      <c r="AP113" s="27" t="n">
        <f aca="false">+AD113*($F113+$G113)</f>
        <v>0</v>
      </c>
      <c r="AQ113" s="27" t="n">
        <f aca="false">+AE113*($F113+$G113)</f>
        <v>0</v>
      </c>
      <c r="AR113" s="27" t="n">
        <f aca="false">+AF113*($F113+$G113)</f>
        <v>0</v>
      </c>
      <c r="AS113" s="27" t="n">
        <f aca="false">+AG113*($F113+$G113)</f>
        <v>0</v>
      </c>
    </row>
    <row r="114" customFormat="false" ht="12.75" hidden="false" customHeight="false" outlineLevel="0" collapsed="false">
      <c r="A114" s="103" t="s">
        <v>13</v>
      </c>
      <c r="B114" s="22" t="s">
        <v>58</v>
      </c>
      <c r="C114" s="61" t="n">
        <v>27504</v>
      </c>
      <c r="D114" s="62" t="n">
        <v>35000</v>
      </c>
      <c r="E114" s="61" t="s">
        <v>132</v>
      </c>
      <c r="F114" s="63" t="n">
        <v>0.102</v>
      </c>
      <c r="G114" s="63" t="n">
        <v>0.0011</v>
      </c>
      <c r="H114" s="85" t="n">
        <f aca="false">+G114+F114</f>
        <v>0.1031</v>
      </c>
      <c r="I114" s="86" t="n">
        <v>37986</v>
      </c>
      <c r="J114" s="87" t="n">
        <v>38717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366</v>
      </c>
      <c r="P114" s="0" t="n">
        <v>365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W114" s="60" t="n">
        <f aca="false">+K114*$D114</f>
        <v>0</v>
      </c>
      <c r="X114" s="60" t="n">
        <f aca="false">+L114*$D114</f>
        <v>0</v>
      </c>
      <c r="Y114" s="60" t="n">
        <f aca="false">+M114*$D114</f>
        <v>0</v>
      </c>
      <c r="Z114" s="60" t="n">
        <f aca="false">+N114*$D114</f>
        <v>0</v>
      </c>
      <c r="AA114" s="60" t="n">
        <f aca="false">+O114*$D114</f>
        <v>12810000</v>
      </c>
      <c r="AB114" s="60" t="n">
        <f aca="false">+P114*$D114</f>
        <v>12775000</v>
      </c>
      <c r="AC114" s="60" t="n">
        <f aca="false">+Q114*$D114</f>
        <v>0</v>
      </c>
      <c r="AD114" s="60" t="n">
        <f aca="false">+R114*$D114</f>
        <v>0</v>
      </c>
      <c r="AE114" s="60" t="n">
        <f aca="false">+S114*$D114</f>
        <v>0</v>
      </c>
      <c r="AF114" s="60" t="n">
        <f aca="false">+T114*$D114</f>
        <v>0</v>
      </c>
      <c r="AG114" s="60" t="n">
        <f aca="false">+U114*$D114</f>
        <v>0</v>
      </c>
      <c r="AI114" s="27" t="n">
        <f aca="false">+W114*($F114+$G114)</f>
        <v>0</v>
      </c>
      <c r="AJ114" s="27" t="n">
        <f aca="false">+X114*($F114+$G114)</f>
        <v>0</v>
      </c>
      <c r="AK114" s="27" t="n">
        <f aca="false">+Y114*($F114+$G114)</f>
        <v>0</v>
      </c>
      <c r="AL114" s="27" t="n">
        <f aca="false">+Z114*($F114+$G114)</f>
        <v>0</v>
      </c>
      <c r="AM114" s="27" t="n">
        <f aca="false">+AA114*($F114+$G114)</f>
        <v>1320711</v>
      </c>
      <c r="AN114" s="27" t="n">
        <f aca="false">+AB114*($F114+$G114)</f>
        <v>1317102.5</v>
      </c>
      <c r="AO114" s="27" t="n">
        <f aca="false">+AC114*($F114+$G114)</f>
        <v>0</v>
      </c>
      <c r="AP114" s="27" t="n">
        <f aca="false">+AD114*($F114+$G114)</f>
        <v>0</v>
      </c>
      <c r="AQ114" s="27" t="n">
        <f aca="false">+AE114*($F114+$G114)</f>
        <v>0</v>
      </c>
      <c r="AR114" s="27" t="n">
        <f aca="false">+AF114*($F114+$G114)</f>
        <v>0</v>
      </c>
      <c r="AS114" s="27" t="n">
        <f aca="false">+AG114*($F114+$G114)</f>
        <v>0</v>
      </c>
    </row>
    <row r="115" customFormat="false" ht="12.75" hidden="false" customHeight="false" outlineLevel="0" collapsed="false">
      <c r="A115" s="103" t="s">
        <v>13</v>
      </c>
      <c r="B115" s="22" t="s">
        <v>93</v>
      </c>
      <c r="C115" s="61" t="n">
        <v>24670</v>
      </c>
      <c r="D115" s="62" t="n">
        <v>10000</v>
      </c>
      <c r="E115" s="61" t="s">
        <v>138</v>
      </c>
      <c r="F115" s="63" t="n">
        <v>0.102</v>
      </c>
      <c r="G115" s="63" t="n">
        <v>0.0011</v>
      </c>
      <c r="H115" s="85" t="n">
        <f aca="false">+G115+F115</f>
        <v>0.1031</v>
      </c>
      <c r="I115" s="86" t="n">
        <v>36525</v>
      </c>
      <c r="J115" s="87" t="n">
        <v>39202</v>
      </c>
      <c r="K115" s="0" t="n">
        <v>366</v>
      </c>
      <c r="L115" s="0" t="n">
        <v>365</v>
      </c>
      <c r="M115" s="0" t="n">
        <v>365</v>
      </c>
      <c r="N115" s="0" t="n">
        <v>365</v>
      </c>
      <c r="O115" s="0" t="n">
        <v>366</v>
      </c>
      <c r="P115" s="0" t="n">
        <v>365</v>
      </c>
      <c r="Q115" s="0" t="n">
        <v>365</v>
      </c>
      <c r="R115" s="0" t="n">
        <v>120</v>
      </c>
      <c r="S115" s="0" t="n">
        <v>0</v>
      </c>
      <c r="T115" s="0" t="n">
        <v>0</v>
      </c>
      <c r="U115" s="0" t="n">
        <v>0</v>
      </c>
      <c r="W115" s="60" t="n">
        <f aca="false">+K115*$D115</f>
        <v>3660000</v>
      </c>
      <c r="X115" s="60" t="n">
        <f aca="false">+L115*$D115</f>
        <v>3650000</v>
      </c>
      <c r="Y115" s="60" t="n">
        <f aca="false">+M115*$D115</f>
        <v>3650000</v>
      </c>
      <c r="Z115" s="60" t="n">
        <f aca="false">+N115*$D115</f>
        <v>3650000</v>
      </c>
      <c r="AA115" s="60" t="n">
        <f aca="false">+O115*$D115</f>
        <v>3660000</v>
      </c>
      <c r="AB115" s="60" t="n">
        <f aca="false">+P115*$D115</f>
        <v>3650000</v>
      </c>
      <c r="AC115" s="60" t="n">
        <f aca="false">+Q115*$D115</f>
        <v>3650000</v>
      </c>
      <c r="AD115" s="60" t="n">
        <f aca="false">+R115*$D115</f>
        <v>1200000</v>
      </c>
      <c r="AE115" s="60" t="n">
        <f aca="false">+S115*$D115</f>
        <v>0</v>
      </c>
      <c r="AF115" s="60" t="n">
        <f aca="false">+T115*$D115</f>
        <v>0</v>
      </c>
      <c r="AG115" s="60" t="n">
        <f aca="false">+U115*$D115</f>
        <v>0</v>
      </c>
      <c r="AI115" s="27" t="n">
        <f aca="false">+W115*($F115+$G115)</f>
        <v>377346</v>
      </c>
      <c r="AJ115" s="27" t="n">
        <f aca="false">+X115*($F115+$G115)</f>
        <v>376315</v>
      </c>
      <c r="AK115" s="27" t="n">
        <f aca="false">+Y115*($F115+$G115)</f>
        <v>376315</v>
      </c>
      <c r="AL115" s="27" t="n">
        <f aca="false">+Z115*($F115+$G115)</f>
        <v>376315</v>
      </c>
      <c r="AM115" s="27" t="n">
        <f aca="false">+AA115*($F115+$G115)</f>
        <v>377346</v>
      </c>
      <c r="AN115" s="27" t="n">
        <f aca="false">+AB115*($F115+$G115)</f>
        <v>376315</v>
      </c>
      <c r="AO115" s="27" t="n">
        <f aca="false">+AC115*($F115+$G115)</f>
        <v>376315</v>
      </c>
      <c r="AP115" s="27" t="n">
        <f aca="false">+AD115*($F115+$G115)</f>
        <v>123720</v>
      </c>
      <c r="AQ115" s="27" t="n">
        <f aca="false">+AE115*($F115+$G115)</f>
        <v>0</v>
      </c>
      <c r="AR115" s="27" t="n">
        <f aca="false">+AF115*($F115+$G115)</f>
        <v>0</v>
      </c>
      <c r="AS115" s="27" t="n">
        <f aca="false">+AG115*($F115+$G115)</f>
        <v>0</v>
      </c>
    </row>
    <row r="116" customFormat="false" ht="12.75" hidden="false" customHeight="false" outlineLevel="0" collapsed="false">
      <c r="A116" s="102" t="s">
        <v>13</v>
      </c>
      <c r="B116" s="22" t="s">
        <v>94</v>
      </c>
      <c r="C116" s="61" t="n">
        <v>20715</v>
      </c>
      <c r="D116" s="62" t="n">
        <v>200000</v>
      </c>
      <c r="E116" s="61" t="s">
        <v>133</v>
      </c>
      <c r="F116" s="63" t="n">
        <v>0.1052</v>
      </c>
      <c r="G116" s="63" t="n">
        <v>0.0011</v>
      </c>
      <c r="H116" s="85" t="n">
        <f aca="false">+G116+F116</f>
        <v>0.1063</v>
      </c>
      <c r="I116" s="86" t="n">
        <v>36525</v>
      </c>
      <c r="J116" s="87" t="n">
        <v>38656</v>
      </c>
      <c r="K116" s="0" t="n">
        <v>366</v>
      </c>
      <c r="L116" s="0" t="n">
        <v>365</v>
      </c>
      <c r="M116" s="0" t="n">
        <v>365</v>
      </c>
      <c r="N116" s="0" t="n">
        <v>365</v>
      </c>
      <c r="O116" s="0" t="n">
        <v>366</v>
      </c>
      <c r="P116" s="0" t="n">
        <v>304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W116" s="60" t="n">
        <f aca="false">+K116*$D116</f>
        <v>73200000</v>
      </c>
      <c r="X116" s="60" t="n">
        <f aca="false">+L116*$D116</f>
        <v>73000000</v>
      </c>
      <c r="Y116" s="60" t="n">
        <f aca="false">+M116*$D116</f>
        <v>73000000</v>
      </c>
      <c r="Z116" s="60" t="n">
        <f aca="false">+N116*$D116</f>
        <v>73000000</v>
      </c>
      <c r="AA116" s="60" t="n">
        <f aca="false">+O116*$D116</f>
        <v>73200000</v>
      </c>
      <c r="AB116" s="60" t="n">
        <f aca="false">+P116*$D116</f>
        <v>60800000</v>
      </c>
      <c r="AC116" s="60" t="n">
        <f aca="false">+Q116*$D116</f>
        <v>0</v>
      </c>
      <c r="AD116" s="60" t="n">
        <f aca="false">+R116*$D116</f>
        <v>0</v>
      </c>
      <c r="AE116" s="60" t="n">
        <f aca="false">+S116*$D116</f>
        <v>0</v>
      </c>
      <c r="AF116" s="60" t="n">
        <f aca="false">+T116*$D116</f>
        <v>0</v>
      </c>
      <c r="AG116" s="60" t="n">
        <f aca="false">+U116*$D116</f>
        <v>0</v>
      </c>
      <c r="AI116" s="27" t="n">
        <f aca="false">+W116*($F116+$G116)</f>
        <v>7781160</v>
      </c>
      <c r="AJ116" s="27" t="n">
        <f aca="false">+X116*($F116+$G116)</f>
        <v>7759900</v>
      </c>
      <c r="AK116" s="27" t="n">
        <f aca="false">+Y116*($F116+$G116)</f>
        <v>7759900</v>
      </c>
      <c r="AL116" s="27" t="n">
        <f aca="false">+Z116*($F116+$G116)</f>
        <v>7759900</v>
      </c>
      <c r="AM116" s="27" t="n">
        <f aca="false">+AA116*($F116+$G116)</f>
        <v>7781160</v>
      </c>
      <c r="AN116" s="27" t="n">
        <f aca="false">+AB116*($F116+$G116)</f>
        <v>6463040</v>
      </c>
      <c r="AO116" s="27" t="n">
        <f aca="false">+AC116*($F116+$G116)</f>
        <v>0</v>
      </c>
      <c r="AP116" s="27" t="n">
        <f aca="false">+AD116*($F116+$G116)</f>
        <v>0</v>
      </c>
      <c r="AQ116" s="27" t="n">
        <f aca="false">+AE116*($F116+$G116)</f>
        <v>0</v>
      </c>
      <c r="AR116" s="27" t="n">
        <f aca="false">+AF116*($F116+$G116)</f>
        <v>0</v>
      </c>
      <c r="AS116" s="27" t="n">
        <f aca="false">+AG116*($F116+$G116)</f>
        <v>0</v>
      </c>
    </row>
    <row r="117" customFormat="false" ht="12.75" hidden="false" customHeight="false" outlineLevel="0" collapsed="false">
      <c r="A117" s="103" t="s">
        <v>13</v>
      </c>
      <c r="B117" s="22" t="s">
        <v>95</v>
      </c>
      <c r="C117" s="61" t="n">
        <v>26719</v>
      </c>
      <c r="D117" s="62" t="n">
        <v>25000</v>
      </c>
      <c r="E117" s="84" t="s">
        <v>127</v>
      </c>
      <c r="F117" s="63" t="n">
        <v>0.102</v>
      </c>
      <c r="G117" s="63" t="n">
        <v>0.0011</v>
      </c>
      <c r="H117" s="85" t="n">
        <f aca="false">+G117+F117</f>
        <v>0.1031</v>
      </c>
      <c r="I117" s="86" t="n">
        <v>36646</v>
      </c>
      <c r="J117" s="87" t="n">
        <v>38472</v>
      </c>
      <c r="K117" s="0" t="n">
        <v>245</v>
      </c>
      <c r="L117" s="0" t="n">
        <v>365</v>
      </c>
      <c r="M117" s="0" t="n">
        <v>365</v>
      </c>
      <c r="N117" s="0" t="n">
        <v>365</v>
      </c>
      <c r="O117" s="0" t="n">
        <v>366</v>
      </c>
      <c r="P117" s="0" t="n">
        <v>120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W117" s="60" t="n">
        <f aca="false">+K117*$D117</f>
        <v>6125000</v>
      </c>
      <c r="X117" s="60" t="n">
        <f aca="false">+L117*$D117</f>
        <v>9125000</v>
      </c>
      <c r="Y117" s="60" t="n">
        <f aca="false">+M117*$D117</f>
        <v>9125000</v>
      </c>
      <c r="Z117" s="60" t="n">
        <f aca="false">+N117*$D117</f>
        <v>9125000</v>
      </c>
      <c r="AA117" s="60" t="n">
        <f aca="false">+O117*$D117</f>
        <v>9150000</v>
      </c>
      <c r="AB117" s="60" t="n">
        <f aca="false">+P117*$D117</f>
        <v>3000000</v>
      </c>
      <c r="AC117" s="60" t="n">
        <f aca="false">+Q117*$D117</f>
        <v>0</v>
      </c>
      <c r="AD117" s="60" t="n">
        <f aca="false">+R117*$D117</f>
        <v>0</v>
      </c>
      <c r="AE117" s="60" t="n">
        <f aca="false">+S117*$D117</f>
        <v>0</v>
      </c>
      <c r="AF117" s="60" t="n">
        <f aca="false">+T117*$D117</f>
        <v>0</v>
      </c>
      <c r="AG117" s="60" t="n">
        <f aca="false">+U117*$D117</f>
        <v>0</v>
      </c>
      <c r="AI117" s="27" t="n">
        <f aca="false">+W117*($F117+$G117)</f>
        <v>631487.5</v>
      </c>
      <c r="AJ117" s="27" t="n">
        <f aca="false">+X117*($F117+$G117)</f>
        <v>940787.5</v>
      </c>
      <c r="AK117" s="27" t="n">
        <f aca="false">+Y117*($F117+$G117)</f>
        <v>940787.5</v>
      </c>
      <c r="AL117" s="27" t="n">
        <f aca="false">+Z117*($F117+$G117)</f>
        <v>940787.5</v>
      </c>
      <c r="AM117" s="27" t="n">
        <f aca="false">+AA117*($F117+$G117)</f>
        <v>943365</v>
      </c>
      <c r="AN117" s="27" t="n">
        <f aca="false">+AB117*($F117+$G117)</f>
        <v>309300</v>
      </c>
      <c r="AO117" s="27" t="n">
        <f aca="false">+AC117*($F117+$G117)</f>
        <v>0</v>
      </c>
      <c r="AP117" s="27" t="n">
        <f aca="false">+AD117*($F117+$G117)</f>
        <v>0</v>
      </c>
      <c r="AQ117" s="27" t="n">
        <f aca="false">+AE117*($F117+$G117)</f>
        <v>0</v>
      </c>
      <c r="AR117" s="27" t="n">
        <f aca="false">+AF117*($F117+$G117)</f>
        <v>0</v>
      </c>
      <c r="AS117" s="27" t="n">
        <f aca="false">+AG117*($F117+$G117)</f>
        <v>0</v>
      </c>
    </row>
    <row r="118" customFormat="false" ht="12.75" hidden="false" customHeight="false" outlineLevel="0" collapsed="false">
      <c r="A118" s="103" t="s">
        <v>13</v>
      </c>
      <c r="B118" s="22" t="s">
        <v>96</v>
      </c>
      <c r="C118" s="61" t="n">
        <v>26960</v>
      </c>
      <c r="D118" s="62" t="n">
        <v>20000</v>
      </c>
      <c r="E118" s="84" t="s">
        <v>127</v>
      </c>
      <c r="F118" s="63" t="n">
        <v>0.102</v>
      </c>
      <c r="G118" s="63" t="n">
        <v>0.0011</v>
      </c>
      <c r="H118" s="85" t="n">
        <f aca="false">+G118+F118</f>
        <v>0.1031</v>
      </c>
      <c r="I118" s="86" t="n">
        <v>36525</v>
      </c>
      <c r="J118" s="87" t="n">
        <v>38077</v>
      </c>
      <c r="K118" s="0" t="n">
        <v>366</v>
      </c>
      <c r="L118" s="0" t="n">
        <v>365</v>
      </c>
      <c r="M118" s="0" t="n">
        <v>365</v>
      </c>
      <c r="N118" s="0" t="n">
        <v>365</v>
      </c>
      <c r="O118" s="0" t="n">
        <v>91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W118" s="60" t="n">
        <f aca="false">+K118*$D118</f>
        <v>7320000</v>
      </c>
      <c r="X118" s="60" t="n">
        <f aca="false">+L118*$D118</f>
        <v>7300000</v>
      </c>
      <c r="Y118" s="60" t="n">
        <f aca="false">+M118*$D118</f>
        <v>7300000</v>
      </c>
      <c r="Z118" s="60" t="n">
        <f aca="false">+N118*$D118</f>
        <v>7300000</v>
      </c>
      <c r="AA118" s="60" t="n">
        <f aca="false">+O118*$D118</f>
        <v>1820000</v>
      </c>
      <c r="AB118" s="60" t="n">
        <f aca="false">+P118*$D118</f>
        <v>0</v>
      </c>
      <c r="AC118" s="60" t="n">
        <f aca="false">+Q118*$D118</f>
        <v>0</v>
      </c>
      <c r="AD118" s="60" t="n">
        <f aca="false">+R118*$D118</f>
        <v>0</v>
      </c>
      <c r="AE118" s="60" t="n">
        <f aca="false">+S118*$D118</f>
        <v>0</v>
      </c>
      <c r="AF118" s="60" t="n">
        <f aca="false">+T118*$D118</f>
        <v>0</v>
      </c>
      <c r="AG118" s="60" t="n">
        <f aca="false">+U118*$D118</f>
        <v>0</v>
      </c>
      <c r="AI118" s="27" t="n">
        <f aca="false">+W118*($F118+$G118)</f>
        <v>754692</v>
      </c>
      <c r="AJ118" s="27" t="n">
        <f aca="false">+X118*($F118+$G118)</f>
        <v>752630</v>
      </c>
      <c r="AK118" s="27" t="n">
        <f aca="false">+Y118*($F118+$G118)</f>
        <v>752630</v>
      </c>
      <c r="AL118" s="27" t="n">
        <f aca="false">+Z118*($F118+$G118)</f>
        <v>752630</v>
      </c>
      <c r="AM118" s="27" t="n">
        <f aca="false">+AA118*($F118+$G118)</f>
        <v>187642</v>
      </c>
      <c r="AN118" s="27" t="n">
        <f aca="false">+AB118*($F118+$G118)</f>
        <v>0</v>
      </c>
      <c r="AO118" s="27" t="n">
        <f aca="false">+AC118*($F118+$G118)</f>
        <v>0</v>
      </c>
      <c r="AP118" s="27" t="n">
        <f aca="false">+AD118*($F118+$G118)</f>
        <v>0</v>
      </c>
      <c r="AQ118" s="27" t="n">
        <f aca="false">+AE118*($F118+$G118)</f>
        <v>0</v>
      </c>
      <c r="AR118" s="27" t="n">
        <f aca="false">+AF118*($F118+$G118)</f>
        <v>0</v>
      </c>
      <c r="AS118" s="27" t="n">
        <f aca="false">+AG118*($F118+$G118)</f>
        <v>0</v>
      </c>
    </row>
    <row r="119" customFormat="false" ht="12.75" hidden="false" customHeight="false" outlineLevel="0" collapsed="false">
      <c r="A119" s="92" t="s">
        <v>13</v>
      </c>
      <c r="B119" s="22" t="s">
        <v>47</v>
      </c>
      <c r="C119" s="61" t="n">
        <v>24809</v>
      </c>
      <c r="D119" s="62" t="n">
        <v>20000</v>
      </c>
      <c r="E119" s="61" t="s">
        <v>128</v>
      </c>
      <c r="F119" s="63" t="n">
        <v>0.102</v>
      </c>
      <c r="G119" s="63" t="n">
        <v>0.0011</v>
      </c>
      <c r="H119" s="85" t="n">
        <f aca="false">+G119+F119</f>
        <v>0.1031</v>
      </c>
      <c r="I119" s="86" t="n">
        <v>36525</v>
      </c>
      <c r="J119" s="87" t="n">
        <v>37225</v>
      </c>
      <c r="K119" s="0" t="n">
        <v>366</v>
      </c>
      <c r="L119" s="0" t="n">
        <v>334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W119" s="60" t="n">
        <f aca="false">+K119*$D119</f>
        <v>7320000</v>
      </c>
      <c r="X119" s="60" t="n">
        <f aca="false">+L119*$D119</f>
        <v>6680000</v>
      </c>
      <c r="Y119" s="60" t="n">
        <f aca="false">+M119*$D119</f>
        <v>0</v>
      </c>
      <c r="Z119" s="60" t="n">
        <f aca="false">+N119*$D119</f>
        <v>0</v>
      </c>
      <c r="AA119" s="60" t="n">
        <f aca="false">+O119*$D119</f>
        <v>0</v>
      </c>
      <c r="AB119" s="60" t="n">
        <f aca="false">+P119*$D119</f>
        <v>0</v>
      </c>
      <c r="AC119" s="60" t="n">
        <f aca="false">+Q119*$D119</f>
        <v>0</v>
      </c>
      <c r="AD119" s="60" t="n">
        <f aca="false">+R119*$D119</f>
        <v>0</v>
      </c>
      <c r="AE119" s="60" t="n">
        <f aca="false">+S119*$D119</f>
        <v>0</v>
      </c>
      <c r="AF119" s="60" t="n">
        <f aca="false">+T119*$D119</f>
        <v>0</v>
      </c>
      <c r="AG119" s="60" t="n">
        <f aca="false">+U119*$D119</f>
        <v>0</v>
      </c>
      <c r="AI119" s="27" t="n">
        <f aca="false">+W119*($F119+$G119)</f>
        <v>754692</v>
      </c>
      <c r="AJ119" s="27" t="n">
        <f aca="false">+X119*($F119+$G119)</f>
        <v>688708</v>
      </c>
      <c r="AK119" s="27" t="n">
        <f aca="false">+Y119*($F119+$G119)</f>
        <v>0</v>
      </c>
      <c r="AL119" s="27" t="n">
        <f aca="false">+Z119*($F119+$G119)</f>
        <v>0</v>
      </c>
      <c r="AM119" s="27" t="n">
        <f aca="false">+AA119*($F119+$G119)</f>
        <v>0</v>
      </c>
      <c r="AN119" s="27" t="n">
        <f aca="false">+AB119*($F119+$G119)</f>
        <v>0</v>
      </c>
      <c r="AO119" s="27" t="n">
        <f aca="false">+AC119*($F119+$G119)</f>
        <v>0</v>
      </c>
      <c r="AP119" s="27" t="n">
        <f aca="false">+AD119*($F119+$G119)</f>
        <v>0</v>
      </c>
      <c r="AQ119" s="27" t="n">
        <f aca="false">+AE119*($F119+$G119)</f>
        <v>0</v>
      </c>
      <c r="AR119" s="27" t="n">
        <f aca="false">+AF119*($F119+$G119)</f>
        <v>0</v>
      </c>
      <c r="AS119" s="27" t="n">
        <f aca="false">+AG119*($F119+$G119)</f>
        <v>0</v>
      </c>
    </row>
    <row r="120" customFormat="false" ht="12.75" hidden="false" customHeight="false" outlineLevel="0" collapsed="false">
      <c r="A120" s="22" t="s">
        <v>18</v>
      </c>
      <c r="C120" s="0"/>
      <c r="D120" s="2"/>
      <c r="E120" s="3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8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7"/>
      <c r="AI120" s="27" t="n">
        <f aca="false">SUM(AI89:AI119)</f>
        <v>31821188.96</v>
      </c>
      <c r="AJ120" s="27" t="n">
        <f aca="false">SUM(AJ89:AJ119)</f>
        <v>32456436.25</v>
      </c>
      <c r="AK120" s="27" t="n">
        <f aca="false">SUM(AK89:AK119)</f>
        <v>31369818.8</v>
      </c>
      <c r="AL120" s="27" t="n">
        <f aca="false">SUM(AL89:AL119)</f>
        <v>30909371.66</v>
      </c>
      <c r="AM120" s="27" t="n">
        <f aca="false">SUM(AM89:AM119)</f>
        <v>30292752.4</v>
      </c>
      <c r="AN120" s="27" t="n">
        <f aca="false">SUM(AN89:AN119)</f>
        <v>27299865.25</v>
      </c>
      <c r="AO120" s="27" t="n">
        <f aca="false">SUM(AO89:AO119)</f>
        <v>16908199.75</v>
      </c>
      <c r="AP120" s="27" t="n">
        <f aca="false">SUM(AP89:AP119)</f>
        <v>5634681.65</v>
      </c>
      <c r="AQ120" s="27" t="n">
        <f aca="false">SUM(AQ89:AQ119)</f>
        <v>0</v>
      </c>
      <c r="AR120" s="27" t="n">
        <f aca="false">SUM(AR89:AR119)</f>
        <v>0</v>
      </c>
      <c r="AS120" s="27" t="n">
        <f aca="false">SUM(AS89:AS119)</f>
        <v>0</v>
      </c>
    </row>
    <row r="121" customFormat="false" ht="12.75" hidden="false" customHeight="false" outlineLevel="0" collapsed="false">
      <c r="C121" s="0"/>
      <c r="D121" s="0"/>
      <c r="E121" s="3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8"/>
      <c r="R121" s="28"/>
    </row>
    <row r="122" customFormat="false" ht="12.75" hidden="false" customHeight="false" outlineLevel="0" collapsed="false">
      <c r="A122" s="22" t="s">
        <v>105</v>
      </c>
      <c r="C122" s="0"/>
      <c r="D122" s="59" t="n">
        <v>0.120715169136503</v>
      </c>
      <c r="E122" s="3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8"/>
      <c r="R122" s="24"/>
      <c r="S122" s="24"/>
      <c r="T122" s="24"/>
      <c r="U122" s="24"/>
      <c r="V122" s="24"/>
      <c r="W122" s="24" t="n">
        <f aca="false">SUM(W89:W119)</f>
        <v>303854236</v>
      </c>
      <c r="X122" s="24" t="n">
        <f aca="false">SUM(X89:X119)</f>
        <v>310028790</v>
      </c>
      <c r="Y122" s="24" t="n">
        <f aca="false">SUM(Y89:Y119)</f>
        <v>299679290</v>
      </c>
      <c r="Z122" s="24" t="n">
        <f aca="false">SUM(Z89:Z119)</f>
        <v>295249890</v>
      </c>
      <c r="AA122" s="24" t="n">
        <f aca="false">SUM(AA89:AA119)</f>
        <v>288764000</v>
      </c>
      <c r="AB122" s="24" t="n">
        <f aca="false">SUM(AB89:AB119)</f>
        <v>260127500</v>
      </c>
      <c r="AC122" s="24" t="n">
        <f aca="false">SUM(AC89:AC119)</f>
        <v>161222500</v>
      </c>
      <c r="AD122" s="24" t="n">
        <f aca="false">SUM(AD89:AD119)</f>
        <v>54011500</v>
      </c>
      <c r="AE122" s="24" t="n">
        <f aca="false">SUM(AE89:AE119)</f>
        <v>0</v>
      </c>
      <c r="AF122" s="24" t="n">
        <f aca="false">SUM(AF89:AF119)</f>
        <v>0</v>
      </c>
      <c r="AG122" s="24" t="n">
        <f aca="false">SUM(AG89:AG119)</f>
        <v>0</v>
      </c>
      <c r="AH122" s="27"/>
      <c r="AI122" s="27"/>
      <c r="AJ122" s="27"/>
      <c r="AK122" s="27"/>
      <c r="AL122" s="27"/>
      <c r="AM122" s="27"/>
    </row>
    <row r="123" customFormat="false" ht="12.75" hidden="false" customHeight="false" outlineLevel="0" collapsed="false">
      <c r="A123" s="22" t="s">
        <v>104</v>
      </c>
      <c r="C123" s="0"/>
      <c r="D123" s="2"/>
      <c r="E123" s="3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8"/>
      <c r="R123" s="24"/>
      <c r="S123" s="24"/>
      <c r="T123" s="24"/>
      <c r="U123" s="24"/>
      <c r="V123" s="24"/>
      <c r="W123" s="24" t="n">
        <f aca="false">+W122/K6</f>
        <v>830202.830601093</v>
      </c>
      <c r="X123" s="24" t="n">
        <f aca="false">+X122/L6</f>
        <v>849393.945205479</v>
      </c>
      <c r="Y123" s="24" t="n">
        <f aca="false">+Y122/M6</f>
        <v>821039.150684932</v>
      </c>
      <c r="Z123" s="24" t="n">
        <f aca="false">+Z122/N6</f>
        <v>808903.808219178</v>
      </c>
      <c r="AA123" s="24" t="n">
        <f aca="false">+AA122/O6</f>
        <v>788972.677595628</v>
      </c>
      <c r="AB123" s="24" t="n">
        <f aca="false">+AB122/P6</f>
        <v>712678.082191781</v>
      </c>
      <c r="AC123" s="24" t="n">
        <f aca="false">+AC122/Q6</f>
        <v>441705.479452055</v>
      </c>
      <c r="AD123" s="24" t="n">
        <f aca="false">+AD122/R6</f>
        <v>147976.712328767</v>
      </c>
      <c r="AE123" s="24" t="n">
        <f aca="false">+AE122/S6</f>
        <v>0</v>
      </c>
      <c r="AF123" s="24" t="n">
        <f aca="false">+AF122/T6</f>
        <v>0</v>
      </c>
      <c r="AG123" s="24" t="n">
        <f aca="false">+AG122/U6</f>
        <v>0</v>
      </c>
      <c r="AH123" s="27"/>
      <c r="AI123" s="27"/>
      <c r="AJ123" s="27"/>
      <c r="AK123" s="27"/>
      <c r="AL123" s="27"/>
      <c r="AM123" s="27"/>
      <c r="AN123" s="37"/>
    </row>
    <row r="124" customFormat="false" ht="12.75" hidden="false" customHeight="false" outlineLevel="0" collapsed="false">
      <c r="A124" s="22" t="s">
        <v>108</v>
      </c>
      <c r="C124" s="0"/>
      <c r="D124" s="59" t="n">
        <v>0.0867773867080112</v>
      </c>
      <c r="E124" s="3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8"/>
      <c r="R124" s="24"/>
      <c r="S124" s="24"/>
      <c r="T124" s="24"/>
      <c r="U124" s="24"/>
      <c r="V124" s="24"/>
      <c r="W124" s="24" t="n">
        <f aca="false">850000-W123</f>
        <v>19797.1693989071</v>
      </c>
      <c r="X124" s="24" t="n">
        <f aca="false">850000-X123</f>
        <v>606.054794520605</v>
      </c>
      <c r="Y124" s="24" t="n">
        <f aca="false">850000-Y123</f>
        <v>28960.8493150685</v>
      </c>
      <c r="Z124" s="24" t="n">
        <f aca="false">850000-Z123</f>
        <v>41096.1917808219</v>
      </c>
      <c r="AA124" s="24" t="n">
        <f aca="false">850000-AA123</f>
        <v>61027.3224043716</v>
      </c>
      <c r="AB124" s="24" t="n">
        <f aca="false">850000-AB123</f>
        <v>137321.917808219</v>
      </c>
      <c r="AC124" s="24" t="n">
        <f aca="false">850000-AC123</f>
        <v>408294.520547945</v>
      </c>
      <c r="AD124" s="24" t="n">
        <f aca="false">850000-AD123</f>
        <v>702023.287671233</v>
      </c>
      <c r="AE124" s="24" t="n">
        <f aca="false">850000-AE123</f>
        <v>850000</v>
      </c>
      <c r="AF124" s="24" t="n">
        <f aca="false">850000-AF123</f>
        <v>850000</v>
      </c>
      <c r="AG124" s="24" t="n">
        <f aca="false">850000-AG123</f>
        <v>850000</v>
      </c>
      <c r="AH124" s="27"/>
      <c r="AI124" s="27"/>
      <c r="AJ124" s="27"/>
      <c r="AK124" s="27"/>
      <c r="AL124" s="27"/>
      <c r="AM124" s="27"/>
    </row>
    <row r="125" customFormat="false" ht="12.75" hidden="false" customHeight="false" outlineLevel="0" collapsed="false">
      <c r="A125" s="22" t="s">
        <v>139</v>
      </c>
      <c r="C125" s="0"/>
      <c r="D125" s="2"/>
      <c r="E125" s="3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8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customFormat="false" ht="12.75" hidden="false" customHeight="false" outlineLevel="0" collapsed="false">
      <c r="A126" s="22"/>
      <c r="C126" s="0"/>
      <c r="D126" s="2"/>
      <c r="E126" s="3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8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customFormat="false" ht="12.75" hidden="false" customHeight="false" outlineLevel="0" collapsed="false">
      <c r="A127" s="22"/>
      <c r="C127" s="0"/>
      <c r="D127" s="2"/>
      <c r="E127" s="3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8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customFormat="false" ht="12.75" hidden="false" customHeight="false" outlineLevel="0" collapsed="false">
      <c r="K128" s="9" t="s">
        <v>17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8"/>
      <c r="W128" s="11" t="s">
        <v>19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I128" s="11" t="s">
        <v>20</v>
      </c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customFormat="false" ht="13.5" hidden="false" customHeight="false" outlineLevel="0" collapsed="false">
      <c r="A129" s="77" t="s">
        <v>21</v>
      </c>
      <c r="B129" s="77" t="s">
        <v>22</v>
      </c>
      <c r="C129" s="78" t="s">
        <v>23</v>
      </c>
      <c r="D129" s="79" t="s">
        <v>121</v>
      </c>
      <c r="E129" s="78" t="s">
        <v>122</v>
      </c>
      <c r="F129" s="80" t="s">
        <v>123</v>
      </c>
      <c r="G129" s="80" t="s">
        <v>124</v>
      </c>
      <c r="H129" s="81" t="s">
        <v>125</v>
      </c>
      <c r="I129" s="82" t="s">
        <v>126</v>
      </c>
      <c r="J129" s="17" t="s">
        <v>16</v>
      </c>
      <c r="K129" s="13" t="n">
        <v>2000</v>
      </c>
      <c r="L129" s="13" t="n">
        <v>2001</v>
      </c>
      <c r="M129" s="13" t="n">
        <v>2002</v>
      </c>
      <c r="N129" s="13" t="n">
        <v>2003</v>
      </c>
      <c r="O129" s="13" t="n">
        <v>2004</v>
      </c>
      <c r="P129" s="13" t="n">
        <v>2005</v>
      </c>
      <c r="Q129" s="13" t="n">
        <v>2006</v>
      </c>
      <c r="R129" s="13" t="n">
        <v>2007</v>
      </c>
      <c r="S129" s="13" t="n">
        <v>2008</v>
      </c>
      <c r="T129" s="13" t="n">
        <v>2009</v>
      </c>
      <c r="U129" s="13" t="n">
        <v>2010</v>
      </c>
      <c r="V129" s="8"/>
      <c r="W129" s="16" t="n">
        <v>2000</v>
      </c>
      <c r="X129" s="17" t="n">
        <v>2001</v>
      </c>
      <c r="Y129" s="17" t="n">
        <v>2002</v>
      </c>
      <c r="Z129" s="17" t="n">
        <v>2003</v>
      </c>
      <c r="AA129" s="17" t="n">
        <v>2004</v>
      </c>
      <c r="AB129" s="17" t="n">
        <v>2005</v>
      </c>
      <c r="AC129" s="17" t="n">
        <v>2006</v>
      </c>
      <c r="AD129" s="17" t="n">
        <v>2007</v>
      </c>
      <c r="AE129" s="17" t="n">
        <v>2008</v>
      </c>
      <c r="AF129" s="17" t="n">
        <v>2009</v>
      </c>
      <c r="AG129" s="18" t="n">
        <v>2010</v>
      </c>
      <c r="AI129" s="16" t="n">
        <v>2000</v>
      </c>
      <c r="AJ129" s="17" t="n">
        <v>2001</v>
      </c>
      <c r="AK129" s="17" t="n">
        <v>2002</v>
      </c>
      <c r="AL129" s="17" t="n">
        <v>2003</v>
      </c>
      <c r="AM129" s="17" t="n">
        <v>2004</v>
      </c>
      <c r="AN129" s="17" t="n">
        <v>2005</v>
      </c>
      <c r="AO129" s="17" t="n">
        <v>2006</v>
      </c>
      <c r="AP129" s="17" t="n">
        <v>2007</v>
      </c>
      <c r="AQ129" s="17" t="n">
        <v>2008</v>
      </c>
      <c r="AR129" s="17" t="n">
        <v>2009</v>
      </c>
      <c r="AS129" s="18" t="n">
        <v>2010</v>
      </c>
    </row>
    <row r="130" customFormat="false" ht="12.75" hidden="false" customHeight="false" outlineLevel="0" collapsed="false">
      <c r="A130" s="83" t="s">
        <v>97</v>
      </c>
      <c r="B130" s="22" t="s">
        <v>29</v>
      </c>
      <c r="C130" s="71" t="n">
        <v>26490</v>
      </c>
      <c r="D130" s="62" t="n">
        <v>70000</v>
      </c>
      <c r="E130" s="84" t="s">
        <v>127</v>
      </c>
      <c r="F130" s="63" t="n">
        <f aca="false">0.09-0.0153</f>
        <v>0.0747</v>
      </c>
      <c r="G130" s="63" t="n">
        <v>0.0153</v>
      </c>
      <c r="H130" s="85" t="n">
        <f aca="false">+G130+F130</f>
        <v>0.09</v>
      </c>
      <c r="I130" s="86" t="n">
        <v>36100</v>
      </c>
      <c r="J130" s="87" t="n">
        <v>37925</v>
      </c>
      <c r="K130" s="0" t="n">
        <v>366</v>
      </c>
      <c r="L130" s="0" t="n">
        <v>365</v>
      </c>
      <c r="M130" s="0" t="n">
        <v>365</v>
      </c>
      <c r="N130" s="0" t="n">
        <v>304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W130" s="60" t="n">
        <f aca="false">+K130*$D130</f>
        <v>25620000</v>
      </c>
      <c r="X130" s="60" t="n">
        <f aca="false">+L130*$D130</f>
        <v>25550000</v>
      </c>
      <c r="Y130" s="60" t="n">
        <f aca="false">+M130*$D130</f>
        <v>25550000</v>
      </c>
      <c r="Z130" s="60" t="n">
        <f aca="false">+N130*$D130</f>
        <v>21280000</v>
      </c>
      <c r="AA130" s="60" t="n">
        <f aca="false">+O130*$D130</f>
        <v>0</v>
      </c>
      <c r="AB130" s="60" t="n">
        <f aca="false">+P130*$D130</f>
        <v>0</v>
      </c>
      <c r="AC130" s="60" t="n">
        <f aca="false">+Q130*$D130</f>
        <v>0</v>
      </c>
      <c r="AD130" s="60" t="n">
        <f aca="false">+R130*$D130</f>
        <v>0</v>
      </c>
      <c r="AE130" s="60" t="n">
        <f aca="false">+S130*$D130</f>
        <v>0</v>
      </c>
      <c r="AF130" s="60" t="n">
        <f aca="false">+T130*$D130</f>
        <v>0</v>
      </c>
      <c r="AG130" s="60" t="n">
        <f aca="false">+U130*$D130</f>
        <v>0</v>
      </c>
      <c r="AI130" s="27" t="n">
        <f aca="false">+W130*($F130+$G130)</f>
        <v>2305800</v>
      </c>
      <c r="AJ130" s="27" t="n">
        <f aca="false">+X130*($F130+$G130)</f>
        <v>2299500</v>
      </c>
      <c r="AK130" s="27" t="n">
        <f aca="false">+Y130*($F130+$G130)</f>
        <v>2299500</v>
      </c>
      <c r="AL130" s="27" t="n">
        <f aca="false">+Z130*($F130+$G130)</f>
        <v>1915200</v>
      </c>
      <c r="AM130" s="27" t="n">
        <f aca="false">+AA130*($F130+$G130)</f>
        <v>0</v>
      </c>
      <c r="AN130" s="27" t="n">
        <f aca="false">+AB130*($F130+$G130)</f>
        <v>0</v>
      </c>
      <c r="AO130" s="27" t="n">
        <f aca="false">+AC130*($F130+$G130)</f>
        <v>0</v>
      </c>
      <c r="AP130" s="27" t="n">
        <f aca="false">+AD130*($F130+$G130)</f>
        <v>0</v>
      </c>
      <c r="AQ130" s="27" t="n">
        <f aca="false">+AE130*($F130+$G130)</f>
        <v>0</v>
      </c>
      <c r="AR130" s="27" t="n">
        <f aca="false">+AF130*($F130+$G130)</f>
        <v>0</v>
      </c>
      <c r="AS130" s="27" t="n">
        <f aca="false">+AG130*($F130+$G130)</f>
        <v>0</v>
      </c>
    </row>
    <row r="131" customFormat="false" ht="12.75" hidden="false" customHeight="false" outlineLevel="0" collapsed="false">
      <c r="A131" s="83" t="s">
        <v>97</v>
      </c>
      <c r="B131" s="22" t="s">
        <v>51</v>
      </c>
      <c r="C131" s="71" t="n">
        <v>27334</v>
      </c>
      <c r="D131" s="62" t="n">
        <v>14000</v>
      </c>
      <c r="E131" s="84" t="s">
        <v>127</v>
      </c>
      <c r="F131" s="63" t="n">
        <f aca="false">0.18-0.0153</f>
        <v>0.1647</v>
      </c>
      <c r="G131" s="63" t="n">
        <v>0.0153</v>
      </c>
      <c r="H131" s="85" t="n">
        <f aca="false">+G131+F131</f>
        <v>0.18</v>
      </c>
      <c r="I131" s="86" t="n">
        <v>36982</v>
      </c>
      <c r="J131" s="87" t="n">
        <v>37195</v>
      </c>
      <c r="K131" s="0" t="n">
        <v>0</v>
      </c>
      <c r="L131" s="0" t="n">
        <v>214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W131" s="60" t="n">
        <f aca="false">+K131*$D131</f>
        <v>0</v>
      </c>
      <c r="X131" s="60" t="n">
        <f aca="false">+L131*$D131</f>
        <v>2996000</v>
      </c>
      <c r="Y131" s="60" t="n">
        <f aca="false">+M131*$D131</f>
        <v>0</v>
      </c>
      <c r="Z131" s="60" t="n">
        <f aca="false">+N131*$D131</f>
        <v>0</v>
      </c>
      <c r="AA131" s="60" t="n">
        <f aca="false">+O131*$D131</f>
        <v>0</v>
      </c>
      <c r="AB131" s="60" t="n">
        <f aca="false">+P131*$D131</f>
        <v>0</v>
      </c>
      <c r="AC131" s="60" t="n">
        <f aca="false">+Q131*$D131</f>
        <v>0</v>
      </c>
      <c r="AD131" s="60" t="n">
        <f aca="false">+R131*$D131</f>
        <v>0</v>
      </c>
      <c r="AE131" s="60" t="n">
        <f aca="false">+S131*$D131</f>
        <v>0</v>
      </c>
      <c r="AF131" s="60" t="n">
        <f aca="false">+T131*$D131</f>
        <v>0</v>
      </c>
      <c r="AG131" s="60" t="n">
        <f aca="false">+U131*$D131</f>
        <v>0</v>
      </c>
      <c r="AI131" s="27" t="n">
        <f aca="false">+W131*($F131+$G131)</f>
        <v>0</v>
      </c>
      <c r="AJ131" s="27" t="n">
        <f aca="false">+X131*($F131+$G131)</f>
        <v>539280</v>
      </c>
      <c r="AK131" s="27" t="n">
        <f aca="false">+Y131*($F131+$G131)</f>
        <v>0</v>
      </c>
      <c r="AL131" s="27" t="n">
        <f aca="false">+Z131*($F131+$G131)</f>
        <v>0</v>
      </c>
      <c r="AM131" s="27" t="n">
        <f aca="false">+AA131*($F131+$G131)</f>
        <v>0</v>
      </c>
      <c r="AN131" s="27" t="n">
        <f aca="false">+AB131*($F131+$G131)</f>
        <v>0</v>
      </c>
      <c r="AO131" s="27" t="n">
        <f aca="false">+AC131*($F131+$G131)</f>
        <v>0</v>
      </c>
      <c r="AP131" s="27" t="n">
        <f aca="false">+AD131*($F131+$G131)</f>
        <v>0</v>
      </c>
      <c r="AQ131" s="27" t="n">
        <f aca="false">+AE131*($F131+$G131)</f>
        <v>0</v>
      </c>
      <c r="AR131" s="27" t="n">
        <f aca="false">+AF131*($F131+$G131)</f>
        <v>0</v>
      </c>
      <c r="AS131" s="27" t="n">
        <f aca="false">+AG131*($F131+$G131)</f>
        <v>0</v>
      </c>
    </row>
    <row r="132" customFormat="false" ht="12.75" hidden="false" customHeight="false" outlineLevel="0" collapsed="false">
      <c r="A132" s="83" t="s">
        <v>97</v>
      </c>
      <c r="B132" s="22" t="s">
        <v>51</v>
      </c>
      <c r="C132" s="71" t="n">
        <v>26683</v>
      </c>
      <c r="D132" s="62" t="n">
        <v>8000</v>
      </c>
      <c r="E132" s="61" t="s">
        <v>128</v>
      </c>
      <c r="F132" s="63" t="n">
        <v>0.2567</v>
      </c>
      <c r="G132" s="63" t="n">
        <v>0.0131</v>
      </c>
      <c r="H132" s="85" t="n">
        <f aca="false">+G132+F132</f>
        <v>0.2698</v>
      </c>
      <c r="I132" s="86" t="n">
        <v>36220</v>
      </c>
      <c r="J132" s="87" t="n">
        <v>37711</v>
      </c>
      <c r="K132" s="0" t="n">
        <v>366</v>
      </c>
      <c r="L132" s="0" t="n">
        <v>365</v>
      </c>
      <c r="M132" s="0" t="n">
        <v>365</v>
      </c>
      <c r="N132" s="0" t="n">
        <v>90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W132" s="60" t="n">
        <f aca="false">+K132*$D132</f>
        <v>2928000</v>
      </c>
      <c r="X132" s="60" t="n">
        <f aca="false">+L132*$D132</f>
        <v>2920000</v>
      </c>
      <c r="Y132" s="60" t="n">
        <f aca="false">+M132*$D132</f>
        <v>2920000</v>
      </c>
      <c r="Z132" s="60" t="n">
        <f aca="false">+N132*$D132</f>
        <v>720000</v>
      </c>
      <c r="AA132" s="60" t="n">
        <f aca="false">+O132*$D132</f>
        <v>0</v>
      </c>
      <c r="AB132" s="60" t="n">
        <f aca="false">+P132*$D132</f>
        <v>0</v>
      </c>
      <c r="AC132" s="60" t="n">
        <f aca="false">+Q132*$D132</f>
        <v>0</v>
      </c>
      <c r="AD132" s="60" t="n">
        <f aca="false">+R132*$D132</f>
        <v>0</v>
      </c>
      <c r="AE132" s="60" t="n">
        <f aca="false">+S132*$D132</f>
        <v>0</v>
      </c>
      <c r="AF132" s="60" t="n">
        <f aca="false">+T132*$D132</f>
        <v>0</v>
      </c>
      <c r="AG132" s="60" t="n">
        <f aca="false">+U132*$D132</f>
        <v>0</v>
      </c>
      <c r="AI132" s="27" t="n">
        <f aca="false">+W132*($F132+$G132)</f>
        <v>789974.4</v>
      </c>
      <c r="AJ132" s="27" t="n">
        <f aca="false">+X132*($F132+$G132)</f>
        <v>787816</v>
      </c>
      <c r="AK132" s="27" t="n">
        <f aca="false">+Y132*($F132+$G132)</f>
        <v>787816</v>
      </c>
      <c r="AL132" s="27" t="n">
        <f aca="false">+Z132*($F132+$G132)</f>
        <v>194256</v>
      </c>
      <c r="AM132" s="27" t="n">
        <f aca="false">+AA132*($F132+$G132)</f>
        <v>0</v>
      </c>
      <c r="AN132" s="27" t="n">
        <f aca="false">+AB132*($F132+$G132)</f>
        <v>0</v>
      </c>
      <c r="AO132" s="27" t="n">
        <f aca="false">+AC132*($F132+$G132)</f>
        <v>0</v>
      </c>
      <c r="AP132" s="27" t="n">
        <f aca="false">+AD132*($F132+$G132)</f>
        <v>0</v>
      </c>
      <c r="AQ132" s="27" t="n">
        <f aca="false">+AE132*($F132+$G132)</f>
        <v>0</v>
      </c>
      <c r="AR132" s="27" t="n">
        <f aca="false">+AF132*($F132+$G132)</f>
        <v>0</v>
      </c>
      <c r="AS132" s="27" t="n">
        <f aca="false">+AG132*($F132+$G132)</f>
        <v>0</v>
      </c>
    </row>
    <row r="133" customFormat="false" ht="12.75" hidden="false" customHeight="false" outlineLevel="0" collapsed="false">
      <c r="A133" s="104" t="s">
        <v>97</v>
      </c>
      <c r="B133" s="22" t="s">
        <v>99</v>
      </c>
      <c r="C133" s="61" t="n">
        <v>24736</v>
      </c>
      <c r="D133" s="62" t="n">
        <v>4000</v>
      </c>
      <c r="E133" s="61" t="s">
        <v>133</v>
      </c>
      <c r="F133" s="63" t="n">
        <v>0.2639</v>
      </c>
      <c r="G133" s="63" t="n">
        <v>0.0153</v>
      </c>
      <c r="H133" s="85" t="n">
        <f aca="false">+G133+F133</f>
        <v>0.2792</v>
      </c>
      <c r="I133" s="7"/>
      <c r="J133" s="87" t="n">
        <v>36616</v>
      </c>
      <c r="K133" s="0" t="n">
        <v>91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W133" s="60" t="n">
        <f aca="false">+K133*$D133</f>
        <v>364000</v>
      </c>
      <c r="X133" s="60" t="n">
        <f aca="false">+L133*$D133</f>
        <v>0</v>
      </c>
      <c r="Y133" s="60" t="n">
        <f aca="false">+M133*$D133</f>
        <v>0</v>
      </c>
      <c r="Z133" s="60" t="n">
        <f aca="false">+N133*$D133</f>
        <v>0</v>
      </c>
      <c r="AA133" s="60" t="n">
        <f aca="false">+O133*$D133</f>
        <v>0</v>
      </c>
      <c r="AB133" s="60" t="n">
        <f aca="false">+P133*$D133</f>
        <v>0</v>
      </c>
      <c r="AC133" s="60" t="n">
        <f aca="false">+Q133*$D133</f>
        <v>0</v>
      </c>
      <c r="AD133" s="60" t="n">
        <f aca="false">+R133*$D133</f>
        <v>0</v>
      </c>
      <c r="AE133" s="60" t="n">
        <f aca="false">+S133*$D133</f>
        <v>0</v>
      </c>
      <c r="AF133" s="60" t="n">
        <f aca="false">+T133*$D133</f>
        <v>0</v>
      </c>
      <c r="AG133" s="60" t="n">
        <f aca="false">+U133*$D133</f>
        <v>0</v>
      </c>
      <c r="AI133" s="27" t="n">
        <f aca="false">+W133*($F133+$G133)</f>
        <v>101628.8</v>
      </c>
      <c r="AJ133" s="27" t="n">
        <f aca="false">+X133*($F133+$G133)</f>
        <v>0</v>
      </c>
      <c r="AK133" s="27" t="n">
        <f aca="false">+Y133*($F133+$G133)</f>
        <v>0</v>
      </c>
      <c r="AL133" s="27" t="n">
        <f aca="false">+Z133*($F133+$G133)</f>
        <v>0</v>
      </c>
      <c r="AM133" s="27" t="n">
        <f aca="false">+AA133*($F133+$G133)</f>
        <v>0</v>
      </c>
      <c r="AN133" s="27" t="n">
        <f aca="false">+AB133*($F133+$G133)</f>
        <v>0</v>
      </c>
      <c r="AO133" s="27" t="n">
        <f aca="false">+AC133*($F133+$G133)</f>
        <v>0</v>
      </c>
      <c r="AP133" s="27" t="n">
        <f aca="false">+AD133*($F133+$G133)</f>
        <v>0</v>
      </c>
      <c r="AQ133" s="27" t="n">
        <f aca="false">+AE133*($F133+$G133)</f>
        <v>0</v>
      </c>
      <c r="AR133" s="27" t="n">
        <f aca="false">+AF133*($F133+$G133)</f>
        <v>0</v>
      </c>
      <c r="AS133" s="27" t="n">
        <f aca="false">+AG133*($F133+$G133)</f>
        <v>0</v>
      </c>
    </row>
    <row r="134" customFormat="false" ht="12.75" hidden="false" customHeight="false" outlineLevel="0" collapsed="false">
      <c r="A134" s="101" t="s">
        <v>97</v>
      </c>
      <c r="B134" s="40" t="s">
        <v>65</v>
      </c>
      <c r="C134" s="61" t="n">
        <v>25071</v>
      </c>
      <c r="D134" s="62" t="n">
        <v>90000</v>
      </c>
      <c r="E134" s="84" t="s">
        <v>127</v>
      </c>
      <c r="F134" s="63" t="n">
        <f aca="false">0.1564-0.102-0.0467</f>
        <v>0.00770000000000002</v>
      </c>
      <c r="G134" s="63" t="n">
        <f aca="false">0.0186-0.0011-0.0033</f>
        <v>0.0142</v>
      </c>
      <c r="H134" s="85" t="n">
        <f aca="false">+G134+F134</f>
        <v>0.0219</v>
      </c>
      <c r="I134" s="86" t="n">
        <v>35400</v>
      </c>
      <c r="J134" s="87" t="n">
        <v>39782</v>
      </c>
      <c r="K134" s="0" t="n">
        <v>366</v>
      </c>
      <c r="L134" s="0" t="n">
        <v>365</v>
      </c>
      <c r="M134" s="0" t="n">
        <v>365</v>
      </c>
      <c r="N134" s="0" t="n">
        <v>365</v>
      </c>
      <c r="O134" s="0" t="n">
        <v>366</v>
      </c>
      <c r="P134" s="0" t="n">
        <v>365</v>
      </c>
      <c r="Q134" s="0" t="n">
        <v>365</v>
      </c>
      <c r="R134" s="0" t="n">
        <v>365</v>
      </c>
      <c r="S134" s="0" t="n">
        <v>335</v>
      </c>
      <c r="T134" s="0" t="n">
        <v>0</v>
      </c>
      <c r="U134" s="0" t="n">
        <v>0</v>
      </c>
      <c r="W134" s="60" t="n">
        <f aca="false">+K134*$D134</f>
        <v>32940000</v>
      </c>
      <c r="X134" s="60" t="n">
        <f aca="false">+L134*$D134</f>
        <v>32850000</v>
      </c>
      <c r="Y134" s="60" t="n">
        <f aca="false">+M134*$D134</f>
        <v>32850000</v>
      </c>
      <c r="Z134" s="60" t="n">
        <f aca="false">+N134*$D134</f>
        <v>32850000</v>
      </c>
      <c r="AA134" s="60" t="n">
        <f aca="false">+O134*$D134</f>
        <v>32940000</v>
      </c>
      <c r="AB134" s="60" t="n">
        <f aca="false">+P134*$D134</f>
        <v>32850000</v>
      </c>
      <c r="AC134" s="60" t="n">
        <f aca="false">+Q134*$D134</f>
        <v>32850000</v>
      </c>
      <c r="AD134" s="60" t="n">
        <f aca="false">+R134*$D134</f>
        <v>32850000</v>
      </c>
      <c r="AE134" s="60" t="n">
        <f aca="false">+S134*$D134</f>
        <v>30150000</v>
      </c>
      <c r="AF134" s="60" t="n">
        <f aca="false">+T134*$D134</f>
        <v>0</v>
      </c>
      <c r="AG134" s="60" t="n">
        <f aca="false">+U134*$D134</f>
        <v>0</v>
      </c>
      <c r="AI134" s="27" t="n">
        <f aca="false">+W134*($F134+$G134)</f>
        <v>721386.000000001</v>
      </c>
      <c r="AJ134" s="27" t="n">
        <f aca="false">+X134*($F134+$G134)</f>
        <v>719415.000000001</v>
      </c>
      <c r="AK134" s="27" t="n">
        <f aca="false">+Y134*($F134+$G134)</f>
        <v>719415.000000001</v>
      </c>
      <c r="AL134" s="27" t="n">
        <f aca="false">+Z134*($F134+$G134)</f>
        <v>719415.000000001</v>
      </c>
      <c r="AM134" s="27" t="n">
        <f aca="false">+AA134*($F134+$G134)</f>
        <v>721386.000000001</v>
      </c>
      <c r="AN134" s="27" t="n">
        <f aca="false">+AB134*($F134+$G134)</f>
        <v>719415.000000001</v>
      </c>
      <c r="AO134" s="27" t="n">
        <f aca="false">+AC134*($F134+$G134)</f>
        <v>719415.000000001</v>
      </c>
      <c r="AP134" s="27" t="n">
        <f aca="false">+AD134*($F134+$G134)</f>
        <v>719415.000000001</v>
      </c>
      <c r="AQ134" s="27" t="n">
        <f aca="false">+AE134*($F134+$G134)</f>
        <v>660285.000000001</v>
      </c>
      <c r="AR134" s="27" t="n">
        <f aca="false">+AF134*($F134+$G134)</f>
        <v>0</v>
      </c>
      <c r="AS134" s="27" t="n">
        <f aca="false">+AG134*($F134+$G134)</f>
        <v>0</v>
      </c>
    </row>
    <row r="135" customFormat="false" ht="12.75" hidden="false" customHeight="false" outlineLevel="0" collapsed="false">
      <c r="A135" s="103" t="s">
        <v>97</v>
      </c>
      <c r="B135" s="40" t="s">
        <v>65</v>
      </c>
      <c r="C135" s="61" t="n">
        <v>25700</v>
      </c>
      <c r="D135" s="62" t="n">
        <v>25000</v>
      </c>
      <c r="E135" s="84" t="s">
        <v>127</v>
      </c>
      <c r="F135" s="63" t="n">
        <f aca="false">0.1714-0.102</f>
        <v>0.0694</v>
      </c>
      <c r="G135" s="63" t="n">
        <f aca="false">0.0186-0.0011</f>
        <v>0.0175</v>
      </c>
      <c r="H135" s="85" t="n">
        <f aca="false">+G135+F135</f>
        <v>0.0869</v>
      </c>
      <c r="I135" s="86" t="n">
        <v>36525</v>
      </c>
      <c r="J135" s="87" t="n">
        <v>37621</v>
      </c>
      <c r="K135" s="0" t="n">
        <v>366</v>
      </c>
      <c r="L135" s="0" t="n">
        <v>365</v>
      </c>
      <c r="M135" s="0" t="n">
        <v>365</v>
      </c>
      <c r="N135" s="0" t="n">
        <v>0</v>
      </c>
      <c r="O135" s="0" t="n">
        <v>0</v>
      </c>
      <c r="P135" s="0" t="n">
        <v>0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W135" s="60" t="n">
        <f aca="false">+K135*$D135</f>
        <v>9150000</v>
      </c>
      <c r="X135" s="60" t="n">
        <f aca="false">+L135*$D135</f>
        <v>9125000</v>
      </c>
      <c r="Y135" s="60" t="n">
        <f aca="false">+M135*$D135</f>
        <v>9125000</v>
      </c>
      <c r="Z135" s="60" t="n">
        <f aca="false">+N135*$D135</f>
        <v>0</v>
      </c>
      <c r="AA135" s="60" t="n">
        <f aca="false">+O135*$D135</f>
        <v>0</v>
      </c>
      <c r="AB135" s="60" t="n">
        <f aca="false">+P135*$D135</f>
        <v>0</v>
      </c>
      <c r="AC135" s="60" t="n">
        <f aca="false">+Q135*$D135</f>
        <v>0</v>
      </c>
      <c r="AD135" s="60" t="n">
        <f aca="false">+R135*$D135</f>
        <v>0</v>
      </c>
      <c r="AE135" s="60" t="n">
        <f aca="false">+S135*$D135</f>
        <v>0</v>
      </c>
      <c r="AF135" s="60" t="n">
        <f aca="false">+T135*$D135</f>
        <v>0</v>
      </c>
      <c r="AG135" s="60" t="n">
        <f aca="false">+U135*$D135</f>
        <v>0</v>
      </c>
      <c r="AI135" s="27" t="n">
        <f aca="false">+W135*($F135+$G135)</f>
        <v>795135</v>
      </c>
      <c r="AJ135" s="27" t="n">
        <f aca="false">+X135*($F135+$G135)</f>
        <v>792962.5</v>
      </c>
      <c r="AK135" s="27" t="n">
        <f aca="false">+Y135*($F135+$G135)</f>
        <v>792962.5</v>
      </c>
      <c r="AL135" s="27" t="n">
        <f aca="false">+Z135*($F135+$G135)</f>
        <v>0</v>
      </c>
      <c r="AM135" s="27" t="n">
        <f aca="false">+AA135*($F135+$G135)</f>
        <v>0</v>
      </c>
      <c r="AN135" s="27" t="n">
        <f aca="false">+AB135*($F135+$G135)</f>
        <v>0</v>
      </c>
      <c r="AO135" s="27" t="n">
        <f aca="false">+AC135*($F135+$G135)</f>
        <v>0</v>
      </c>
      <c r="AP135" s="27" t="n">
        <f aca="false">+AD135*($F135+$G135)</f>
        <v>0</v>
      </c>
      <c r="AQ135" s="27" t="n">
        <f aca="false">+AE135*($F135+$G135)</f>
        <v>0</v>
      </c>
      <c r="AR135" s="27" t="n">
        <f aca="false">+AF135*($F135+$G135)</f>
        <v>0</v>
      </c>
      <c r="AS135" s="27" t="n">
        <f aca="false">+AG135*($F135+$G135)</f>
        <v>0</v>
      </c>
    </row>
    <row r="136" customFormat="false" ht="12.75" hidden="false" customHeight="false" outlineLevel="0" collapsed="false">
      <c r="A136" s="103" t="s">
        <v>97</v>
      </c>
      <c r="B136" s="22" t="s">
        <v>77</v>
      </c>
      <c r="C136" s="61" t="n">
        <v>27458</v>
      </c>
      <c r="D136" s="62" t="n">
        <v>14000</v>
      </c>
      <c r="E136" s="61" t="s">
        <v>132</v>
      </c>
      <c r="F136" s="63" t="n">
        <f aca="false">1.28-0.102-0.0011-0.0153</f>
        <v>1.1616</v>
      </c>
      <c r="G136" s="63" t="n">
        <v>0.0153</v>
      </c>
      <c r="H136" s="85" t="n">
        <f aca="false">+G136+F136</f>
        <v>1.1769</v>
      </c>
      <c r="I136" s="86" t="n">
        <v>37621</v>
      </c>
      <c r="J136" s="87" t="n">
        <v>38717</v>
      </c>
      <c r="K136" s="0" t="n">
        <v>0</v>
      </c>
      <c r="L136" s="0" t="n">
        <v>0</v>
      </c>
      <c r="M136" s="0" t="n">
        <v>0</v>
      </c>
      <c r="N136" s="0" t="n">
        <v>365</v>
      </c>
      <c r="O136" s="0" t="n">
        <v>366</v>
      </c>
      <c r="P136" s="0" t="n">
        <v>365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W136" s="60" t="n">
        <f aca="false">+K136*$D136</f>
        <v>0</v>
      </c>
      <c r="X136" s="60" t="n">
        <f aca="false">+L136*$D136</f>
        <v>0</v>
      </c>
      <c r="Y136" s="60" t="n">
        <f aca="false">+M136*$D136</f>
        <v>0</v>
      </c>
      <c r="Z136" s="60" t="n">
        <f aca="false">+N136*$D136</f>
        <v>5110000</v>
      </c>
      <c r="AA136" s="60" t="n">
        <f aca="false">+O136*$D136</f>
        <v>5124000</v>
      </c>
      <c r="AB136" s="60" t="n">
        <f aca="false">+P136*$D136</f>
        <v>5110000</v>
      </c>
      <c r="AC136" s="60" t="n">
        <f aca="false">+Q136*$D136</f>
        <v>0</v>
      </c>
      <c r="AD136" s="60" t="n">
        <f aca="false">+R136*$D136</f>
        <v>0</v>
      </c>
      <c r="AE136" s="60" t="n">
        <f aca="false">+S136*$D136</f>
        <v>0</v>
      </c>
      <c r="AF136" s="60" t="n">
        <f aca="false">+T136*$D136</f>
        <v>0</v>
      </c>
      <c r="AG136" s="60" t="n">
        <f aca="false">+U136*$D136</f>
        <v>0</v>
      </c>
      <c r="AI136" s="27" t="n">
        <f aca="false">+W136*($F136+$G136)</f>
        <v>0</v>
      </c>
      <c r="AJ136" s="27" t="n">
        <f aca="false">+X136*($F136+$G136)</f>
        <v>0</v>
      </c>
      <c r="AK136" s="27" t="n">
        <f aca="false">+Y136*($F136+$G136)</f>
        <v>0</v>
      </c>
      <c r="AL136" s="27" t="n">
        <f aca="false">+Z136*($F136+$G136)</f>
        <v>6013959</v>
      </c>
      <c r="AM136" s="27" t="n">
        <f aca="false">+AA136*($F136+$G136)</f>
        <v>6030435.6</v>
      </c>
      <c r="AN136" s="27" t="n">
        <f aca="false">+AB136*($F136+$G136)</f>
        <v>6013959</v>
      </c>
      <c r="AO136" s="27" t="n">
        <f aca="false">+AC136*($F136+$G136)</f>
        <v>0</v>
      </c>
      <c r="AP136" s="27" t="n">
        <f aca="false">+AD136*($F136+$G136)</f>
        <v>0</v>
      </c>
      <c r="AQ136" s="27" t="n">
        <f aca="false">+AE136*($F136+$G136)</f>
        <v>0</v>
      </c>
      <c r="AR136" s="27" t="n">
        <f aca="false">+AF136*($F136+$G136)</f>
        <v>0</v>
      </c>
      <c r="AS136" s="27" t="n">
        <f aca="false">+AG136*($F136+$G136)</f>
        <v>0</v>
      </c>
    </row>
    <row r="137" customFormat="false" ht="12.75" hidden="false" customHeight="false" outlineLevel="0" collapsed="false">
      <c r="A137" s="104" t="s">
        <v>97</v>
      </c>
      <c r="B137" s="22" t="s">
        <v>100</v>
      </c>
      <c r="C137" s="61" t="n">
        <v>26520</v>
      </c>
      <c r="D137" s="62" t="n">
        <v>25000</v>
      </c>
      <c r="E137" s="61" t="s">
        <v>133</v>
      </c>
      <c r="F137" s="63" t="n">
        <v>0.2096</v>
      </c>
      <c r="G137" s="63" t="n">
        <v>0.0254</v>
      </c>
      <c r="H137" s="85" t="n">
        <f aca="false">+G137+F137</f>
        <v>0.235</v>
      </c>
      <c r="I137" s="86" t="n">
        <v>33664</v>
      </c>
      <c r="J137" s="87" t="n">
        <v>39141</v>
      </c>
      <c r="K137" s="0" t="n">
        <v>366</v>
      </c>
      <c r="L137" s="0" t="n">
        <v>365</v>
      </c>
      <c r="M137" s="0" t="n">
        <v>365</v>
      </c>
      <c r="N137" s="0" t="n">
        <v>365</v>
      </c>
      <c r="O137" s="0" t="n">
        <v>366</v>
      </c>
      <c r="P137" s="0" t="n">
        <v>365</v>
      </c>
      <c r="Q137" s="0" t="n">
        <v>365</v>
      </c>
      <c r="R137" s="0" t="n">
        <v>59</v>
      </c>
      <c r="S137" s="0" t="n">
        <v>0</v>
      </c>
      <c r="T137" s="0" t="n">
        <v>0</v>
      </c>
      <c r="U137" s="0" t="n">
        <v>0</v>
      </c>
      <c r="W137" s="60" t="n">
        <f aca="false">+K137*$D137</f>
        <v>9150000</v>
      </c>
      <c r="X137" s="60" t="n">
        <f aca="false">+L137*$D137</f>
        <v>9125000</v>
      </c>
      <c r="Y137" s="60" t="n">
        <f aca="false">+M137*$D137</f>
        <v>9125000</v>
      </c>
      <c r="Z137" s="60" t="n">
        <f aca="false">+N137*$D137</f>
        <v>9125000</v>
      </c>
      <c r="AA137" s="60" t="n">
        <f aca="false">+O137*$D137</f>
        <v>9150000</v>
      </c>
      <c r="AB137" s="60" t="n">
        <f aca="false">+P137*$D137</f>
        <v>9125000</v>
      </c>
      <c r="AC137" s="60" t="n">
        <f aca="false">+Q137*$D137</f>
        <v>9125000</v>
      </c>
      <c r="AD137" s="60" t="n">
        <f aca="false">+R137*$D137</f>
        <v>1475000</v>
      </c>
      <c r="AE137" s="60" t="n">
        <f aca="false">+S137*$D137</f>
        <v>0</v>
      </c>
      <c r="AF137" s="60" t="n">
        <f aca="false">+T137*$D137</f>
        <v>0</v>
      </c>
      <c r="AG137" s="60" t="n">
        <f aca="false">+U137*$D137</f>
        <v>0</v>
      </c>
      <c r="AI137" s="27" t="n">
        <f aca="false">+W137*($F137+$G137)</f>
        <v>2150250</v>
      </c>
      <c r="AJ137" s="27" t="n">
        <f aca="false">+X137*($F137+$G137)</f>
        <v>2144375</v>
      </c>
      <c r="AK137" s="27" t="n">
        <f aca="false">+Y137*($F137+$G137)</f>
        <v>2144375</v>
      </c>
      <c r="AL137" s="27" t="n">
        <f aca="false">+Z137*($F137+$G137)</f>
        <v>2144375</v>
      </c>
      <c r="AM137" s="27" t="n">
        <f aca="false">+AA137*($F137+$G137)</f>
        <v>2150250</v>
      </c>
      <c r="AN137" s="27" t="n">
        <f aca="false">+AB137*($F137+$G137)</f>
        <v>2144375</v>
      </c>
      <c r="AO137" s="27" t="n">
        <f aca="false">+AC137*($F137+$G137)</f>
        <v>2144375</v>
      </c>
      <c r="AP137" s="27" t="n">
        <f aca="false">+AD137*($F137+$G137)</f>
        <v>346625</v>
      </c>
      <c r="AQ137" s="27" t="n">
        <f aca="false">+AE137*($F137+$G137)</f>
        <v>0</v>
      </c>
      <c r="AR137" s="27" t="n">
        <f aca="false">+AF137*($F137+$G137)</f>
        <v>0</v>
      </c>
      <c r="AS137" s="27" t="n">
        <f aca="false">+AG137*($F137+$G137)</f>
        <v>0</v>
      </c>
    </row>
    <row r="138" customFormat="false" ht="12.75" hidden="false" customHeight="false" outlineLevel="0" collapsed="false">
      <c r="A138" s="104" t="s">
        <v>97</v>
      </c>
      <c r="B138" s="22" t="s">
        <v>79</v>
      </c>
      <c r="C138" s="61" t="n">
        <v>20747</v>
      </c>
      <c r="D138" s="62" t="n">
        <v>10000</v>
      </c>
      <c r="E138" s="61" t="s">
        <v>133</v>
      </c>
      <c r="F138" s="63" t="n">
        <v>0.3062</v>
      </c>
      <c r="G138" s="63" t="n">
        <v>0.0254</v>
      </c>
      <c r="H138" s="85" t="n">
        <f aca="false">+G138+F138</f>
        <v>0.3316</v>
      </c>
      <c r="I138" s="86" t="n">
        <v>33664</v>
      </c>
      <c r="J138" s="87" t="n">
        <v>37315</v>
      </c>
      <c r="K138" s="0" t="n">
        <v>366</v>
      </c>
      <c r="L138" s="0" t="n">
        <v>365</v>
      </c>
      <c r="M138" s="0" t="n">
        <v>59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W138" s="60" t="n">
        <f aca="false">+K138*$D138</f>
        <v>3660000</v>
      </c>
      <c r="X138" s="60" t="n">
        <f aca="false">+L138*$D138</f>
        <v>3650000</v>
      </c>
      <c r="Y138" s="60" t="n">
        <f aca="false">+M138*$D138</f>
        <v>590000</v>
      </c>
      <c r="Z138" s="60" t="n">
        <f aca="false">+N138*$D138</f>
        <v>0</v>
      </c>
      <c r="AA138" s="60" t="n">
        <f aca="false">+O138*$D138</f>
        <v>0</v>
      </c>
      <c r="AB138" s="60" t="n">
        <f aca="false">+P138*$D138</f>
        <v>0</v>
      </c>
      <c r="AC138" s="60" t="n">
        <f aca="false">+Q138*$D138</f>
        <v>0</v>
      </c>
      <c r="AD138" s="60" t="n">
        <f aca="false">+R138*$D138</f>
        <v>0</v>
      </c>
      <c r="AE138" s="60" t="n">
        <f aca="false">+S138*$D138</f>
        <v>0</v>
      </c>
      <c r="AF138" s="60" t="n">
        <f aca="false">+T138*$D138</f>
        <v>0</v>
      </c>
      <c r="AG138" s="60" t="n">
        <f aca="false">+U138*$D138</f>
        <v>0</v>
      </c>
      <c r="AI138" s="27" t="n">
        <f aca="false">+W138*($F138+$G138)</f>
        <v>1213656</v>
      </c>
      <c r="AJ138" s="27" t="n">
        <f aca="false">+X138*($F138+$G138)</f>
        <v>1210340</v>
      </c>
      <c r="AK138" s="27" t="n">
        <f aca="false">+Y138*($F138+$G138)</f>
        <v>195644</v>
      </c>
      <c r="AL138" s="27" t="n">
        <f aca="false">+Z138*($F138+$G138)</f>
        <v>0</v>
      </c>
      <c r="AM138" s="27" t="n">
        <f aca="false">+AA138*($F138+$G138)</f>
        <v>0</v>
      </c>
      <c r="AN138" s="27" t="n">
        <f aca="false">+AB138*($F138+$G138)</f>
        <v>0</v>
      </c>
      <c r="AO138" s="27" t="n">
        <f aca="false">+AC138*($F138+$G138)</f>
        <v>0</v>
      </c>
      <c r="AP138" s="27" t="n">
        <f aca="false">+AD138*($F138+$G138)</f>
        <v>0</v>
      </c>
      <c r="AQ138" s="27" t="n">
        <f aca="false">+AE138*($F138+$G138)</f>
        <v>0</v>
      </c>
      <c r="AR138" s="27" t="n">
        <f aca="false">+AF138*($F138+$G138)</f>
        <v>0</v>
      </c>
      <c r="AS138" s="27" t="n">
        <f aca="false">+AG138*($F138+$G138)</f>
        <v>0</v>
      </c>
    </row>
    <row r="139" customFormat="false" ht="12.75" hidden="false" customHeight="false" outlineLevel="0" collapsed="false">
      <c r="A139" s="104" t="s">
        <v>97</v>
      </c>
      <c r="B139" s="22" t="s">
        <v>79</v>
      </c>
      <c r="C139" s="61" t="n">
        <v>20748</v>
      </c>
      <c r="D139" s="62" t="n">
        <v>10000</v>
      </c>
      <c r="E139" s="61" t="s">
        <v>133</v>
      </c>
      <c r="F139" s="63" t="n">
        <v>0.305</v>
      </c>
      <c r="G139" s="63" t="n">
        <v>0.0254</v>
      </c>
      <c r="H139" s="85" t="n">
        <f aca="false">+G139+F139</f>
        <v>0.3304</v>
      </c>
      <c r="I139" s="86" t="n">
        <v>33664</v>
      </c>
      <c r="J139" s="87" t="n">
        <v>37315</v>
      </c>
      <c r="K139" s="0" t="n">
        <v>366</v>
      </c>
      <c r="L139" s="0" t="n">
        <v>365</v>
      </c>
      <c r="M139" s="0" t="n">
        <v>59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W139" s="60" t="n">
        <f aca="false">+K139*$D139</f>
        <v>3660000</v>
      </c>
      <c r="X139" s="60" t="n">
        <f aca="false">+L139*$D139</f>
        <v>3650000</v>
      </c>
      <c r="Y139" s="60" t="n">
        <f aca="false">+M139*$D139</f>
        <v>590000</v>
      </c>
      <c r="Z139" s="60" t="n">
        <f aca="false">+N139*$D139</f>
        <v>0</v>
      </c>
      <c r="AA139" s="60" t="n">
        <f aca="false">+O139*$D139</f>
        <v>0</v>
      </c>
      <c r="AB139" s="60" t="n">
        <f aca="false">+P139*$D139</f>
        <v>0</v>
      </c>
      <c r="AC139" s="60" t="n">
        <f aca="false">+Q139*$D139</f>
        <v>0</v>
      </c>
      <c r="AD139" s="60" t="n">
        <f aca="false">+R139*$D139</f>
        <v>0</v>
      </c>
      <c r="AE139" s="60" t="n">
        <f aca="false">+S139*$D139</f>
        <v>0</v>
      </c>
      <c r="AF139" s="60" t="n">
        <f aca="false">+T139*$D139</f>
        <v>0</v>
      </c>
      <c r="AG139" s="60" t="n">
        <f aca="false">+U139*$D139</f>
        <v>0</v>
      </c>
      <c r="AI139" s="27" t="n">
        <f aca="false">+W139*($F139+$G139)</f>
        <v>1209264</v>
      </c>
      <c r="AJ139" s="27" t="n">
        <f aca="false">+X139*($F139+$G139)</f>
        <v>1205960</v>
      </c>
      <c r="AK139" s="27" t="n">
        <f aca="false">+Y139*($F139+$G139)</f>
        <v>194936</v>
      </c>
      <c r="AL139" s="27" t="n">
        <f aca="false">+Z139*($F139+$G139)</f>
        <v>0</v>
      </c>
      <c r="AM139" s="27" t="n">
        <f aca="false">+AA139*($F139+$G139)</f>
        <v>0</v>
      </c>
      <c r="AN139" s="27" t="n">
        <f aca="false">+AB139*($F139+$G139)</f>
        <v>0</v>
      </c>
      <c r="AO139" s="27" t="n">
        <f aca="false">+AC139*($F139+$G139)</f>
        <v>0</v>
      </c>
      <c r="AP139" s="27" t="n">
        <f aca="false">+AD139*($F139+$G139)</f>
        <v>0</v>
      </c>
      <c r="AQ139" s="27" t="n">
        <f aca="false">+AE139*($F139+$G139)</f>
        <v>0</v>
      </c>
      <c r="AR139" s="27" t="n">
        <f aca="false">+AF139*($F139+$G139)</f>
        <v>0</v>
      </c>
      <c r="AS139" s="27" t="n">
        <f aca="false">+AG139*($F139+$G139)</f>
        <v>0</v>
      </c>
    </row>
    <row r="140" customFormat="false" ht="12.75" hidden="false" customHeight="false" outlineLevel="0" collapsed="false">
      <c r="A140" s="103" t="s">
        <v>97</v>
      </c>
      <c r="B140" s="22" t="s">
        <v>79</v>
      </c>
      <c r="C140" s="61" t="n">
        <v>27566</v>
      </c>
      <c r="D140" s="62" t="n">
        <v>20000</v>
      </c>
      <c r="E140" s="61" t="s">
        <v>128</v>
      </c>
      <c r="F140" s="63" t="n">
        <v>0.2639</v>
      </c>
      <c r="G140" s="63" t="n">
        <v>0.0153</v>
      </c>
      <c r="H140" s="85" t="n">
        <f aca="false">+G140+F140</f>
        <v>0.2792</v>
      </c>
      <c r="I140" s="86" t="n">
        <v>37316</v>
      </c>
      <c r="J140" s="87" t="n">
        <v>39172</v>
      </c>
      <c r="K140" s="0" t="n">
        <v>0</v>
      </c>
      <c r="L140" s="0" t="n">
        <v>0</v>
      </c>
      <c r="M140" s="0" t="n">
        <v>306</v>
      </c>
      <c r="N140" s="0" t="n">
        <v>365</v>
      </c>
      <c r="O140" s="0" t="n">
        <v>366</v>
      </c>
      <c r="P140" s="0" t="n">
        <v>365</v>
      </c>
      <c r="Q140" s="0" t="n">
        <v>365</v>
      </c>
      <c r="R140" s="0" t="n">
        <v>90</v>
      </c>
      <c r="S140" s="0" t="n">
        <v>0</v>
      </c>
      <c r="T140" s="0" t="n">
        <v>0</v>
      </c>
      <c r="U140" s="0" t="n">
        <v>0</v>
      </c>
      <c r="W140" s="60" t="n">
        <f aca="false">+K140*$D140</f>
        <v>0</v>
      </c>
      <c r="X140" s="60" t="n">
        <f aca="false">+L140*$D140</f>
        <v>0</v>
      </c>
      <c r="Y140" s="60" t="n">
        <f aca="false">+M140*$D140</f>
        <v>6120000</v>
      </c>
      <c r="Z140" s="60" t="n">
        <f aca="false">+N140*$D140</f>
        <v>7300000</v>
      </c>
      <c r="AA140" s="60" t="n">
        <f aca="false">+O140*$D140</f>
        <v>7320000</v>
      </c>
      <c r="AB140" s="60" t="n">
        <f aca="false">+P140*$D140</f>
        <v>7300000</v>
      </c>
      <c r="AC140" s="60" t="n">
        <f aca="false">+Q140*$D140</f>
        <v>7300000</v>
      </c>
      <c r="AD140" s="60" t="n">
        <f aca="false">+R140*$D140</f>
        <v>1800000</v>
      </c>
      <c r="AE140" s="60" t="n">
        <f aca="false">+S140*$D140</f>
        <v>0</v>
      </c>
      <c r="AF140" s="60" t="n">
        <f aca="false">+T140*$D140</f>
        <v>0</v>
      </c>
      <c r="AG140" s="60" t="n">
        <f aca="false">+U140*$D140</f>
        <v>0</v>
      </c>
      <c r="AI140" s="27" t="n">
        <f aca="false">+W140*($F140+$G140)</f>
        <v>0</v>
      </c>
      <c r="AJ140" s="27" t="n">
        <f aca="false">+X140*($F140+$G140)</f>
        <v>0</v>
      </c>
      <c r="AK140" s="27" t="n">
        <f aca="false">+Y140*($F140+$G140)</f>
        <v>1708704</v>
      </c>
      <c r="AL140" s="27" t="n">
        <f aca="false">+Z140*($F140+$G140)</f>
        <v>2038160</v>
      </c>
      <c r="AM140" s="27" t="n">
        <f aca="false">+AA140*($F140+$G140)</f>
        <v>2043744</v>
      </c>
      <c r="AN140" s="27" t="n">
        <f aca="false">+AB140*($F140+$G140)</f>
        <v>2038160</v>
      </c>
      <c r="AO140" s="27" t="n">
        <f aca="false">+AC140*($F140+$G140)</f>
        <v>2038160</v>
      </c>
      <c r="AP140" s="27" t="n">
        <f aca="false">+AD140*($F140+$G140)</f>
        <v>502560</v>
      </c>
      <c r="AQ140" s="27" t="n">
        <f aca="false">+AE140*($F140+$G140)</f>
        <v>0</v>
      </c>
      <c r="AR140" s="27" t="n">
        <f aca="false">+AF140*($F140+$G140)</f>
        <v>0</v>
      </c>
      <c r="AS140" s="27" t="n">
        <f aca="false">+AG140*($F140+$G140)</f>
        <v>0</v>
      </c>
    </row>
    <row r="141" customFormat="false" ht="12.75" hidden="false" customHeight="false" outlineLevel="0" collapsed="false">
      <c r="A141" s="83" t="s">
        <v>97</v>
      </c>
      <c r="B141" s="22" t="s">
        <v>35</v>
      </c>
      <c r="C141" s="61" t="n">
        <v>25838</v>
      </c>
      <c r="D141" s="62" t="n">
        <v>10475</v>
      </c>
      <c r="E141" s="84" t="s">
        <v>127</v>
      </c>
      <c r="F141" s="63" t="n">
        <v>0.0396</v>
      </c>
      <c r="G141" s="63" t="n">
        <v>0.0254</v>
      </c>
      <c r="H141" s="85" t="n">
        <f aca="false">+G141+F141</f>
        <v>0.065</v>
      </c>
      <c r="I141" s="86"/>
      <c r="J141" s="87" t="n">
        <v>36556</v>
      </c>
      <c r="K141" s="0" t="n">
        <v>31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W141" s="60" t="n">
        <f aca="false">+K141*$D141</f>
        <v>324725</v>
      </c>
      <c r="X141" s="60" t="n">
        <f aca="false">+L141*$D141</f>
        <v>0</v>
      </c>
      <c r="Y141" s="60" t="n">
        <f aca="false">+M141*$D141</f>
        <v>0</v>
      </c>
      <c r="Z141" s="60" t="n">
        <f aca="false">+N141*$D141</f>
        <v>0</v>
      </c>
      <c r="AA141" s="60" t="n">
        <f aca="false">+O141*$D141</f>
        <v>0</v>
      </c>
      <c r="AB141" s="60" t="n">
        <f aca="false">+P141*$D141</f>
        <v>0</v>
      </c>
      <c r="AC141" s="60" t="n">
        <f aca="false">+Q141*$D141</f>
        <v>0</v>
      </c>
      <c r="AD141" s="60" t="n">
        <f aca="false">+R141*$D141</f>
        <v>0</v>
      </c>
      <c r="AE141" s="60" t="n">
        <f aca="false">+S141*$D141</f>
        <v>0</v>
      </c>
      <c r="AF141" s="60" t="n">
        <f aca="false">+T141*$D141</f>
        <v>0</v>
      </c>
      <c r="AG141" s="60" t="n">
        <f aca="false">+U141*$D141</f>
        <v>0</v>
      </c>
      <c r="AI141" s="27" t="n">
        <f aca="false">+W141*($F141+$G141)</f>
        <v>21107.125</v>
      </c>
      <c r="AJ141" s="27" t="n">
        <f aca="false">+X141*($F141+$G141)</f>
        <v>0</v>
      </c>
      <c r="AK141" s="27" t="n">
        <f aca="false">+Y141*($F141+$G141)</f>
        <v>0</v>
      </c>
      <c r="AL141" s="27" t="n">
        <f aca="false">+Z141*($F141+$G141)</f>
        <v>0</v>
      </c>
      <c r="AM141" s="27" t="n">
        <f aca="false">+AA141*($F141+$G141)</f>
        <v>0</v>
      </c>
      <c r="AN141" s="27" t="n">
        <f aca="false">+AB141*($F141+$G141)</f>
        <v>0</v>
      </c>
      <c r="AO141" s="27" t="n">
        <f aca="false">+AC141*($F141+$G141)</f>
        <v>0</v>
      </c>
      <c r="AP141" s="27" t="n">
        <f aca="false">+AD141*($F141+$G141)</f>
        <v>0</v>
      </c>
      <c r="AQ141" s="27" t="n">
        <f aca="false">+AE141*($F141+$G141)</f>
        <v>0</v>
      </c>
      <c r="AR141" s="27" t="n">
        <f aca="false">+AF141*($F141+$G141)</f>
        <v>0</v>
      </c>
      <c r="AS141" s="27" t="n">
        <f aca="false">+AG141*($F141+$G141)</f>
        <v>0</v>
      </c>
    </row>
    <row r="142" customFormat="false" ht="12.75" hidden="false" customHeight="false" outlineLevel="0" collapsed="false">
      <c r="A142" s="83" t="s">
        <v>97</v>
      </c>
      <c r="B142" s="22" t="s">
        <v>35</v>
      </c>
      <c r="C142" s="71" t="n">
        <v>26758</v>
      </c>
      <c r="D142" s="62" t="n">
        <v>40000</v>
      </c>
      <c r="E142" s="84" t="s">
        <v>127</v>
      </c>
      <c r="F142" s="63" t="n">
        <v>0.0658</v>
      </c>
      <c r="G142" s="63" t="n">
        <v>0.0254</v>
      </c>
      <c r="H142" s="85" t="n">
        <f aca="false">+G142+F142</f>
        <v>0.0912</v>
      </c>
      <c r="I142" s="86" t="n">
        <v>36647</v>
      </c>
      <c r="J142" s="87" t="n">
        <v>38472</v>
      </c>
      <c r="K142" s="0" t="n">
        <v>245</v>
      </c>
      <c r="L142" s="0" t="n">
        <v>365</v>
      </c>
      <c r="M142" s="0" t="n">
        <v>365</v>
      </c>
      <c r="N142" s="0" t="n">
        <v>365</v>
      </c>
      <c r="O142" s="0" t="n">
        <v>366</v>
      </c>
      <c r="P142" s="0" t="n">
        <v>120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W142" s="60" t="n">
        <f aca="false">+K142*$D142</f>
        <v>9800000</v>
      </c>
      <c r="X142" s="60" t="n">
        <f aca="false">+L142*$D142</f>
        <v>14600000</v>
      </c>
      <c r="Y142" s="60" t="n">
        <f aca="false">+M142*$D142</f>
        <v>14600000</v>
      </c>
      <c r="Z142" s="60" t="n">
        <f aca="false">+N142*$D142</f>
        <v>14600000</v>
      </c>
      <c r="AA142" s="60" t="n">
        <f aca="false">+O142*$D142</f>
        <v>14640000</v>
      </c>
      <c r="AB142" s="60" t="n">
        <f aca="false">+P142*$D142</f>
        <v>4800000</v>
      </c>
      <c r="AC142" s="60" t="n">
        <f aca="false">+Q142*$D142</f>
        <v>0</v>
      </c>
      <c r="AD142" s="60" t="n">
        <f aca="false">+R142*$D142</f>
        <v>0</v>
      </c>
      <c r="AE142" s="60" t="n">
        <f aca="false">+S142*$D142</f>
        <v>0</v>
      </c>
      <c r="AF142" s="60" t="n">
        <f aca="false">+T142*$D142</f>
        <v>0</v>
      </c>
      <c r="AG142" s="60" t="n">
        <f aca="false">+U142*$D142</f>
        <v>0</v>
      </c>
      <c r="AI142" s="27" t="n">
        <f aca="false">+W142*($F142+$G142)</f>
        <v>893760</v>
      </c>
      <c r="AJ142" s="27" t="n">
        <f aca="false">+X142*($F142+$G142)</f>
        <v>1331520</v>
      </c>
      <c r="AK142" s="27" t="n">
        <f aca="false">+Y142*($F142+$G142)</f>
        <v>1331520</v>
      </c>
      <c r="AL142" s="27" t="n">
        <f aca="false">+Z142*($F142+$G142)</f>
        <v>1331520</v>
      </c>
      <c r="AM142" s="27" t="n">
        <f aca="false">+AA142*($F142+$G142)</f>
        <v>1335168</v>
      </c>
      <c r="AN142" s="27" t="n">
        <f aca="false">+AB142*($F142+$G142)</f>
        <v>437760</v>
      </c>
      <c r="AO142" s="27" t="n">
        <f aca="false">+AC142*($F142+$G142)</f>
        <v>0</v>
      </c>
      <c r="AP142" s="27" t="n">
        <f aca="false">+AD142*($F142+$G142)</f>
        <v>0</v>
      </c>
      <c r="AQ142" s="27" t="n">
        <f aca="false">+AE142*($F142+$G142)</f>
        <v>0</v>
      </c>
      <c r="AR142" s="27" t="n">
        <f aca="false">+AF142*($F142+$G142)</f>
        <v>0</v>
      </c>
      <c r="AS142" s="27" t="n">
        <f aca="false">+AG142*($F142+$G142)</f>
        <v>0</v>
      </c>
    </row>
    <row r="143" customFormat="false" ht="12.75" hidden="false" customHeight="false" outlineLevel="0" collapsed="false">
      <c r="A143" s="104" t="s">
        <v>97</v>
      </c>
      <c r="B143" s="22" t="s">
        <v>81</v>
      </c>
      <c r="C143" s="61" t="n">
        <v>26372</v>
      </c>
      <c r="D143" s="62" t="n">
        <v>25000</v>
      </c>
      <c r="E143" s="61" t="s">
        <v>133</v>
      </c>
      <c r="F143" s="63" t="n">
        <v>0.3137</v>
      </c>
      <c r="G143" s="63" t="n">
        <v>0.0254</v>
      </c>
      <c r="H143" s="85" t="n">
        <f aca="false">+G143+F143</f>
        <v>0.3391</v>
      </c>
      <c r="I143" s="86" t="n">
        <v>36525</v>
      </c>
      <c r="J143" s="87" t="n">
        <v>39172</v>
      </c>
      <c r="K143" s="0" t="n">
        <v>366</v>
      </c>
      <c r="L143" s="0" t="n">
        <v>365</v>
      </c>
      <c r="M143" s="0" t="n">
        <v>365</v>
      </c>
      <c r="N143" s="0" t="n">
        <v>365</v>
      </c>
      <c r="O143" s="0" t="n">
        <v>366</v>
      </c>
      <c r="P143" s="0" t="n">
        <v>365</v>
      </c>
      <c r="Q143" s="0" t="n">
        <v>365</v>
      </c>
      <c r="R143" s="0" t="n">
        <v>90</v>
      </c>
      <c r="S143" s="0" t="n">
        <v>0</v>
      </c>
      <c r="T143" s="0" t="n">
        <v>0</v>
      </c>
      <c r="U143" s="0" t="n">
        <v>0</v>
      </c>
      <c r="W143" s="60" t="n">
        <f aca="false">+K143*$D143</f>
        <v>9150000</v>
      </c>
      <c r="X143" s="60" t="n">
        <f aca="false">+L143*$D143</f>
        <v>9125000</v>
      </c>
      <c r="Y143" s="60" t="n">
        <f aca="false">+M143*$D143</f>
        <v>9125000</v>
      </c>
      <c r="Z143" s="60" t="n">
        <f aca="false">+N143*$D143</f>
        <v>9125000</v>
      </c>
      <c r="AA143" s="60" t="n">
        <f aca="false">+O143*$D143</f>
        <v>9150000</v>
      </c>
      <c r="AB143" s="60" t="n">
        <f aca="false">+P143*$D143</f>
        <v>9125000</v>
      </c>
      <c r="AC143" s="60" t="n">
        <f aca="false">+Q143*$D143</f>
        <v>9125000</v>
      </c>
      <c r="AD143" s="60" t="n">
        <f aca="false">+R143*$D143</f>
        <v>2250000</v>
      </c>
      <c r="AE143" s="60" t="n">
        <f aca="false">+S143*$D143</f>
        <v>0</v>
      </c>
      <c r="AF143" s="60" t="n">
        <f aca="false">+T143*$D143</f>
        <v>0</v>
      </c>
      <c r="AG143" s="60" t="n">
        <f aca="false">+U143*$D143</f>
        <v>0</v>
      </c>
      <c r="AI143" s="27" t="n">
        <f aca="false">+W143*($F143+$G143)</f>
        <v>3102765</v>
      </c>
      <c r="AJ143" s="27" t="n">
        <f aca="false">+X143*($F143+$G143)</f>
        <v>3094287.5</v>
      </c>
      <c r="AK143" s="27" t="n">
        <f aca="false">+Y143*($F143+$G143)</f>
        <v>3094287.5</v>
      </c>
      <c r="AL143" s="27" t="n">
        <f aca="false">+Z143*($F143+$G143)</f>
        <v>3094287.5</v>
      </c>
      <c r="AM143" s="27" t="n">
        <f aca="false">+AA143*($F143+$G143)</f>
        <v>3102765</v>
      </c>
      <c r="AN143" s="27" t="n">
        <f aca="false">+AB143*($F143+$G143)</f>
        <v>3094287.5</v>
      </c>
      <c r="AO143" s="27" t="n">
        <f aca="false">+AC143*($F143+$G143)</f>
        <v>3094287.5</v>
      </c>
      <c r="AP143" s="27" t="n">
        <f aca="false">+AD143*($F143+$G143)</f>
        <v>762975</v>
      </c>
      <c r="AQ143" s="27" t="n">
        <f aca="false">+AE143*($F143+$G143)</f>
        <v>0</v>
      </c>
      <c r="AR143" s="27" t="n">
        <f aca="false">+AF143*($F143+$G143)</f>
        <v>0</v>
      </c>
      <c r="AS143" s="27" t="n">
        <f aca="false">+AG143*($F143+$G143)</f>
        <v>0</v>
      </c>
    </row>
    <row r="144" customFormat="false" ht="12.75" hidden="false" customHeight="false" outlineLevel="0" collapsed="false">
      <c r="A144" s="103" t="s">
        <v>97</v>
      </c>
      <c r="B144" s="22" t="s">
        <v>82</v>
      </c>
      <c r="C144" s="61" t="n">
        <v>27453</v>
      </c>
      <c r="D144" s="62" t="n">
        <v>35000</v>
      </c>
      <c r="E144" s="61" t="s">
        <v>132</v>
      </c>
      <c r="F144" s="63" t="n">
        <f aca="false">1.18-0.102-0.0011-0.0153</f>
        <v>1.0616</v>
      </c>
      <c r="G144" s="63" t="n">
        <v>0.0153</v>
      </c>
      <c r="H144" s="85" t="n">
        <f aca="false">+G144+F144</f>
        <v>1.0769</v>
      </c>
      <c r="I144" s="86" t="n">
        <v>37621</v>
      </c>
      <c r="J144" s="87" t="n">
        <v>37986</v>
      </c>
      <c r="K144" s="0" t="n">
        <v>0</v>
      </c>
      <c r="L144" s="0" t="n">
        <v>0</v>
      </c>
      <c r="M144" s="0" t="n">
        <v>0</v>
      </c>
      <c r="N144" s="0" t="n">
        <v>365</v>
      </c>
      <c r="O144" s="0" t="n">
        <v>0</v>
      </c>
      <c r="P144" s="0" t="n">
        <v>0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W144" s="60" t="n">
        <f aca="false">+K144*$D144</f>
        <v>0</v>
      </c>
      <c r="X144" s="60" t="n">
        <f aca="false">+L144*$D144</f>
        <v>0</v>
      </c>
      <c r="Y144" s="60" t="n">
        <f aca="false">+M144*$D144</f>
        <v>0</v>
      </c>
      <c r="Z144" s="60" t="n">
        <f aca="false">+N144*$D144</f>
        <v>12775000</v>
      </c>
      <c r="AA144" s="60" t="n">
        <f aca="false">+O144*$D144</f>
        <v>0</v>
      </c>
      <c r="AB144" s="60" t="n">
        <f aca="false">+P144*$D144</f>
        <v>0</v>
      </c>
      <c r="AC144" s="60" t="n">
        <f aca="false">+Q144*$D144</f>
        <v>0</v>
      </c>
      <c r="AD144" s="60" t="n">
        <f aca="false">+R144*$D144</f>
        <v>0</v>
      </c>
      <c r="AE144" s="60" t="n">
        <f aca="false">+S144*$D144</f>
        <v>0</v>
      </c>
      <c r="AF144" s="60" t="n">
        <f aca="false">+T144*$D144</f>
        <v>0</v>
      </c>
      <c r="AG144" s="60" t="n">
        <f aca="false">+U144*$D144</f>
        <v>0</v>
      </c>
      <c r="AI144" s="27" t="n">
        <f aca="false">+W144*($F144+$G144)</f>
        <v>0</v>
      </c>
      <c r="AJ144" s="27" t="n">
        <f aca="false">+X144*($F144+$G144)</f>
        <v>0</v>
      </c>
      <c r="AK144" s="27" t="n">
        <f aca="false">+Y144*($F144+$G144)</f>
        <v>0</v>
      </c>
      <c r="AL144" s="27" t="n">
        <f aca="false">+Z144*($F144+$G144)</f>
        <v>13757397.5</v>
      </c>
      <c r="AM144" s="27" t="n">
        <f aca="false">+AA144*($F144+$G144)</f>
        <v>0</v>
      </c>
      <c r="AN144" s="27" t="n">
        <f aca="false">+AB144*($F144+$G144)</f>
        <v>0</v>
      </c>
      <c r="AO144" s="27" t="n">
        <f aca="false">+AC144*($F144+$G144)</f>
        <v>0</v>
      </c>
      <c r="AP144" s="27" t="n">
        <f aca="false">+AD144*($F144+$G144)</f>
        <v>0</v>
      </c>
      <c r="AQ144" s="27" t="n">
        <f aca="false">+AE144*($F144+$G144)</f>
        <v>0</v>
      </c>
      <c r="AR144" s="27" t="n">
        <f aca="false">+AF144*($F144+$G144)</f>
        <v>0</v>
      </c>
      <c r="AS144" s="27" t="n">
        <f aca="false">+AG144*($F144+$G144)</f>
        <v>0</v>
      </c>
    </row>
    <row r="145" customFormat="false" ht="12.75" hidden="false" customHeight="false" outlineLevel="0" collapsed="false">
      <c r="A145" s="103" t="s">
        <v>97</v>
      </c>
      <c r="B145" s="22" t="s">
        <v>82</v>
      </c>
      <c r="C145" s="61" t="n">
        <v>27456</v>
      </c>
      <c r="D145" s="62" t="n">
        <v>21500</v>
      </c>
      <c r="E145" s="61" t="s">
        <v>132</v>
      </c>
      <c r="F145" s="63" t="n">
        <f aca="false">1-0.102-0.0011-0.0153</f>
        <v>0.8816</v>
      </c>
      <c r="G145" s="63" t="n">
        <v>0.0153</v>
      </c>
      <c r="H145" s="85" t="n">
        <f aca="false">+G145+F145</f>
        <v>0.8969</v>
      </c>
      <c r="I145" s="86" t="n">
        <v>37560</v>
      </c>
      <c r="J145" s="87" t="n">
        <v>37621</v>
      </c>
      <c r="K145" s="0" t="n">
        <v>0</v>
      </c>
      <c r="L145" s="0" t="n">
        <v>0</v>
      </c>
      <c r="M145" s="0" t="n">
        <v>61</v>
      </c>
      <c r="N145" s="0" t="n">
        <v>0</v>
      </c>
      <c r="O145" s="0" t="n">
        <v>0</v>
      </c>
      <c r="P145" s="0" t="n">
        <v>0</v>
      </c>
      <c r="Q145" s="0" t="n">
        <v>0</v>
      </c>
      <c r="R145" s="0" t="n">
        <v>0</v>
      </c>
      <c r="S145" s="0" t="n">
        <v>0</v>
      </c>
      <c r="T145" s="0" t="n">
        <v>0</v>
      </c>
      <c r="U145" s="0" t="n">
        <v>0</v>
      </c>
      <c r="W145" s="60" t="n">
        <f aca="false">+K145*$D145</f>
        <v>0</v>
      </c>
      <c r="X145" s="60" t="n">
        <f aca="false">+L145*$D145</f>
        <v>0</v>
      </c>
      <c r="Y145" s="60" t="n">
        <f aca="false">+M145*$D145</f>
        <v>1311500</v>
      </c>
      <c r="Z145" s="60" t="n">
        <f aca="false">+N145*$D145</f>
        <v>0</v>
      </c>
      <c r="AA145" s="60" t="n">
        <f aca="false">+O145*$D145</f>
        <v>0</v>
      </c>
      <c r="AB145" s="60" t="n">
        <f aca="false">+P145*$D145</f>
        <v>0</v>
      </c>
      <c r="AC145" s="60" t="n">
        <f aca="false">+Q145*$D145</f>
        <v>0</v>
      </c>
      <c r="AD145" s="60" t="n">
        <f aca="false">+R145*$D145</f>
        <v>0</v>
      </c>
      <c r="AE145" s="60" t="n">
        <f aca="false">+S145*$D145</f>
        <v>0</v>
      </c>
      <c r="AF145" s="60" t="n">
        <f aca="false">+T145*$D145</f>
        <v>0</v>
      </c>
      <c r="AG145" s="60" t="n">
        <f aca="false">+U145*$D145</f>
        <v>0</v>
      </c>
      <c r="AI145" s="27" t="n">
        <f aca="false">+W145*($F145+$G145)</f>
        <v>0</v>
      </c>
      <c r="AJ145" s="27" t="n">
        <f aca="false">+X145*($F145+$G145)</f>
        <v>0</v>
      </c>
      <c r="AK145" s="27" t="n">
        <f aca="false">+Y145*($F145+$G145)</f>
        <v>1176284.35</v>
      </c>
      <c r="AL145" s="27" t="n">
        <f aca="false">+Z145*($F145+$G145)</f>
        <v>0</v>
      </c>
      <c r="AM145" s="27" t="n">
        <f aca="false">+AA145*($F145+$G145)</f>
        <v>0</v>
      </c>
      <c r="AN145" s="27" t="n">
        <f aca="false">+AB145*($F145+$G145)</f>
        <v>0</v>
      </c>
      <c r="AO145" s="27" t="n">
        <f aca="false">+AC145*($F145+$G145)</f>
        <v>0</v>
      </c>
      <c r="AP145" s="27" t="n">
        <f aca="false">+AD145*($F145+$G145)</f>
        <v>0</v>
      </c>
      <c r="AQ145" s="27" t="n">
        <f aca="false">+AE145*($F145+$G145)</f>
        <v>0</v>
      </c>
      <c r="AR145" s="27" t="n">
        <f aca="false">+AF145*($F145+$G145)</f>
        <v>0</v>
      </c>
      <c r="AS145" s="27" t="n">
        <f aca="false">+AG145*($F145+$G145)</f>
        <v>0</v>
      </c>
    </row>
    <row r="146" customFormat="false" ht="12.75" hidden="false" customHeight="false" outlineLevel="0" collapsed="false">
      <c r="A146" s="103" t="s">
        <v>97</v>
      </c>
      <c r="B146" s="22" t="s">
        <v>82</v>
      </c>
      <c r="C146" s="61" t="n">
        <v>27457</v>
      </c>
      <c r="D146" s="62" t="n">
        <v>13500</v>
      </c>
      <c r="E146" s="61" t="s">
        <v>132</v>
      </c>
      <c r="F146" s="63" t="n">
        <f aca="false">1.11-0.102-0.0011-0.0153</f>
        <v>0.9916</v>
      </c>
      <c r="G146" s="63" t="n">
        <v>0.0153</v>
      </c>
      <c r="H146" s="85" t="n">
        <f aca="false">+G146+F146</f>
        <v>1.0069</v>
      </c>
      <c r="I146" s="86" t="n">
        <v>37225</v>
      </c>
      <c r="J146" s="87" t="n">
        <v>37256</v>
      </c>
      <c r="K146" s="0" t="n">
        <v>0</v>
      </c>
      <c r="L146" s="0" t="n">
        <v>31</v>
      </c>
      <c r="M146" s="0" t="n">
        <v>0</v>
      </c>
      <c r="N146" s="0" t="n">
        <v>0</v>
      </c>
      <c r="O146" s="0" t="n">
        <v>0</v>
      </c>
      <c r="P146" s="0" t="n">
        <v>0</v>
      </c>
      <c r="Q146" s="0" t="n">
        <v>0</v>
      </c>
      <c r="R146" s="0" t="n">
        <v>0</v>
      </c>
      <c r="S146" s="0" t="n">
        <v>0</v>
      </c>
      <c r="T146" s="0" t="n">
        <v>0</v>
      </c>
      <c r="U146" s="0" t="n">
        <v>0</v>
      </c>
      <c r="W146" s="60" t="n">
        <f aca="false">+K146*$D146</f>
        <v>0</v>
      </c>
      <c r="X146" s="60" t="n">
        <f aca="false">+L146*$D146</f>
        <v>418500</v>
      </c>
      <c r="Y146" s="60" t="n">
        <f aca="false">+M146*$D146</f>
        <v>0</v>
      </c>
      <c r="Z146" s="60" t="n">
        <f aca="false">+N146*$D146</f>
        <v>0</v>
      </c>
      <c r="AA146" s="60" t="n">
        <f aca="false">+O146*$D146</f>
        <v>0</v>
      </c>
      <c r="AB146" s="60" t="n">
        <f aca="false">+P146*$D146</f>
        <v>0</v>
      </c>
      <c r="AC146" s="60" t="n">
        <f aca="false">+Q146*$D146</f>
        <v>0</v>
      </c>
      <c r="AD146" s="60" t="n">
        <f aca="false">+R146*$D146</f>
        <v>0</v>
      </c>
      <c r="AE146" s="60" t="n">
        <f aca="false">+S146*$D146</f>
        <v>0</v>
      </c>
      <c r="AF146" s="60" t="n">
        <f aca="false">+T146*$D146</f>
        <v>0</v>
      </c>
      <c r="AG146" s="60" t="n">
        <f aca="false">+U146*$D146</f>
        <v>0</v>
      </c>
      <c r="AI146" s="27" t="n">
        <f aca="false">+W146*($F146+$G146)</f>
        <v>0</v>
      </c>
      <c r="AJ146" s="27" t="n">
        <f aca="false">+X146*($F146+$G146)</f>
        <v>421387.65</v>
      </c>
      <c r="AK146" s="27" t="n">
        <f aca="false">+Y146*($F146+$G146)</f>
        <v>0</v>
      </c>
      <c r="AL146" s="27" t="n">
        <f aca="false">+Z146*($F146+$G146)</f>
        <v>0</v>
      </c>
      <c r="AM146" s="27" t="n">
        <f aca="false">+AA146*($F146+$G146)</f>
        <v>0</v>
      </c>
      <c r="AN146" s="27" t="n">
        <f aca="false">+AB146*($F146+$G146)</f>
        <v>0</v>
      </c>
      <c r="AO146" s="27" t="n">
        <f aca="false">+AC146*($F146+$G146)</f>
        <v>0</v>
      </c>
      <c r="AP146" s="27" t="n">
        <f aca="false">+AD146*($F146+$G146)</f>
        <v>0</v>
      </c>
      <c r="AQ146" s="27" t="n">
        <f aca="false">+AE146*($F146+$G146)</f>
        <v>0</v>
      </c>
      <c r="AR146" s="27" t="n">
        <f aca="false">+AF146*($F146+$G146)</f>
        <v>0</v>
      </c>
      <c r="AS146" s="27" t="n">
        <f aca="false">+AG146*($F146+$G146)</f>
        <v>0</v>
      </c>
    </row>
    <row r="147" customFormat="false" ht="12.75" hidden="false" customHeight="false" outlineLevel="0" collapsed="false">
      <c r="A147" s="103" t="s">
        <v>97</v>
      </c>
      <c r="B147" s="22" t="s">
        <v>84</v>
      </c>
      <c r="C147" s="61" t="n">
        <v>26125</v>
      </c>
      <c r="D147" s="62" t="n">
        <v>8600</v>
      </c>
      <c r="E147" s="84" t="s">
        <v>127</v>
      </c>
      <c r="F147" s="63" t="n">
        <f aca="false">0.13-0.102-0.0011-0.0254</f>
        <v>0.00150000000000001</v>
      </c>
      <c r="G147" s="63" t="n">
        <v>0.0254</v>
      </c>
      <c r="H147" s="85" t="n">
        <f aca="false">+G147+F147</f>
        <v>0.0269</v>
      </c>
      <c r="I147" s="86" t="n">
        <v>35947</v>
      </c>
      <c r="J147" s="87" t="n">
        <v>37772</v>
      </c>
      <c r="K147" s="0" t="n">
        <v>366</v>
      </c>
      <c r="L147" s="0" t="n">
        <v>365</v>
      </c>
      <c r="M147" s="0" t="n">
        <v>365</v>
      </c>
      <c r="N147" s="0" t="n">
        <v>151</v>
      </c>
      <c r="O147" s="0" t="n">
        <v>0</v>
      </c>
      <c r="P147" s="0" t="n">
        <v>0</v>
      </c>
      <c r="Q147" s="0" t="n">
        <v>0</v>
      </c>
      <c r="R147" s="0" t="n">
        <v>0</v>
      </c>
      <c r="S147" s="0" t="n">
        <v>0</v>
      </c>
      <c r="T147" s="0" t="n">
        <v>0</v>
      </c>
      <c r="U147" s="0" t="n">
        <v>0</v>
      </c>
      <c r="W147" s="60" t="n">
        <f aca="false">+K147*$D147</f>
        <v>3147600</v>
      </c>
      <c r="X147" s="60" t="n">
        <f aca="false">+L147*$D147</f>
        <v>3139000</v>
      </c>
      <c r="Y147" s="60" t="n">
        <f aca="false">+M147*$D147</f>
        <v>3139000</v>
      </c>
      <c r="Z147" s="60" t="n">
        <f aca="false">+N147*$D147</f>
        <v>1298600</v>
      </c>
      <c r="AA147" s="60" t="n">
        <f aca="false">+O147*$D147</f>
        <v>0</v>
      </c>
      <c r="AB147" s="60" t="n">
        <f aca="false">+P147*$D147</f>
        <v>0</v>
      </c>
      <c r="AC147" s="60" t="n">
        <f aca="false">+Q147*$D147</f>
        <v>0</v>
      </c>
      <c r="AD147" s="60" t="n">
        <f aca="false">+R147*$D147</f>
        <v>0</v>
      </c>
      <c r="AE147" s="60" t="n">
        <f aca="false">+S147*$D147</f>
        <v>0</v>
      </c>
      <c r="AF147" s="60" t="n">
        <f aca="false">+T147*$D147</f>
        <v>0</v>
      </c>
      <c r="AG147" s="60" t="n">
        <f aca="false">+U147*$D147</f>
        <v>0</v>
      </c>
      <c r="AI147" s="27" t="n">
        <f aca="false">+W147*($F147+$G147)</f>
        <v>84670.44</v>
      </c>
      <c r="AJ147" s="27" t="n">
        <f aca="false">+X147*($F147+$G147)</f>
        <v>84439.1</v>
      </c>
      <c r="AK147" s="27" t="n">
        <f aca="false">+Y147*($F147+$G147)</f>
        <v>84439.1</v>
      </c>
      <c r="AL147" s="27" t="n">
        <f aca="false">+Z147*($F147+$G147)</f>
        <v>34932.34</v>
      </c>
      <c r="AM147" s="27" t="n">
        <f aca="false">+AA147*($F147+$G147)</f>
        <v>0</v>
      </c>
      <c r="AN147" s="27" t="n">
        <f aca="false">+AB147*($F147+$G147)</f>
        <v>0</v>
      </c>
      <c r="AO147" s="27" t="n">
        <f aca="false">+AC147*($F147+$G147)</f>
        <v>0</v>
      </c>
      <c r="AP147" s="27" t="n">
        <f aca="false">+AD147*($F147+$G147)</f>
        <v>0</v>
      </c>
      <c r="AQ147" s="27" t="n">
        <f aca="false">+AE147*($F147+$G147)</f>
        <v>0</v>
      </c>
      <c r="AR147" s="27" t="n">
        <f aca="false">+AF147*($F147+$G147)</f>
        <v>0</v>
      </c>
      <c r="AS147" s="27" t="n">
        <f aca="false">+AG147*($F147+$G147)</f>
        <v>0</v>
      </c>
    </row>
    <row r="148" customFormat="false" ht="12.75" hidden="false" customHeight="false" outlineLevel="0" collapsed="false">
      <c r="A148" s="103" t="s">
        <v>97</v>
      </c>
      <c r="B148" s="22" t="s">
        <v>85</v>
      </c>
      <c r="C148" s="61" t="n">
        <v>26884</v>
      </c>
      <c r="D148" s="62" t="n">
        <v>40000</v>
      </c>
      <c r="E148" s="84" t="s">
        <v>127</v>
      </c>
      <c r="F148" s="63" t="n">
        <f aca="false">0.2025-0.102-0.0011-0.0254</f>
        <v>0.074</v>
      </c>
      <c r="G148" s="63" t="n">
        <v>0.0254</v>
      </c>
      <c r="H148" s="85" t="n">
        <f aca="false">+G148+F148</f>
        <v>0.0994</v>
      </c>
      <c r="I148" s="86" t="n">
        <v>36646</v>
      </c>
      <c r="J148" s="87" t="n">
        <v>38656</v>
      </c>
      <c r="K148" s="0" t="n">
        <v>245</v>
      </c>
      <c r="L148" s="0" t="n">
        <v>365</v>
      </c>
      <c r="M148" s="0" t="n">
        <v>365</v>
      </c>
      <c r="N148" s="0" t="n">
        <v>365</v>
      </c>
      <c r="O148" s="0" t="n">
        <v>366</v>
      </c>
      <c r="P148" s="0" t="n">
        <v>304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W148" s="60" t="n">
        <f aca="false">+K148*$D148</f>
        <v>9800000</v>
      </c>
      <c r="X148" s="60" t="n">
        <f aca="false">+L148*$D148</f>
        <v>14600000</v>
      </c>
      <c r="Y148" s="60" t="n">
        <f aca="false">+M148*$D148</f>
        <v>14600000</v>
      </c>
      <c r="Z148" s="60" t="n">
        <f aca="false">+N148*$D148</f>
        <v>14600000</v>
      </c>
      <c r="AA148" s="60" t="n">
        <f aca="false">+O148*$D148</f>
        <v>14640000</v>
      </c>
      <c r="AB148" s="60" t="n">
        <f aca="false">+P148*$D148</f>
        <v>12160000</v>
      </c>
      <c r="AC148" s="60" t="n">
        <f aca="false">+Q148*$D148</f>
        <v>0</v>
      </c>
      <c r="AD148" s="60" t="n">
        <f aca="false">+R148*$D148</f>
        <v>0</v>
      </c>
      <c r="AE148" s="60" t="n">
        <f aca="false">+S148*$D148</f>
        <v>0</v>
      </c>
      <c r="AF148" s="60" t="n">
        <f aca="false">+T148*$D148</f>
        <v>0</v>
      </c>
      <c r="AG148" s="60" t="n">
        <f aca="false">+U148*$D148</f>
        <v>0</v>
      </c>
      <c r="AI148" s="27" t="n">
        <f aca="false">+W148*($F148+$G148)</f>
        <v>974120</v>
      </c>
      <c r="AJ148" s="27" t="n">
        <f aca="false">+X148*($F148+$G148)</f>
        <v>1451240</v>
      </c>
      <c r="AK148" s="27" t="n">
        <f aca="false">+Y148*($F148+$G148)</f>
        <v>1451240</v>
      </c>
      <c r="AL148" s="27" t="n">
        <f aca="false">+Z148*($F148+$G148)</f>
        <v>1451240</v>
      </c>
      <c r="AM148" s="27" t="n">
        <f aca="false">+AA148*($F148+$G148)</f>
        <v>1455216</v>
      </c>
      <c r="AN148" s="27" t="n">
        <f aca="false">+AB148*($F148+$G148)</f>
        <v>1208704</v>
      </c>
      <c r="AO148" s="27" t="n">
        <f aca="false">+AC148*($F148+$G148)</f>
        <v>0</v>
      </c>
      <c r="AP148" s="27" t="n">
        <f aca="false">+AD148*($F148+$G148)</f>
        <v>0</v>
      </c>
      <c r="AQ148" s="27" t="n">
        <f aca="false">+AE148*($F148+$G148)</f>
        <v>0</v>
      </c>
      <c r="AR148" s="27" t="n">
        <f aca="false">+AF148*($F148+$G148)</f>
        <v>0</v>
      </c>
      <c r="AS148" s="27" t="n">
        <f aca="false">+AG148*($F148+$G148)</f>
        <v>0</v>
      </c>
    </row>
    <row r="149" customFormat="false" ht="12.75" hidden="false" customHeight="false" outlineLevel="0" collapsed="false">
      <c r="A149" s="104" t="s">
        <v>97</v>
      </c>
      <c r="B149" s="22" t="s">
        <v>86</v>
      </c>
      <c r="C149" s="61" t="n">
        <v>26678</v>
      </c>
      <c r="D149" s="62" t="n">
        <v>25000</v>
      </c>
      <c r="E149" s="84" t="s">
        <v>127</v>
      </c>
      <c r="F149" s="63" t="n">
        <v>0.3124</v>
      </c>
      <c r="G149" s="63" t="n">
        <v>0.0254</v>
      </c>
      <c r="H149" s="85" t="n">
        <f aca="false">+G149+F149</f>
        <v>0.3378</v>
      </c>
      <c r="I149" s="86" t="n">
        <v>36525</v>
      </c>
      <c r="J149" s="87" t="n">
        <v>39172</v>
      </c>
      <c r="K149" s="0" t="n">
        <v>366</v>
      </c>
      <c r="L149" s="0" t="n">
        <v>365</v>
      </c>
      <c r="M149" s="0" t="n">
        <v>365</v>
      </c>
      <c r="N149" s="0" t="n">
        <v>365</v>
      </c>
      <c r="O149" s="0" t="n">
        <v>366</v>
      </c>
      <c r="P149" s="0" t="n">
        <v>365</v>
      </c>
      <c r="Q149" s="0" t="n">
        <v>90</v>
      </c>
      <c r="R149" s="0" t="n">
        <v>0</v>
      </c>
      <c r="S149" s="0" t="n">
        <v>0</v>
      </c>
      <c r="T149" s="0" t="n">
        <v>0</v>
      </c>
      <c r="U149" s="0" t="n">
        <v>0</v>
      </c>
      <c r="W149" s="60" t="n">
        <f aca="false">+K149*$D149</f>
        <v>9150000</v>
      </c>
      <c r="X149" s="60" t="n">
        <f aca="false">+L149*$D149</f>
        <v>9125000</v>
      </c>
      <c r="Y149" s="60" t="n">
        <f aca="false">+M149*$D149</f>
        <v>9125000</v>
      </c>
      <c r="Z149" s="60" t="n">
        <f aca="false">+N149*$D149</f>
        <v>9125000</v>
      </c>
      <c r="AA149" s="60" t="n">
        <f aca="false">+O149*$D149</f>
        <v>9150000</v>
      </c>
      <c r="AB149" s="60" t="n">
        <f aca="false">+P149*$D149</f>
        <v>9125000</v>
      </c>
      <c r="AC149" s="60" t="n">
        <f aca="false">+Q149*$D149</f>
        <v>2250000</v>
      </c>
      <c r="AD149" s="60" t="n">
        <f aca="false">+R149*$D149</f>
        <v>0</v>
      </c>
      <c r="AE149" s="60" t="n">
        <f aca="false">+S149*$D149</f>
        <v>0</v>
      </c>
      <c r="AF149" s="60" t="n">
        <f aca="false">+T149*$D149</f>
        <v>0</v>
      </c>
      <c r="AG149" s="60" t="n">
        <f aca="false">+U149*$D149</f>
        <v>0</v>
      </c>
      <c r="AI149" s="27" t="n">
        <f aca="false">+W149*($F149+$G149)</f>
        <v>3090870</v>
      </c>
      <c r="AJ149" s="27" t="n">
        <f aca="false">+X149*($F149+$G149)</f>
        <v>3082425</v>
      </c>
      <c r="AK149" s="27" t="n">
        <f aca="false">+Y149*($F149+$G149)</f>
        <v>3082425</v>
      </c>
      <c r="AL149" s="27" t="n">
        <f aca="false">+Z149*($F149+$G149)</f>
        <v>3082425</v>
      </c>
      <c r="AM149" s="27" t="n">
        <f aca="false">+AA149*($F149+$G149)</f>
        <v>3090870</v>
      </c>
      <c r="AN149" s="27" t="n">
        <f aca="false">+AB149*($F149+$G149)</f>
        <v>3082425</v>
      </c>
      <c r="AO149" s="27" t="n">
        <f aca="false">+AC149*($F149+$G149)</f>
        <v>760050</v>
      </c>
      <c r="AP149" s="27" t="n">
        <f aca="false">+AD149*($F149+$G149)</f>
        <v>0</v>
      </c>
      <c r="AQ149" s="27" t="n">
        <f aca="false">+AE149*($F149+$G149)</f>
        <v>0</v>
      </c>
      <c r="AR149" s="27" t="n">
        <f aca="false">+AF149*($F149+$G149)</f>
        <v>0</v>
      </c>
      <c r="AS149" s="27" t="n">
        <f aca="false">+AG149*($F149+$G149)</f>
        <v>0</v>
      </c>
    </row>
    <row r="150" customFormat="false" ht="12.75" hidden="false" customHeight="false" outlineLevel="0" collapsed="false">
      <c r="A150" s="83" t="s">
        <v>97</v>
      </c>
      <c r="B150" s="22" t="s">
        <v>52</v>
      </c>
      <c r="C150" s="61" t="n">
        <v>25847</v>
      </c>
      <c r="D150" s="62" t="n">
        <v>20000</v>
      </c>
      <c r="E150" s="84" t="s">
        <v>127</v>
      </c>
      <c r="F150" s="63" t="n">
        <f aca="false">0.126-0.0407-0.0093-0.0254</f>
        <v>0.0506</v>
      </c>
      <c r="G150" s="63" t="n">
        <v>0.0254</v>
      </c>
      <c r="H150" s="85" t="n">
        <f aca="false">+G150+F150</f>
        <v>0.076</v>
      </c>
      <c r="I150" s="86"/>
      <c r="J150" s="87" t="n">
        <v>36556</v>
      </c>
      <c r="K150" s="0" t="n">
        <v>31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0</v>
      </c>
      <c r="W150" s="60" t="n">
        <f aca="false">+K150*$D150</f>
        <v>620000</v>
      </c>
      <c r="X150" s="60" t="n">
        <f aca="false">+L150*$D150</f>
        <v>0</v>
      </c>
      <c r="Y150" s="60" t="n">
        <f aca="false">+M150*$D150</f>
        <v>0</v>
      </c>
      <c r="Z150" s="60" t="n">
        <f aca="false">+N150*$D150</f>
        <v>0</v>
      </c>
      <c r="AA150" s="60" t="n">
        <f aca="false">+O150*$D150</f>
        <v>0</v>
      </c>
      <c r="AB150" s="60" t="n">
        <f aca="false">+P150*$D150</f>
        <v>0</v>
      </c>
      <c r="AC150" s="60" t="n">
        <f aca="false">+Q150*$D150</f>
        <v>0</v>
      </c>
      <c r="AD150" s="60" t="n">
        <f aca="false">+R150*$D150</f>
        <v>0</v>
      </c>
      <c r="AE150" s="60" t="n">
        <f aca="false">+S150*$D150</f>
        <v>0</v>
      </c>
      <c r="AF150" s="60" t="n">
        <f aca="false">+T150*$D150</f>
        <v>0</v>
      </c>
      <c r="AG150" s="60" t="n">
        <f aca="false">+U150*$D150</f>
        <v>0</v>
      </c>
      <c r="AI150" s="27" t="n">
        <f aca="false">+W150*($F150+$G150)</f>
        <v>47120</v>
      </c>
      <c r="AJ150" s="27" t="n">
        <f aca="false">+X150*($F150+$G150)</f>
        <v>0</v>
      </c>
      <c r="AK150" s="27" t="n">
        <f aca="false">+Y150*($F150+$G150)</f>
        <v>0</v>
      </c>
      <c r="AL150" s="27" t="n">
        <f aca="false">+Z150*($F150+$G150)</f>
        <v>0</v>
      </c>
      <c r="AM150" s="27" t="n">
        <f aca="false">+AA150*($F150+$G150)</f>
        <v>0</v>
      </c>
      <c r="AN150" s="27" t="n">
        <f aca="false">+AB150*($F150+$G150)</f>
        <v>0</v>
      </c>
      <c r="AO150" s="27" t="n">
        <f aca="false">+AC150*($F150+$G150)</f>
        <v>0</v>
      </c>
      <c r="AP150" s="27" t="n">
        <f aca="false">+AD150*($F150+$G150)</f>
        <v>0</v>
      </c>
      <c r="AQ150" s="27" t="n">
        <f aca="false">+AE150*($F150+$G150)</f>
        <v>0</v>
      </c>
      <c r="AR150" s="27" t="n">
        <f aca="false">+AF150*($F150+$G150)</f>
        <v>0</v>
      </c>
      <c r="AS150" s="27" t="n">
        <f aca="false">+AG150*($F150+$G150)</f>
        <v>0</v>
      </c>
    </row>
    <row r="151" customFormat="false" ht="12.75" hidden="false" customHeight="false" outlineLevel="0" collapsed="false">
      <c r="A151" s="83" t="s">
        <v>97</v>
      </c>
      <c r="B151" s="22" t="s">
        <v>53</v>
      </c>
      <c r="C151" s="61" t="n">
        <v>26635</v>
      </c>
      <c r="D151" s="62" t="n">
        <v>500</v>
      </c>
      <c r="E151" s="61" t="s">
        <v>128</v>
      </c>
      <c r="F151" s="63" t="n">
        <v>0.2555</v>
      </c>
      <c r="G151" s="63" t="n">
        <v>0.0153</v>
      </c>
      <c r="H151" s="85" t="n">
        <f aca="false">+G151+F151</f>
        <v>0.2708</v>
      </c>
      <c r="I151" s="86" t="n">
        <v>36192</v>
      </c>
      <c r="J151" s="87" t="n">
        <v>37256</v>
      </c>
      <c r="K151" s="0" t="n">
        <v>345</v>
      </c>
      <c r="L151" s="0" t="n">
        <v>365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</v>
      </c>
      <c r="R151" s="0" t="n">
        <v>0</v>
      </c>
      <c r="S151" s="0" t="n">
        <v>0</v>
      </c>
      <c r="T151" s="0" t="n">
        <v>0</v>
      </c>
      <c r="U151" s="0" t="n">
        <v>0</v>
      </c>
      <c r="W151" s="60" t="n">
        <f aca="false">+K151*$D151</f>
        <v>172500</v>
      </c>
      <c r="X151" s="60" t="n">
        <f aca="false">+L151*$D151</f>
        <v>182500</v>
      </c>
      <c r="Y151" s="60" t="n">
        <f aca="false">+M151*$D151</f>
        <v>0</v>
      </c>
      <c r="Z151" s="60" t="n">
        <f aca="false">+N151*$D151</f>
        <v>0</v>
      </c>
      <c r="AA151" s="60" t="n">
        <f aca="false">+O151*$D151</f>
        <v>0</v>
      </c>
      <c r="AB151" s="60" t="n">
        <f aca="false">+P151*$D151</f>
        <v>0</v>
      </c>
      <c r="AC151" s="60" t="n">
        <f aca="false">+Q151*$D151</f>
        <v>0</v>
      </c>
      <c r="AD151" s="60" t="n">
        <f aca="false">+R151*$D151</f>
        <v>0</v>
      </c>
      <c r="AE151" s="60" t="n">
        <f aca="false">+S151*$D151</f>
        <v>0</v>
      </c>
      <c r="AF151" s="60" t="n">
        <f aca="false">+T151*$D151</f>
        <v>0</v>
      </c>
      <c r="AG151" s="60" t="n">
        <f aca="false">+U151*$D151</f>
        <v>0</v>
      </c>
      <c r="AI151" s="27" t="n">
        <f aca="false">+W151*($F151+$G151)</f>
        <v>46713</v>
      </c>
      <c r="AJ151" s="27" t="n">
        <f aca="false">+X151*($F151+$G151)</f>
        <v>49421</v>
      </c>
      <c r="AK151" s="27" t="n">
        <f aca="false">+Y151*($F151+$G151)</f>
        <v>0</v>
      </c>
      <c r="AL151" s="27" t="n">
        <f aca="false">+Z151*($F151+$G151)</f>
        <v>0</v>
      </c>
      <c r="AM151" s="27" t="n">
        <f aca="false">+AA151*($F151+$G151)</f>
        <v>0</v>
      </c>
      <c r="AN151" s="27" t="n">
        <f aca="false">+AB151*($F151+$G151)</f>
        <v>0</v>
      </c>
      <c r="AO151" s="27" t="n">
        <f aca="false">+AC151*($F151+$G151)</f>
        <v>0</v>
      </c>
      <c r="AP151" s="27" t="n">
        <f aca="false">+AD151*($F151+$G151)</f>
        <v>0</v>
      </c>
      <c r="AQ151" s="27" t="n">
        <f aca="false">+AE151*($F151+$G151)</f>
        <v>0</v>
      </c>
      <c r="AR151" s="27" t="n">
        <f aca="false">+AF151*($F151+$G151)</f>
        <v>0</v>
      </c>
      <c r="AS151" s="27" t="n">
        <f aca="false">+AG151*($F151+$G151)</f>
        <v>0</v>
      </c>
    </row>
    <row r="152" customFormat="false" ht="12.75" hidden="false" customHeight="false" outlineLevel="0" collapsed="false">
      <c r="A152" s="83" t="s">
        <v>97</v>
      </c>
      <c r="B152" s="22" t="s">
        <v>54</v>
      </c>
      <c r="C152" s="61" t="n">
        <v>26123</v>
      </c>
      <c r="D152" s="62" t="n">
        <v>2900</v>
      </c>
      <c r="E152" s="84" t="s">
        <v>127</v>
      </c>
      <c r="F152" s="63" t="n">
        <v>0.0847</v>
      </c>
      <c r="G152" s="63" t="n">
        <v>0.0153</v>
      </c>
      <c r="H152" s="85" t="n">
        <f aca="false">+G152+F152</f>
        <v>0.1</v>
      </c>
      <c r="I152" s="86"/>
      <c r="J152" s="87" t="n">
        <v>36616</v>
      </c>
      <c r="K152" s="0" t="n">
        <v>91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W152" s="60" t="n">
        <f aca="false">+K152*$D152</f>
        <v>263900</v>
      </c>
      <c r="X152" s="60" t="n">
        <f aca="false">+L152*$D152</f>
        <v>0</v>
      </c>
      <c r="Y152" s="60" t="n">
        <f aca="false">+M152*$D152</f>
        <v>0</v>
      </c>
      <c r="Z152" s="60" t="n">
        <f aca="false">+N152*$D152</f>
        <v>0</v>
      </c>
      <c r="AA152" s="60" t="n">
        <f aca="false">+O152*$D152</f>
        <v>0</v>
      </c>
      <c r="AB152" s="60" t="n">
        <f aca="false">+P152*$D152</f>
        <v>0</v>
      </c>
      <c r="AC152" s="60" t="n">
        <f aca="false">+Q152*$D152</f>
        <v>0</v>
      </c>
      <c r="AD152" s="60" t="n">
        <f aca="false">+R152*$D152</f>
        <v>0</v>
      </c>
      <c r="AE152" s="60" t="n">
        <f aca="false">+S152*$D152</f>
        <v>0</v>
      </c>
      <c r="AF152" s="60" t="n">
        <f aca="false">+T152*$D152</f>
        <v>0</v>
      </c>
      <c r="AG152" s="60" t="n">
        <f aca="false">+U152*$D152</f>
        <v>0</v>
      </c>
      <c r="AI152" s="27" t="n">
        <f aca="false">+W152*($F152+$G152)</f>
        <v>26390</v>
      </c>
      <c r="AJ152" s="27" t="n">
        <f aca="false">+X152*($F152+$G152)</f>
        <v>0</v>
      </c>
      <c r="AK152" s="27" t="n">
        <f aca="false">+Y152*($F152+$G152)</f>
        <v>0</v>
      </c>
      <c r="AL152" s="27" t="n">
        <f aca="false">+Z152*($F152+$G152)</f>
        <v>0</v>
      </c>
      <c r="AM152" s="27" t="n">
        <f aca="false">+AA152*($F152+$G152)</f>
        <v>0</v>
      </c>
      <c r="AN152" s="27" t="n">
        <f aca="false">+AB152*($F152+$G152)</f>
        <v>0</v>
      </c>
      <c r="AO152" s="27" t="n">
        <f aca="false">+AC152*($F152+$G152)</f>
        <v>0</v>
      </c>
      <c r="AP152" s="27" t="n">
        <f aca="false">+AD152*($F152+$G152)</f>
        <v>0</v>
      </c>
      <c r="AQ152" s="27" t="n">
        <f aca="false">+AE152*($F152+$G152)</f>
        <v>0</v>
      </c>
      <c r="AR152" s="27" t="n">
        <f aca="false">+AF152*($F152+$G152)</f>
        <v>0</v>
      </c>
      <c r="AS152" s="27" t="n">
        <f aca="false">+AG152*($F152+$G152)</f>
        <v>0</v>
      </c>
    </row>
    <row r="153" customFormat="false" ht="12.75" hidden="false" customHeight="false" outlineLevel="0" collapsed="false">
      <c r="A153" s="103" t="s">
        <v>97</v>
      </c>
      <c r="B153" s="22" t="s">
        <v>54</v>
      </c>
      <c r="C153" s="61" t="n">
        <v>26813</v>
      </c>
      <c r="D153" s="62" t="n">
        <v>3500</v>
      </c>
      <c r="E153" s="84" t="s">
        <v>127</v>
      </c>
      <c r="F153" s="63" t="n">
        <f aca="false">0.1925-0.102-0.0011-0.0175</f>
        <v>0.0719</v>
      </c>
      <c r="G153" s="63" t="n">
        <f aca="false">0.0186-0.0011</f>
        <v>0.0175</v>
      </c>
      <c r="H153" s="85" t="n">
        <f aca="false">+G153+F153</f>
        <v>0.0894</v>
      </c>
      <c r="I153" s="86" t="n">
        <v>36646</v>
      </c>
      <c r="J153" s="87" t="n">
        <v>39506</v>
      </c>
      <c r="K153" s="0" t="n">
        <v>245</v>
      </c>
      <c r="L153" s="0" t="n">
        <v>365</v>
      </c>
      <c r="M153" s="0" t="n">
        <v>365</v>
      </c>
      <c r="N153" s="0" t="n">
        <v>365</v>
      </c>
      <c r="O153" s="0" t="n">
        <v>366</v>
      </c>
      <c r="P153" s="0" t="n">
        <v>365</v>
      </c>
      <c r="Q153" s="0" t="n">
        <v>365</v>
      </c>
      <c r="R153" s="0" t="n">
        <v>365</v>
      </c>
      <c r="S153" s="0" t="n">
        <v>59</v>
      </c>
      <c r="T153" s="0" t="n">
        <v>0</v>
      </c>
      <c r="U153" s="0" t="n">
        <v>0</v>
      </c>
      <c r="W153" s="60" t="n">
        <f aca="false">+K153*$D153</f>
        <v>857500</v>
      </c>
      <c r="X153" s="60" t="n">
        <f aca="false">+L153*$D153</f>
        <v>1277500</v>
      </c>
      <c r="Y153" s="60" t="n">
        <f aca="false">+M153*$D153</f>
        <v>1277500</v>
      </c>
      <c r="Z153" s="60" t="n">
        <f aca="false">+N153*$D153</f>
        <v>1277500</v>
      </c>
      <c r="AA153" s="60" t="n">
        <f aca="false">+O153*$D153</f>
        <v>1281000</v>
      </c>
      <c r="AB153" s="60" t="n">
        <f aca="false">+P153*$D153</f>
        <v>1277500</v>
      </c>
      <c r="AC153" s="60" t="n">
        <f aca="false">+Q153*$D153</f>
        <v>1277500</v>
      </c>
      <c r="AD153" s="60" t="n">
        <f aca="false">+R153*$D153</f>
        <v>1277500</v>
      </c>
      <c r="AE153" s="60" t="n">
        <f aca="false">+S153*$D153</f>
        <v>206500</v>
      </c>
      <c r="AF153" s="60" t="n">
        <f aca="false">+T153*$D153</f>
        <v>0</v>
      </c>
      <c r="AG153" s="60" t="n">
        <f aca="false">+U153*$D153</f>
        <v>0</v>
      </c>
      <c r="AI153" s="27" t="n">
        <f aca="false">+W153*($F153+$G153)</f>
        <v>76660.5</v>
      </c>
      <c r="AJ153" s="27" t="n">
        <f aca="false">+X153*($F153+$G153)</f>
        <v>114208.5</v>
      </c>
      <c r="AK153" s="27" t="n">
        <f aca="false">+Y153*($F153+$G153)</f>
        <v>114208.5</v>
      </c>
      <c r="AL153" s="27" t="n">
        <f aca="false">+Z153*($F153+$G153)</f>
        <v>114208.5</v>
      </c>
      <c r="AM153" s="27" t="n">
        <f aca="false">+AA153*($F153+$G153)</f>
        <v>114521.4</v>
      </c>
      <c r="AN153" s="27" t="n">
        <f aca="false">+AB153*($F153+$G153)</f>
        <v>114208.5</v>
      </c>
      <c r="AO153" s="27" t="n">
        <f aca="false">+AC153*($F153+$G153)</f>
        <v>114208.5</v>
      </c>
      <c r="AP153" s="27" t="n">
        <f aca="false">+AD153*($F153+$G153)</f>
        <v>114208.5</v>
      </c>
      <c r="AQ153" s="27" t="n">
        <f aca="false">+AE153*($F153+$G153)</f>
        <v>18461.1</v>
      </c>
      <c r="AR153" s="27" t="n">
        <f aca="false">+AF153*($F153+$G153)</f>
        <v>0</v>
      </c>
      <c r="AS153" s="27" t="n">
        <f aca="false">+AG153*($F153+$G153)</f>
        <v>0</v>
      </c>
    </row>
    <row r="154" customFormat="false" ht="12.75" hidden="false" customHeight="false" outlineLevel="0" collapsed="false">
      <c r="A154" s="104" t="s">
        <v>97</v>
      </c>
      <c r="B154" s="22" t="s">
        <v>54</v>
      </c>
      <c r="C154" s="61" t="n">
        <v>27583</v>
      </c>
      <c r="D154" s="62" t="n">
        <v>1300</v>
      </c>
      <c r="E154" s="61" t="s">
        <v>129</v>
      </c>
      <c r="F154" s="63" t="n">
        <v>0.2289</v>
      </c>
      <c r="G154" s="63" t="n">
        <v>0.0153</v>
      </c>
      <c r="H154" s="85" t="n">
        <f aca="false">+G154+F154</f>
        <v>0.2442</v>
      </c>
      <c r="I154" s="86" t="n">
        <v>37012</v>
      </c>
      <c r="J154" s="87" t="n">
        <v>37407</v>
      </c>
      <c r="K154" s="0" t="n">
        <v>0</v>
      </c>
      <c r="L154" s="0" t="n">
        <v>245</v>
      </c>
      <c r="M154" s="0" t="n">
        <v>151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W154" s="60" t="n">
        <f aca="false">+K154*$D154</f>
        <v>0</v>
      </c>
      <c r="X154" s="60" t="n">
        <f aca="false">+L154*$D154</f>
        <v>318500</v>
      </c>
      <c r="Y154" s="60" t="n">
        <f aca="false">+M154*$D154</f>
        <v>196300</v>
      </c>
      <c r="Z154" s="60" t="n">
        <f aca="false">+N154*$D154</f>
        <v>0</v>
      </c>
      <c r="AA154" s="60" t="n">
        <f aca="false">+O154*$D154</f>
        <v>0</v>
      </c>
      <c r="AB154" s="60" t="n">
        <f aca="false">+P154*$D154</f>
        <v>0</v>
      </c>
      <c r="AC154" s="60" t="n">
        <f aca="false">+Q154*$D154</f>
        <v>0</v>
      </c>
      <c r="AD154" s="60" t="n">
        <f aca="false">+R154*$D154</f>
        <v>0</v>
      </c>
      <c r="AE154" s="60" t="n">
        <f aca="false">+S154*$D154</f>
        <v>0</v>
      </c>
      <c r="AF154" s="60" t="n">
        <f aca="false">+T154*$D154</f>
        <v>0</v>
      </c>
      <c r="AG154" s="60" t="n">
        <f aca="false">+U154*$D154</f>
        <v>0</v>
      </c>
      <c r="AI154" s="27" t="n">
        <f aca="false">+W154*($F154+$G154)</f>
        <v>0</v>
      </c>
      <c r="AJ154" s="27" t="n">
        <f aca="false">+X154*($F154+$G154)</f>
        <v>77777.7</v>
      </c>
      <c r="AK154" s="27" t="n">
        <f aca="false">+Y154*($F154+$G154)</f>
        <v>47936.46</v>
      </c>
      <c r="AL154" s="27" t="n">
        <f aca="false">+Z154*($F154+$G154)</f>
        <v>0</v>
      </c>
      <c r="AM154" s="27" t="n">
        <f aca="false">+AA154*($F154+$G154)</f>
        <v>0</v>
      </c>
      <c r="AN154" s="27" t="n">
        <f aca="false">+AB154*($F154+$G154)</f>
        <v>0</v>
      </c>
      <c r="AO154" s="27" t="n">
        <f aca="false">+AC154*($F154+$G154)</f>
        <v>0</v>
      </c>
      <c r="AP154" s="27" t="n">
        <f aca="false">+AD154*($F154+$G154)</f>
        <v>0</v>
      </c>
      <c r="AQ154" s="27" t="n">
        <f aca="false">+AE154*($F154+$G154)</f>
        <v>0</v>
      </c>
      <c r="AR154" s="27" t="n">
        <f aca="false">+AF154*($F154+$G154)</f>
        <v>0</v>
      </c>
      <c r="AS154" s="27" t="n">
        <f aca="false">+AG154*($F154+$G154)</f>
        <v>0</v>
      </c>
    </row>
    <row r="155" customFormat="false" ht="12.75" hidden="false" customHeight="false" outlineLevel="0" collapsed="false">
      <c r="A155" s="83" t="s">
        <v>97</v>
      </c>
      <c r="B155" s="22" t="s">
        <v>55</v>
      </c>
      <c r="C155" s="71" t="n">
        <v>27340</v>
      </c>
      <c r="D155" s="62" t="n">
        <v>20000</v>
      </c>
      <c r="E155" s="61" t="s">
        <v>128</v>
      </c>
      <c r="F155" s="63" t="n">
        <v>0.2455</v>
      </c>
      <c r="G155" s="63" t="n">
        <f aca="false">0.0316-0.0093</f>
        <v>0.0223</v>
      </c>
      <c r="H155" s="85" t="n">
        <f aca="false">+G155+F155</f>
        <v>0.2678</v>
      </c>
      <c r="I155" s="86" t="n">
        <v>36923</v>
      </c>
      <c r="J155" s="87" t="n">
        <v>37287</v>
      </c>
      <c r="K155" s="0" t="n">
        <v>0</v>
      </c>
      <c r="L155" s="0" t="n">
        <v>334</v>
      </c>
      <c r="M155" s="0" t="n">
        <v>31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W155" s="60" t="n">
        <f aca="false">+K155*$D155</f>
        <v>0</v>
      </c>
      <c r="X155" s="60" t="n">
        <f aca="false">+L155*$D155</f>
        <v>6680000</v>
      </c>
      <c r="Y155" s="60" t="n">
        <f aca="false">+M155*$D155</f>
        <v>620000</v>
      </c>
      <c r="Z155" s="60" t="n">
        <f aca="false">+N155*$D155</f>
        <v>0</v>
      </c>
      <c r="AA155" s="60" t="n">
        <f aca="false">+O155*$D155</f>
        <v>0</v>
      </c>
      <c r="AB155" s="60" t="n">
        <f aca="false">+P155*$D155</f>
        <v>0</v>
      </c>
      <c r="AC155" s="60" t="n">
        <f aca="false">+Q155*$D155</f>
        <v>0</v>
      </c>
      <c r="AD155" s="60" t="n">
        <f aca="false">+R155*$D155</f>
        <v>0</v>
      </c>
      <c r="AE155" s="60" t="n">
        <f aca="false">+S155*$D155</f>
        <v>0</v>
      </c>
      <c r="AF155" s="60" t="n">
        <f aca="false">+T155*$D155</f>
        <v>0</v>
      </c>
      <c r="AG155" s="60" t="n">
        <f aca="false">+U155*$D155</f>
        <v>0</v>
      </c>
      <c r="AI155" s="27" t="n">
        <f aca="false">+W155*($F155+$G155)</f>
        <v>0</v>
      </c>
      <c r="AJ155" s="27" t="n">
        <f aca="false">+X155*($F155+$G155)</f>
        <v>1788904</v>
      </c>
      <c r="AK155" s="27" t="n">
        <f aca="false">+Y155*($F155+$G155)</f>
        <v>166036</v>
      </c>
      <c r="AL155" s="27" t="n">
        <f aca="false">+Z155*($F155+$G155)</f>
        <v>0</v>
      </c>
      <c r="AM155" s="27" t="n">
        <f aca="false">+AA155*($F155+$G155)</f>
        <v>0</v>
      </c>
      <c r="AN155" s="27" t="n">
        <f aca="false">+AB155*($F155+$G155)</f>
        <v>0</v>
      </c>
      <c r="AO155" s="27" t="n">
        <f aca="false">+AC155*($F155+$G155)</f>
        <v>0</v>
      </c>
      <c r="AP155" s="27" t="n">
        <f aca="false">+AD155*($F155+$G155)</f>
        <v>0</v>
      </c>
      <c r="AQ155" s="27" t="n">
        <f aca="false">+AE155*($F155+$G155)</f>
        <v>0</v>
      </c>
      <c r="AR155" s="27" t="n">
        <f aca="false">+AF155*($F155+$G155)</f>
        <v>0</v>
      </c>
      <c r="AS155" s="27" t="n">
        <f aca="false">+AG155*($F155+$G155)</f>
        <v>0</v>
      </c>
    </row>
    <row r="156" customFormat="false" ht="12.75" hidden="false" customHeight="false" outlineLevel="0" collapsed="false">
      <c r="A156" s="104" t="s">
        <v>97</v>
      </c>
      <c r="B156" s="22" t="s">
        <v>102</v>
      </c>
      <c r="C156" s="61" t="n">
        <v>21165</v>
      </c>
      <c r="D156" s="62" t="n">
        <v>150000</v>
      </c>
      <c r="E156" s="61" t="s">
        <v>133</v>
      </c>
      <c r="F156" s="63" t="n">
        <v>0.3138</v>
      </c>
      <c r="G156" s="63" t="n">
        <v>0.0254</v>
      </c>
      <c r="H156" s="85" t="n">
        <f aca="false">+G156+F156</f>
        <v>0.3392</v>
      </c>
      <c r="I156" s="86" t="n">
        <v>33679</v>
      </c>
      <c r="J156" s="87" t="n">
        <v>39172</v>
      </c>
      <c r="K156" s="0" t="n">
        <v>366</v>
      </c>
      <c r="L156" s="0" t="n">
        <v>365</v>
      </c>
      <c r="M156" s="0" t="n">
        <v>365</v>
      </c>
      <c r="N156" s="0" t="n">
        <v>365</v>
      </c>
      <c r="O156" s="0" t="n">
        <v>366</v>
      </c>
      <c r="P156" s="0" t="n">
        <v>365</v>
      </c>
      <c r="Q156" s="0" t="n">
        <v>365</v>
      </c>
      <c r="R156" s="0" t="n">
        <v>90</v>
      </c>
      <c r="S156" s="0" t="n">
        <v>0</v>
      </c>
      <c r="T156" s="0" t="n">
        <v>0</v>
      </c>
      <c r="U156" s="0" t="n">
        <v>0</v>
      </c>
      <c r="W156" s="60" t="n">
        <f aca="false">+K156*$D156</f>
        <v>54900000</v>
      </c>
      <c r="X156" s="60" t="n">
        <f aca="false">+L156*$D156</f>
        <v>54750000</v>
      </c>
      <c r="Y156" s="60" t="n">
        <f aca="false">+M156*$D156</f>
        <v>54750000</v>
      </c>
      <c r="Z156" s="60" t="n">
        <f aca="false">+N156*$D156</f>
        <v>54750000</v>
      </c>
      <c r="AA156" s="60" t="n">
        <f aca="false">+O156*$D156</f>
        <v>54900000</v>
      </c>
      <c r="AB156" s="60" t="n">
        <f aca="false">+P156*$D156</f>
        <v>54750000</v>
      </c>
      <c r="AC156" s="60" t="n">
        <f aca="false">+Q156*$D156</f>
        <v>54750000</v>
      </c>
      <c r="AD156" s="60" t="n">
        <f aca="false">+R156*$D156</f>
        <v>13500000</v>
      </c>
      <c r="AE156" s="60" t="n">
        <f aca="false">+S156*$D156</f>
        <v>0</v>
      </c>
      <c r="AF156" s="60" t="n">
        <f aca="false">+T156*$D156</f>
        <v>0</v>
      </c>
      <c r="AG156" s="60" t="n">
        <f aca="false">+U156*$D156</f>
        <v>0</v>
      </c>
      <c r="AI156" s="27" t="n">
        <f aca="false">+W156*($F156+$G156)</f>
        <v>18622080</v>
      </c>
      <c r="AJ156" s="27" t="n">
        <f aca="false">+X156*($F156+$G156)</f>
        <v>18571200</v>
      </c>
      <c r="AK156" s="27" t="n">
        <f aca="false">+Y156*($F156+$G156)</f>
        <v>18571200</v>
      </c>
      <c r="AL156" s="27" t="n">
        <f aca="false">+Z156*($F156+$G156)</f>
        <v>18571200</v>
      </c>
      <c r="AM156" s="27" t="n">
        <f aca="false">+AA156*($F156+$G156)</f>
        <v>18622080</v>
      </c>
      <c r="AN156" s="27" t="n">
        <f aca="false">+AB156*($F156+$G156)</f>
        <v>18571200</v>
      </c>
      <c r="AO156" s="27" t="n">
        <f aca="false">+AC156*($F156+$G156)</f>
        <v>18571200</v>
      </c>
      <c r="AP156" s="27" t="n">
        <f aca="false">+AD156*($F156+$G156)</f>
        <v>4579200</v>
      </c>
      <c r="AQ156" s="27" t="n">
        <f aca="false">+AE156*($F156+$G156)</f>
        <v>0</v>
      </c>
      <c r="AR156" s="27" t="n">
        <f aca="false">+AF156*($F156+$G156)</f>
        <v>0</v>
      </c>
      <c r="AS156" s="27" t="n">
        <f aca="false">+AG156*($F156+$G156)</f>
        <v>0</v>
      </c>
    </row>
    <row r="157" customFormat="false" ht="12.75" hidden="false" customHeight="false" outlineLevel="0" collapsed="false">
      <c r="A157" s="103" t="s">
        <v>97</v>
      </c>
      <c r="B157" s="22" t="s">
        <v>103</v>
      </c>
      <c r="C157" s="61" t="n">
        <v>21162</v>
      </c>
      <c r="D157" s="62" t="n">
        <v>0</v>
      </c>
      <c r="H157" s="85" t="n">
        <f aca="false">+G157+F157</f>
        <v>0</v>
      </c>
      <c r="I157" s="86"/>
      <c r="J157" s="87" t="n">
        <v>39156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0</v>
      </c>
      <c r="R157" s="0" t="n">
        <v>0</v>
      </c>
      <c r="S157" s="0" t="n">
        <v>0</v>
      </c>
      <c r="T157" s="0" t="n">
        <v>0</v>
      </c>
      <c r="U157" s="0" t="n">
        <v>0</v>
      </c>
      <c r="W157" s="60" t="n">
        <f aca="false">+K157*$D157</f>
        <v>0</v>
      </c>
      <c r="X157" s="60" t="n">
        <f aca="false">+L157*$D157</f>
        <v>0</v>
      </c>
      <c r="Y157" s="60" t="n">
        <f aca="false">+M157*$D157</f>
        <v>0</v>
      </c>
      <c r="Z157" s="60" t="n">
        <f aca="false">+N157*$D157</f>
        <v>0</v>
      </c>
      <c r="AA157" s="60" t="n">
        <f aca="false">+O157*$D157</f>
        <v>0</v>
      </c>
      <c r="AB157" s="60" t="n">
        <f aca="false">+P157*$D157</f>
        <v>0</v>
      </c>
      <c r="AC157" s="60" t="n">
        <f aca="false">+Q157*$D157</f>
        <v>0</v>
      </c>
      <c r="AD157" s="60" t="n">
        <f aca="false">+R157*$D157</f>
        <v>0</v>
      </c>
      <c r="AE157" s="60" t="n">
        <f aca="false">+S157*$D157</f>
        <v>0</v>
      </c>
      <c r="AF157" s="60" t="n">
        <f aca="false">+T157*$D157</f>
        <v>0</v>
      </c>
      <c r="AG157" s="60" t="n">
        <f aca="false">+U157*$D157</f>
        <v>0</v>
      </c>
      <c r="AI157" s="27" t="n">
        <f aca="false">+W157*($F157+$G157)</f>
        <v>0</v>
      </c>
      <c r="AJ157" s="27" t="n">
        <f aca="false">+X157*($F157+$G157)</f>
        <v>0</v>
      </c>
      <c r="AK157" s="27" t="n">
        <f aca="false">+Y157*($F157+$G157)</f>
        <v>0</v>
      </c>
      <c r="AL157" s="27" t="n">
        <f aca="false">+Z157*($F157+$G157)</f>
        <v>0</v>
      </c>
      <c r="AM157" s="27" t="n">
        <f aca="false">+AA157*($F157+$G157)</f>
        <v>0</v>
      </c>
      <c r="AN157" s="27" t="n">
        <f aca="false">+AB157*($F157+$G157)</f>
        <v>0</v>
      </c>
      <c r="AO157" s="27" t="n">
        <f aca="false">+AC157*($F157+$G157)</f>
        <v>0</v>
      </c>
      <c r="AP157" s="27" t="n">
        <f aca="false">+AD157*($F157+$G157)</f>
        <v>0</v>
      </c>
      <c r="AQ157" s="27" t="n">
        <f aca="false">+AE157*($F157+$G157)</f>
        <v>0</v>
      </c>
      <c r="AR157" s="27" t="n">
        <f aca="false">+AF157*($F157+$G157)</f>
        <v>0</v>
      </c>
      <c r="AS157" s="27" t="n">
        <f aca="false">+AG157*($F157+$G157)</f>
        <v>0</v>
      </c>
    </row>
    <row r="158" customFormat="false" ht="12.75" hidden="false" customHeight="false" outlineLevel="0" collapsed="false">
      <c r="A158" s="83" t="s">
        <v>97</v>
      </c>
      <c r="B158" s="22" t="s">
        <v>56</v>
      </c>
      <c r="C158" s="71" t="n">
        <v>25841</v>
      </c>
      <c r="D158" s="62" t="n">
        <v>40000</v>
      </c>
      <c r="E158" s="61" t="s">
        <v>127</v>
      </c>
      <c r="F158" s="63" t="n">
        <f aca="false">0.1075-0.0407-0.0093-0.0153</f>
        <v>0.0422</v>
      </c>
      <c r="G158" s="63" t="n">
        <f aca="false">0.0246-0.0093</f>
        <v>0.0153</v>
      </c>
      <c r="H158" s="85" t="n">
        <f aca="false">+G158+F158</f>
        <v>0.0575</v>
      </c>
      <c r="I158" s="86" t="n">
        <v>35827</v>
      </c>
      <c r="J158" s="87" t="n">
        <v>37560</v>
      </c>
      <c r="K158" s="0" t="n">
        <v>366</v>
      </c>
      <c r="L158" s="0" t="n">
        <v>365</v>
      </c>
      <c r="M158" s="0" t="n">
        <v>304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W158" s="60" t="n">
        <f aca="false">+K158*$D158</f>
        <v>14640000</v>
      </c>
      <c r="X158" s="60" t="n">
        <f aca="false">+L158*$D158</f>
        <v>14600000</v>
      </c>
      <c r="Y158" s="60" t="n">
        <f aca="false">+M158*$D158</f>
        <v>12160000</v>
      </c>
      <c r="Z158" s="60" t="n">
        <f aca="false">+N158*$D158</f>
        <v>0</v>
      </c>
      <c r="AA158" s="60" t="n">
        <f aca="false">+O158*$D158</f>
        <v>0</v>
      </c>
      <c r="AB158" s="60" t="n">
        <f aca="false">+P158*$D158</f>
        <v>0</v>
      </c>
      <c r="AC158" s="60" t="n">
        <f aca="false">+Q158*$D158</f>
        <v>0</v>
      </c>
      <c r="AD158" s="60" t="n">
        <f aca="false">+R158*$D158</f>
        <v>0</v>
      </c>
      <c r="AE158" s="60" t="n">
        <f aca="false">+S158*$D158</f>
        <v>0</v>
      </c>
      <c r="AF158" s="60" t="n">
        <f aca="false">+T158*$D158</f>
        <v>0</v>
      </c>
      <c r="AG158" s="60" t="n">
        <f aca="false">+U158*$D158</f>
        <v>0</v>
      </c>
      <c r="AI158" s="27" t="n">
        <f aca="false">+W158*($F158+$G158)</f>
        <v>841800</v>
      </c>
      <c r="AJ158" s="27" t="n">
        <f aca="false">+X158*($F158+$G158)</f>
        <v>839500</v>
      </c>
      <c r="AK158" s="27" t="n">
        <f aca="false">+Y158*($F158+$G158)</f>
        <v>699200</v>
      </c>
      <c r="AL158" s="27" t="n">
        <f aca="false">+Z158*($F158+$G158)</f>
        <v>0</v>
      </c>
      <c r="AM158" s="27" t="n">
        <f aca="false">+AA158*($F158+$G158)</f>
        <v>0</v>
      </c>
      <c r="AN158" s="27" t="n">
        <f aca="false">+AB158*($F158+$G158)</f>
        <v>0</v>
      </c>
      <c r="AO158" s="27" t="n">
        <f aca="false">+AC158*($F158+$G158)</f>
        <v>0</v>
      </c>
      <c r="AP158" s="27" t="n">
        <f aca="false">+AD158*($F158+$G158)</f>
        <v>0</v>
      </c>
      <c r="AQ158" s="27" t="n">
        <f aca="false">+AE158*($F158+$G158)</f>
        <v>0</v>
      </c>
      <c r="AR158" s="27" t="n">
        <f aca="false">+AF158*($F158+$G158)</f>
        <v>0</v>
      </c>
      <c r="AS158" s="27" t="n">
        <f aca="false">+AG158*($F158+$G158)</f>
        <v>0</v>
      </c>
    </row>
    <row r="159" customFormat="false" ht="12.75" hidden="false" customHeight="false" outlineLevel="0" collapsed="false">
      <c r="A159" s="83" t="s">
        <v>97</v>
      </c>
      <c r="B159" s="22" t="s">
        <v>56</v>
      </c>
      <c r="C159" s="71" t="n">
        <v>26511</v>
      </c>
      <c r="D159" s="62" t="n">
        <v>21000</v>
      </c>
      <c r="E159" s="61" t="s">
        <v>127</v>
      </c>
      <c r="F159" s="63" t="n">
        <f aca="false">0.1075-0.0407-0.0093-0.0153</f>
        <v>0.0422</v>
      </c>
      <c r="G159" s="63" t="n">
        <f aca="false">0.0246-0.0093</f>
        <v>0.0153</v>
      </c>
      <c r="H159" s="85" t="n">
        <f aca="false">+G159+F159</f>
        <v>0.0575</v>
      </c>
      <c r="I159" s="86" t="n">
        <v>36100</v>
      </c>
      <c r="J159" s="87" t="n">
        <v>37560</v>
      </c>
      <c r="K159" s="0" t="n">
        <v>366</v>
      </c>
      <c r="L159" s="0" t="n">
        <v>365</v>
      </c>
      <c r="M159" s="0" t="n">
        <v>304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0" t="n">
        <v>0</v>
      </c>
      <c r="W159" s="60" t="n">
        <f aca="false">+K159*$D159</f>
        <v>7686000</v>
      </c>
      <c r="X159" s="60" t="n">
        <f aca="false">+L159*$D159</f>
        <v>7665000</v>
      </c>
      <c r="Y159" s="60" t="n">
        <f aca="false">+M159*$D159</f>
        <v>6384000</v>
      </c>
      <c r="Z159" s="60" t="n">
        <f aca="false">+N159*$D159</f>
        <v>0</v>
      </c>
      <c r="AA159" s="60" t="n">
        <f aca="false">+O159*$D159</f>
        <v>0</v>
      </c>
      <c r="AB159" s="60" t="n">
        <f aca="false">+P159*$D159</f>
        <v>0</v>
      </c>
      <c r="AC159" s="60" t="n">
        <f aca="false">+Q159*$D159</f>
        <v>0</v>
      </c>
      <c r="AD159" s="60" t="n">
        <f aca="false">+R159*$D159</f>
        <v>0</v>
      </c>
      <c r="AE159" s="60" t="n">
        <f aca="false">+S159*$D159</f>
        <v>0</v>
      </c>
      <c r="AF159" s="60" t="n">
        <f aca="false">+T159*$D159</f>
        <v>0</v>
      </c>
      <c r="AG159" s="60" t="n">
        <f aca="false">+U159*$D159</f>
        <v>0</v>
      </c>
      <c r="AI159" s="27" t="n">
        <f aca="false">+W159*($F159+$G159)</f>
        <v>441945</v>
      </c>
      <c r="AJ159" s="27" t="n">
        <f aca="false">+X159*($F159+$G159)</f>
        <v>440737.5</v>
      </c>
      <c r="AK159" s="27" t="n">
        <f aca="false">+Y159*($F159+$G159)</f>
        <v>367080</v>
      </c>
      <c r="AL159" s="27" t="n">
        <f aca="false">+Z159*($F159+$G159)</f>
        <v>0</v>
      </c>
      <c r="AM159" s="27" t="n">
        <f aca="false">+AA159*($F159+$G159)</f>
        <v>0</v>
      </c>
      <c r="AN159" s="27" t="n">
        <f aca="false">+AB159*($F159+$G159)</f>
        <v>0</v>
      </c>
      <c r="AO159" s="27" t="n">
        <f aca="false">+AC159*($F159+$G159)</f>
        <v>0</v>
      </c>
      <c r="AP159" s="27" t="n">
        <f aca="false">+AD159*($F159+$G159)</f>
        <v>0</v>
      </c>
      <c r="AQ159" s="27" t="n">
        <f aca="false">+AE159*($F159+$G159)</f>
        <v>0</v>
      </c>
      <c r="AR159" s="27" t="n">
        <f aca="false">+AF159*($F159+$G159)</f>
        <v>0</v>
      </c>
      <c r="AS159" s="27" t="n">
        <f aca="false">+AG159*($F159+$G159)</f>
        <v>0</v>
      </c>
    </row>
    <row r="160" customFormat="false" ht="12.75" hidden="false" customHeight="false" outlineLevel="0" collapsed="false">
      <c r="A160" s="83" t="s">
        <v>97</v>
      </c>
      <c r="B160" s="22" t="s">
        <v>57</v>
      </c>
      <c r="C160" s="71" t="n">
        <v>26819</v>
      </c>
      <c r="D160" s="62" t="n">
        <v>10000</v>
      </c>
      <c r="E160" s="95" t="s">
        <v>127</v>
      </c>
      <c r="F160" s="63" t="n">
        <f aca="false">0.12-0.0407-0.0093-0.0153</f>
        <v>0.0547</v>
      </c>
      <c r="G160" s="63" t="n">
        <v>0.0153</v>
      </c>
      <c r="H160" s="85" t="n">
        <f aca="false">+G160+F160</f>
        <v>0.07</v>
      </c>
      <c r="I160" s="86" t="n">
        <v>36647</v>
      </c>
      <c r="J160" s="87" t="n">
        <v>38472</v>
      </c>
      <c r="K160" s="0" t="n">
        <v>245</v>
      </c>
      <c r="L160" s="0" t="n">
        <v>365</v>
      </c>
      <c r="M160" s="0" t="n">
        <v>365</v>
      </c>
      <c r="N160" s="0" t="n">
        <v>365</v>
      </c>
      <c r="O160" s="0" t="n">
        <v>366</v>
      </c>
      <c r="P160" s="0" t="n">
        <v>120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W160" s="60" t="n">
        <f aca="false">+K160*$D160</f>
        <v>2450000</v>
      </c>
      <c r="X160" s="60" t="n">
        <f aca="false">+L160*$D160</f>
        <v>3650000</v>
      </c>
      <c r="Y160" s="60" t="n">
        <f aca="false">+M160*$D160</f>
        <v>3650000</v>
      </c>
      <c r="Z160" s="60" t="n">
        <f aca="false">+N160*$D160</f>
        <v>3650000</v>
      </c>
      <c r="AA160" s="60" t="n">
        <f aca="false">+O160*$D160</f>
        <v>3660000</v>
      </c>
      <c r="AB160" s="60" t="n">
        <f aca="false">+P160*$D160</f>
        <v>1200000</v>
      </c>
      <c r="AC160" s="60" t="n">
        <f aca="false">+Q160*$D160</f>
        <v>0</v>
      </c>
      <c r="AD160" s="60" t="n">
        <f aca="false">+R160*$D160</f>
        <v>0</v>
      </c>
      <c r="AE160" s="60" t="n">
        <f aca="false">+S160*$D160</f>
        <v>0</v>
      </c>
      <c r="AF160" s="60" t="n">
        <f aca="false">+T160*$D160</f>
        <v>0</v>
      </c>
      <c r="AG160" s="60" t="n">
        <f aca="false">+U160*$D160</f>
        <v>0</v>
      </c>
      <c r="AI160" s="27" t="n">
        <f aca="false">+W160*($F160+$G160)</f>
        <v>171500</v>
      </c>
      <c r="AJ160" s="27" t="n">
        <f aca="false">+X160*($F160+$G160)</f>
        <v>255500</v>
      </c>
      <c r="AK160" s="27" t="n">
        <f aca="false">+Y160*($F160+$G160)</f>
        <v>255500</v>
      </c>
      <c r="AL160" s="27" t="n">
        <f aca="false">+Z160*($F160+$G160)</f>
        <v>255500</v>
      </c>
      <c r="AM160" s="27" t="n">
        <f aca="false">+AA160*($F160+$G160)</f>
        <v>256200</v>
      </c>
      <c r="AN160" s="27" t="n">
        <f aca="false">+AB160*($F160+$G160)</f>
        <v>84000</v>
      </c>
      <c r="AO160" s="27" t="n">
        <f aca="false">+AC160*($F160+$G160)</f>
        <v>0</v>
      </c>
      <c r="AP160" s="27" t="n">
        <f aca="false">+AD160*($F160+$G160)</f>
        <v>0</v>
      </c>
      <c r="AQ160" s="27" t="n">
        <f aca="false">+AE160*($F160+$G160)</f>
        <v>0</v>
      </c>
      <c r="AR160" s="27" t="n">
        <f aca="false">+AF160*($F160+$G160)</f>
        <v>0</v>
      </c>
      <c r="AS160" s="27" t="n">
        <f aca="false">+AG160*($F160+$G160)</f>
        <v>0</v>
      </c>
    </row>
    <row r="161" customFormat="false" ht="12.75" hidden="false" customHeight="false" outlineLevel="0" collapsed="false">
      <c r="A161" s="103" t="s">
        <v>97</v>
      </c>
      <c r="B161" s="22" t="s">
        <v>91</v>
      </c>
      <c r="C161" s="61" t="n">
        <v>27454</v>
      </c>
      <c r="D161" s="62" t="n">
        <v>27500</v>
      </c>
      <c r="E161" s="61" t="s">
        <v>132</v>
      </c>
      <c r="F161" s="63" t="n">
        <f aca="false">1.32-0.102-0.0011-0.0153</f>
        <v>1.2016</v>
      </c>
      <c r="G161" s="63" t="n">
        <v>0.0153</v>
      </c>
      <c r="H161" s="85" t="n">
        <f aca="false">+G161+F161</f>
        <v>1.2169</v>
      </c>
      <c r="I161" s="86" t="n">
        <v>37256</v>
      </c>
      <c r="J161" s="87" t="n">
        <v>37621</v>
      </c>
      <c r="K161" s="0" t="n">
        <v>0</v>
      </c>
      <c r="L161" s="0" t="n">
        <v>0</v>
      </c>
      <c r="M161" s="0" t="n">
        <v>365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W161" s="60" t="n">
        <f aca="false">+K161*$D161</f>
        <v>0</v>
      </c>
      <c r="X161" s="60" t="n">
        <f aca="false">+L161*$D161</f>
        <v>0</v>
      </c>
      <c r="Y161" s="60" t="n">
        <f aca="false">+M161*$D161</f>
        <v>10037500</v>
      </c>
      <c r="Z161" s="60" t="n">
        <f aca="false">+N161*$D161</f>
        <v>0</v>
      </c>
      <c r="AA161" s="60" t="n">
        <f aca="false">+O161*$D161</f>
        <v>0</v>
      </c>
      <c r="AB161" s="60" t="n">
        <f aca="false">+P161*$D161</f>
        <v>0</v>
      </c>
      <c r="AC161" s="60" t="n">
        <f aca="false">+Q161*$D161</f>
        <v>0</v>
      </c>
      <c r="AD161" s="60" t="n">
        <f aca="false">+R161*$D161</f>
        <v>0</v>
      </c>
      <c r="AE161" s="60" t="n">
        <f aca="false">+S161*$D161</f>
        <v>0</v>
      </c>
      <c r="AF161" s="60" t="n">
        <f aca="false">+T161*$D161</f>
        <v>0</v>
      </c>
      <c r="AG161" s="60" t="n">
        <f aca="false">+U161*$D161</f>
        <v>0</v>
      </c>
      <c r="AI161" s="27" t="n">
        <f aca="false">+W161*($F161+$G161)</f>
        <v>0</v>
      </c>
      <c r="AJ161" s="27" t="n">
        <f aca="false">+X161*($F161+$G161)</f>
        <v>0</v>
      </c>
      <c r="AK161" s="27" t="n">
        <f aca="false">+Y161*($F161+$G161)</f>
        <v>12214633.75</v>
      </c>
      <c r="AL161" s="27" t="n">
        <f aca="false">+Z161*($F161+$G161)</f>
        <v>0</v>
      </c>
      <c r="AM161" s="27" t="n">
        <f aca="false">+AA161*($F161+$G161)</f>
        <v>0</v>
      </c>
      <c r="AN161" s="27" t="n">
        <f aca="false">+AB161*($F161+$G161)</f>
        <v>0</v>
      </c>
      <c r="AO161" s="27" t="n">
        <f aca="false">+AC161*($F161+$G161)</f>
        <v>0</v>
      </c>
      <c r="AP161" s="27" t="n">
        <f aca="false">+AD161*($F161+$G161)</f>
        <v>0</v>
      </c>
      <c r="AQ161" s="27" t="n">
        <f aca="false">+AE161*($F161+$G161)</f>
        <v>0</v>
      </c>
      <c r="AR161" s="27" t="n">
        <f aca="false">+AF161*($F161+$G161)</f>
        <v>0</v>
      </c>
      <c r="AS161" s="27" t="n">
        <f aca="false">+AG161*($F161+$G161)</f>
        <v>0</v>
      </c>
    </row>
    <row r="162" customFormat="false" ht="12.75" hidden="false" customHeight="false" outlineLevel="0" collapsed="false">
      <c r="A162" s="104" t="s">
        <v>97</v>
      </c>
      <c r="B162" s="22" t="s">
        <v>92</v>
      </c>
      <c r="C162" s="61" t="n">
        <v>20746</v>
      </c>
      <c r="D162" s="62" t="n">
        <v>20000</v>
      </c>
      <c r="E162" s="61" t="s">
        <v>133</v>
      </c>
      <c r="F162" s="63" t="n">
        <v>0.3109</v>
      </c>
      <c r="G162" s="63" t="n">
        <v>0.0184</v>
      </c>
      <c r="H162" s="85" t="n">
        <f aca="false">+G162+F162</f>
        <v>0.3293</v>
      </c>
      <c r="I162" s="86" t="n">
        <v>35855</v>
      </c>
      <c r="J162" s="87" t="n">
        <v>39141</v>
      </c>
      <c r="K162" s="0" t="n">
        <v>366</v>
      </c>
      <c r="L162" s="0" t="n">
        <v>365</v>
      </c>
      <c r="M162" s="0" t="n">
        <v>365</v>
      </c>
      <c r="N162" s="0" t="n">
        <v>365</v>
      </c>
      <c r="O162" s="0" t="n">
        <v>366</v>
      </c>
      <c r="P162" s="0" t="n">
        <v>365</v>
      </c>
      <c r="Q162" s="0" t="n">
        <v>365</v>
      </c>
      <c r="R162" s="0" t="n">
        <v>59</v>
      </c>
      <c r="S162" s="0" t="n">
        <v>0</v>
      </c>
      <c r="T162" s="0" t="n">
        <v>0</v>
      </c>
      <c r="U162" s="0" t="n">
        <v>0</v>
      </c>
      <c r="W162" s="60" t="n">
        <f aca="false">+K162*$D162</f>
        <v>7320000</v>
      </c>
      <c r="X162" s="60" t="n">
        <f aca="false">+L162*$D162</f>
        <v>7300000</v>
      </c>
      <c r="Y162" s="60" t="n">
        <f aca="false">+M162*$D162</f>
        <v>7300000</v>
      </c>
      <c r="Z162" s="60" t="n">
        <f aca="false">+N162*$D162</f>
        <v>7300000</v>
      </c>
      <c r="AA162" s="60" t="n">
        <f aca="false">+O162*$D162</f>
        <v>7320000</v>
      </c>
      <c r="AB162" s="60" t="n">
        <f aca="false">+P162*$D162</f>
        <v>7300000</v>
      </c>
      <c r="AC162" s="60" t="n">
        <f aca="false">+Q162*$D162</f>
        <v>7300000</v>
      </c>
      <c r="AD162" s="60" t="n">
        <f aca="false">+R162*$D162</f>
        <v>1180000</v>
      </c>
      <c r="AE162" s="60" t="n">
        <f aca="false">+S162*$D162</f>
        <v>0</v>
      </c>
      <c r="AF162" s="60" t="n">
        <f aca="false">+T162*$D162</f>
        <v>0</v>
      </c>
      <c r="AG162" s="60" t="n">
        <f aca="false">+U162*$D162</f>
        <v>0</v>
      </c>
      <c r="AI162" s="27" t="n">
        <f aca="false">+W162*($F162+$G162)</f>
        <v>2410476</v>
      </c>
      <c r="AJ162" s="27" t="n">
        <f aca="false">+X162*($F162+$G162)</f>
        <v>2403890</v>
      </c>
      <c r="AK162" s="27" t="n">
        <f aca="false">+Y162*($F162+$G162)</f>
        <v>2403890</v>
      </c>
      <c r="AL162" s="27" t="n">
        <f aca="false">+Z162*($F162+$G162)</f>
        <v>2403890</v>
      </c>
      <c r="AM162" s="27" t="n">
        <f aca="false">+AA162*($F162+$G162)</f>
        <v>2410476</v>
      </c>
      <c r="AN162" s="27" t="n">
        <f aca="false">+AB162*($F162+$G162)</f>
        <v>2403890</v>
      </c>
      <c r="AO162" s="27" t="n">
        <f aca="false">+AC162*($F162+$G162)</f>
        <v>2403890</v>
      </c>
      <c r="AP162" s="27" t="n">
        <f aca="false">+AD162*($F162+$G162)</f>
        <v>388574</v>
      </c>
      <c r="AQ162" s="27" t="n">
        <f aca="false">+AE162*($F162+$G162)</f>
        <v>0</v>
      </c>
      <c r="AR162" s="27" t="n">
        <f aca="false">+AF162*($F162+$G162)</f>
        <v>0</v>
      </c>
      <c r="AS162" s="27" t="n">
        <f aca="false">+AG162*($F162+$G162)</f>
        <v>0</v>
      </c>
    </row>
    <row r="163" customFormat="false" ht="12.75" hidden="false" customHeight="false" outlineLevel="0" collapsed="false">
      <c r="A163" s="103" t="s">
        <v>97</v>
      </c>
      <c r="B163" s="22" t="s">
        <v>58</v>
      </c>
      <c r="C163" s="61" t="n">
        <v>26816</v>
      </c>
      <c r="D163" s="62" t="n">
        <v>21500</v>
      </c>
      <c r="E163" s="84" t="s">
        <v>127</v>
      </c>
      <c r="F163" s="63" t="n">
        <f aca="false">0.17-0.102-0.0011-0.0153</f>
        <v>0.0516</v>
      </c>
      <c r="G163" s="63" t="n">
        <v>0.0153</v>
      </c>
      <c r="H163" s="85" t="n">
        <f aca="false">+G163+F163</f>
        <v>0.0669</v>
      </c>
      <c r="I163" s="86" t="n">
        <v>36646</v>
      </c>
      <c r="J163" s="87" t="n">
        <v>38472</v>
      </c>
      <c r="K163" s="0" t="n">
        <v>245</v>
      </c>
      <c r="L163" s="0" t="n">
        <v>365</v>
      </c>
      <c r="M163" s="0" t="n">
        <v>365</v>
      </c>
      <c r="N163" s="0" t="n">
        <v>365</v>
      </c>
      <c r="O163" s="0" t="n">
        <v>366</v>
      </c>
      <c r="P163" s="0" t="n">
        <v>120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W163" s="60" t="n">
        <f aca="false">+K163*$D163</f>
        <v>5267500</v>
      </c>
      <c r="X163" s="60" t="n">
        <f aca="false">+L163*$D163</f>
        <v>7847500</v>
      </c>
      <c r="Y163" s="60" t="n">
        <f aca="false">+M163*$D163</f>
        <v>7847500</v>
      </c>
      <c r="Z163" s="60" t="n">
        <f aca="false">+N163*$D163</f>
        <v>7847500</v>
      </c>
      <c r="AA163" s="60" t="n">
        <f aca="false">+O163*$D163</f>
        <v>7869000</v>
      </c>
      <c r="AB163" s="60" t="n">
        <f aca="false">+P163*$D163</f>
        <v>2580000</v>
      </c>
      <c r="AC163" s="60" t="n">
        <f aca="false">+Q163*$D163</f>
        <v>0</v>
      </c>
      <c r="AD163" s="60" t="n">
        <f aca="false">+R163*$D163</f>
        <v>0</v>
      </c>
      <c r="AE163" s="60" t="n">
        <f aca="false">+S163*$D163</f>
        <v>0</v>
      </c>
      <c r="AF163" s="60" t="n">
        <f aca="false">+T163*$D163</f>
        <v>0</v>
      </c>
      <c r="AG163" s="60" t="n">
        <f aca="false">+U163*$D163</f>
        <v>0</v>
      </c>
      <c r="AI163" s="27" t="n">
        <f aca="false">+W163*($F163+$G163)</f>
        <v>352395.75</v>
      </c>
      <c r="AJ163" s="27" t="n">
        <f aca="false">+X163*($F163+$G163)</f>
        <v>524997.75</v>
      </c>
      <c r="AK163" s="27" t="n">
        <f aca="false">+Y163*($F163+$G163)</f>
        <v>524997.75</v>
      </c>
      <c r="AL163" s="27" t="n">
        <f aca="false">+Z163*($F163+$G163)</f>
        <v>524997.75</v>
      </c>
      <c r="AM163" s="27" t="n">
        <f aca="false">+AA163*($F163+$G163)</f>
        <v>526436.1</v>
      </c>
      <c r="AN163" s="27" t="n">
        <f aca="false">+AB163*($F163+$G163)</f>
        <v>172602</v>
      </c>
      <c r="AO163" s="27" t="n">
        <f aca="false">+AC163*($F163+$G163)</f>
        <v>0</v>
      </c>
      <c r="AP163" s="27" t="n">
        <f aca="false">+AD163*($F163+$G163)</f>
        <v>0</v>
      </c>
      <c r="AQ163" s="27" t="n">
        <f aca="false">+AE163*($F163+$G163)</f>
        <v>0</v>
      </c>
      <c r="AR163" s="27" t="n">
        <f aca="false">+AF163*($F163+$G163)</f>
        <v>0</v>
      </c>
      <c r="AS163" s="27" t="n">
        <f aca="false">+AG163*($F163+$G163)</f>
        <v>0</v>
      </c>
    </row>
    <row r="164" customFormat="false" ht="12.75" hidden="false" customHeight="false" outlineLevel="0" collapsed="false">
      <c r="A164" s="83" t="s">
        <v>97</v>
      </c>
      <c r="B164" s="22" t="s">
        <v>58</v>
      </c>
      <c r="C164" s="71" t="n">
        <v>27293</v>
      </c>
      <c r="D164" s="62" t="n">
        <v>49000</v>
      </c>
      <c r="E164" s="84" t="s">
        <v>127</v>
      </c>
      <c r="F164" s="63" t="n">
        <f aca="false">0.285-0.102-0.0071-0.0153</f>
        <v>0.1606</v>
      </c>
      <c r="G164" s="63" t="n">
        <f aca="false">0.0224-0.0071</f>
        <v>0.0153</v>
      </c>
      <c r="H164" s="85" t="n">
        <f aca="false">+G164+F164</f>
        <v>0.1759</v>
      </c>
      <c r="I164" s="86" t="n">
        <v>36831</v>
      </c>
      <c r="J164" s="87" t="n">
        <v>37195</v>
      </c>
      <c r="K164" s="0" t="n">
        <v>61</v>
      </c>
      <c r="L164" s="0" t="n">
        <v>304</v>
      </c>
      <c r="M164" s="0" t="n">
        <v>0</v>
      </c>
      <c r="N164" s="0" t="n">
        <v>0</v>
      </c>
      <c r="O164" s="0" t="n">
        <v>0</v>
      </c>
      <c r="P164" s="0" t="n">
        <v>0</v>
      </c>
      <c r="Q164" s="0" t="n">
        <v>0</v>
      </c>
      <c r="R164" s="0" t="n">
        <v>0</v>
      </c>
      <c r="S164" s="0" t="n">
        <v>0</v>
      </c>
      <c r="T164" s="0" t="n">
        <v>0</v>
      </c>
      <c r="U164" s="0" t="n">
        <v>0</v>
      </c>
      <c r="W164" s="60" t="n">
        <f aca="false">+K164*$D164</f>
        <v>2989000</v>
      </c>
      <c r="X164" s="60" t="n">
        <f aca="false">+L164*$D164</f>
        <v>14896000</v>
      </c>
      <c r="Y164" s="60" t="n">
        <f aca="false">+M164*$D164</f>
        <v>0</v>
      </c>
      <c r="Z164" s="60" t="n">
        <f aca="false">+N164*$D164</f>
        <v>0</v>
      </c>
      <c r="AA164" s="60" t="n">
        <f aca="false">+O164*$D164</f>
        <v>0</v>
      </c>
      <c r="AB164" s="60" t="n">
        <f aca="false">+P164*$D164</f>
        <v>0</v>
      </c>
      <c r="AC164" s="60" t="n">
        <f aca="false">+Q164*$D164</f>
        <v>0</v>
      </c>
      <c r="AD164" s="60" t="n">
        <f aca="false">+R164*$D164</f>
        <v>0</v>
      </c>
      <c r="AE164" s="60" t="n">
        <f aca="false">+S164*$D164</f>
        <v>0</v>
      </c>
      <c r="AF164" s="60" t="n">
        <f aca="false">+T164*$D164</f>
        <v>0</v>
      </c>
      <c r="AG164" s="60" t="n">
        <f aca="false">+U164*$D164</f>
        <v>0</v>
      </c>
      <c r="AI164" s="27" t="n">
        <f aca="false">+W164*($F164+$G164)</f>
        <v>525765.1</v>
      </c>
      <c r="AJ164" s="27" t="n">
        <f aca="false">+X164*($F164+$G164)</f>
        <v>2620206.4</v>
      </c>
      <c r="AK164" s="27" t="n">
        <f aca="false">+Y164*($F164+$G164)</f>
        <v>0</v>
      </c>
      <c r="AL164" s="27" t="n">
        <f aca="false">+Z164*($F164+$G164)</f>
        <v>0</v>
      </c>
      <c r="AM164" s="27" t="n">
        <f aca="false">+AA164*($F164+$G164)</f>
        <v>0</v>
      </c>
      <c r="AN164" s="27" t="n">
        <f aca="false">+AB164*($F164+$G164)</f>
        <v>0</v>
      </c>
      <c r="AO164" s="27" t="n">
        <f aca="false">+AC164*($F164+$G164)</f>
        <v>0</v>
      </c>
      <c r="AP164" s="27" t="n">
        <f aca="false">+AD164*($F164+$G164)</f>
        <v>0</v>
      </c>
      <c r="AQ164" s="27" t="n">
        <f aca="false">+AE164*($F164+$G164)</f>
        <v>0</v>
      </c>
      <c r="AR164" s="27" t="n">
        <f aca="false">+AF164*($F164+$G164)</f>
        <v>0</v>
      </c>
      <c r="AS164" s="27" t="n">
        <f aca="false">+AG164*($F164+$G164)</f>
        <v>0</v>
      </c>
    </row>
    <row r="165" customFormat="false" ht="12.75" hidden="false" customHeight="false" outlineLevel="0" collapsed="false">
      <c r="A165" s="83" t="s">
        <v>97</v>
      </c>
      <c r="B165" s="22" t="s">
        <v>58</v>
      </c>
      <c r="C165" s="71" t="n">
        <v>27352</v>
      </c>
      <c r="D165" s="62" t="n">
        <v>21500</v>
      </c>
      <c r="E165" s="61" t="s">
        <v>132</v>
      </c>
      <c r="F165" s="63" t="n">
        <f aca="false">0.3-0.0407-0.0093-0.0153</f>
        <v>0.2347</v>
      </c>
      <c r="G165" s="63" t="n">
        <v>0.0153</v>
      </c>
      <c r="H165" s="85" t="n">
        <f aca="false">+G165+F165</f>
        <v>0.25</v>
      </c>
      <c r="I165" s="86" t="n">
        <v>37196</v>
      </c>
      <c r="J165" s="87" t="n">
        <v>37560</v>
      </c>
      <c r="K165" s="0" t="n">
        <v>0</v>
      </c>
      <c r="L165" s="0" t="n">
        <v>61</v>
      </c>
      <c r="M165" s="0" t="n">
        <v>304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W165" s="60" t="n">
        <f aca="false">+K165*$D165</f>
        <v>0</v>
      </c>
      <c r="X165" s="60" t="n">
        <f aca="false">+L165*$D165</f>
        <v>1311500</v>
      </c>
      <c r="Y165" s="60" t="n">
        <f aca="false">+M165*$D165</f>
        <v>6536000</v>
      </c>
      <c r="Z165" s="60" t="n">
        <f aca="false">+N165*$D165</f>
        <v>0</v>
      </c>
      <c r="AA165" s="60" t="n">
        <f aca="false">+O165*$D165</f>
        <v>0</v>
      </c>
      <c r="AB165" s="60" t="n">
        <f aca="false">+P165*$D165</f>
        <v>0</v>
      </c>
      <c r="AC165" s="60" t="n">
        <f aca="false">+Q165*$D165</f>
        <v>0</v>
      </c>
      <c r="AD165" s="60" t="n">
        <f aca="false">+R165*$D165</f>
        <v>0</v>
      </c>
      <c r="AE165" s="60" t="n">
        <f aca="false">+S165*$D165</f>
        <v>0</v>
      </c>
      <c r="AF165" s="60" t="n">
        <f aca="false">+T165*$D165</f>
        <v>0</v>
      </c>
      <c r="AG165" s="60" t="n">
        <f aca="false">+U165*$D165</f>
        <v>0</v>
      </c>
      <c r="AI165" s="27" t="n">
        <f aca="false">+W165*($F165+$G165)</f>
        <v>0</v>
      </c>
      <c r="AJ165" s="27" t="n">
        <f aca="false">+X165*($F165+$G165)</f>
        <v>327875</v>
      </c>
      <c r="AK165" s="27" t="n">
        <f aca="false">+Y165*($F165+$G165)</f>
        <v>1634000</v>
      </c>
      <c r="AL165" s="27" t="n">
        <f aca="false">+Z165*($F165+$G165)</f>
        <v>0</v>
      </c>
      <c r="AM165" s="27" t="n">
        <f aca="false">+AA165*($F165+$G165)</f>
        <v>0</v>
      </c>
      <c r="AN165" s="27" t="n">
        <f aca="false">+AB165*($F165+$G165)</f>
        <v>0</v>
      </c>
      <c r="AO165" s="27" t="n">
        <f aca="false">+AC165*($F165+$G165)</f>
        <v>0</v>
      </c>
      <c r="AP165" s="27" t="n">
        <f aca="false">+AD165*($F165+$G165)</f>
        <v>0</v>
      </c>
      <c r="AQ165" s="27" t="n">
        <f aca="false">+AE165*($F165+$G165)</f>
        <v>0</v>
      </c>
      <c r="AR165" s="27" t="n">
        <f aca="false">+AF165*($F165+$G165)</f>
        <v>0</v>
      </c>
      <c r="AS165" s="27" t="n">
        <f aca="false">+AG165*($F165+$G165)</f>
        <v>0</v>
      </c>
    </row>
    <row r="166" customFormat="false" ht="12.75" hidden="false" customHeight="false" outlineLevel="0" collapsed="false">
      <c r="A166" s="103" t="s">
        <v>97</v>
      </c>
      <c r="B166" s="22" t="s">
        <v>58</v>
      </c>
      <c r="C166" s="61" t="n">
        <v>27504</v>
      </c>
      <c r="D166" s="62" t="n">
        <v>35000</v>
      </c>
      <c r="E166" s="61" t="s">
        <v>132</v>
      </c>
      <c r="F166" s="105" t="n">
        <f aca="false">0.3823-0.102-0.0011-0.0153</f>
        <v>0.2639</v>
      </c>
      <c r="G166" s="63" t="n">
        <v>0.0153</v>
      </c>
      <c r="H166" s="85" t="n">
        <f aca="false">+G166+F166</f>
        <v>0.2792</v>
      </c>
      <c r="I166" s="86" t="n">
        <v>37986</v>
      </c>
      <c r="J166" s="87" t="n">
        <v>38717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366</v>
      </c>
      <c r="P166" s="0" t="n">
        <v>365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W166" s="60" t="n">
        <f aca="false">+K166*$D166</f>
        <v>0</v>
      </c>
      <c r="X166" s="60" t="n">
        <f aca="false">+L166*$D166</f>
        <v>0</v>
      </c>
      <c r="Y166" s="60" t="n">
        <f aca="false">+M166*$D166</f>
        <v>0</v>
      </c>
      <c r="Z166" s="60" t="n">
        <f aca="false">+N166*$D166</f>
        <v>0</v>
      </c>
      <c r="AA166" s="60" t="n">
        <f aca="false">+O166*$D166</f>
        <v>12810000</v>
      </c>
      <c r="AB166" s="60" t="n">
        <f aca="false">+P166*$D166</f>
        <v>12775000</v>
      </c>
      <c r="AC166" s="60" t="n">
        <f aca="false">+Q166*$D166</f>
        <v>0</v>
      </c>
      <c r="AD166" s="60" t="n">
        <f aca="false">+R166*$D166</f>
        <v>0</v>
      </c>
      <c r="AE166" s="60" t="n">
        <f aca="false">+S166*$D166</f>
        <v>0</v>
      </c>
      <c r="AF166" s="60" t="n">
        <f aca="false">+T166*$D166</f>
        <v>0</v>
      </c>
      <c r="AG166" s="60" t="n">
        <f aca="false">+U166*$D166</f>
        <v>0</v>
      </c>
      <c r="AI166" s="27" t="n">
        <f aca="false">+W166*($F166+$G166)</f>
        <v>0</v>
      </c>
      <c r="AJ166" s="27" t="n">
        <f aca="false">+X166*($F166+$G166)</f>
        <v>0</v>
      </c>
      <c r="AK166" s="27" t="n">
        <f aca="false">+Y166*($F166+$G166)</f>
        <v>0</v>
      </c>
      <c r="AL166" s="27" t="n">
        <f aca="false">+Z166*($F166+$G166)</f>
        <v>0</v>
      </c>
      <c r="AM166" s="27" t="n">
        <f aca="false">+AA166*($F166+$G166)</f>
        <v>3576552</v>
      </c>
      <c r="AN166" s="27" t="n">
        <f aca="false">+AB166*($F166+$G166)</f>
        <v>3566780</v>
      </c>
      <c r="AO166" s="27" t="n">
        <f aca="false">+AC166*($F166+$G166)</f>
        <v>0</v>
      </c>
      <c r="AP166" s="27" t="n">
        <f aca="false">+AD166*($F166+$G166)</f>
        <v>0</v>
      </c>
      <c r="AQ166" s="27" t="n">
        <f aca="false">+AE166*($F166+$G166)</f>
        <v>0</v>
      </c>
      <c r="AR166" s="27" t="n">
        <f aca="false">+AF166*($F166+$G166)</f>
        <v>0</v>
      </c>
      <c r="AS166" s="27" t="n">
        <f aca="false">+AG166*($F166+$G166)</f>
        <v>0</v>
      </c>
    </row>
    <row r="167" customFormat="false" ht="12.75" hidden="false" customHeight="false" outlineLevel="0" collapsed="false">
      <c r="A167" s="103" t="s">
        <v>97</v>
      </c>
      <c r="B167" s="22" t="s">
        <v>93</v>
      </c>
      <c r="C167" s="61" t="n">
        <v>24670</v>
      </c>
      <c r="D167" s="62" t="n">
        <v>10000</v>
      </c>
      <c r="E167" s="61" t="s">
        <v>138</v>
      </c>
      <c r="F167" s="63" t="n">
        <f aca="false">0.17-0.102-0.0153-0.0011</f>
        <v>0.0516</v>
      </c>
      <c r="G167" s="63" t="n">
        <v>0.0153</v>
      </c>
      <c r="H167" s="85" t="n">
        <f aca="false">+G167+F167</f>
        <v>0.0669</v>
      </c>
      <c r="I167" s="86" t="n">
        <v>35490</v>
      </c>
      <c r="J167" s="87" t="n">
        <v>39172</v>
      </c>
      <c r="K167" s="0" t="n">
        <v>366</v>
      </c>
      <c r="L167" s="0" t="n">
        <v>365</v>
      </c>
      <c r="M167" s="0" t="n">
        <v>365</v>
      </c>
      <c r="N167" s="0" t="n">
        <v>365</v>
      </c>
      <c r="O167" s="0" t="n">
        <v>366</v>
      </c>
      <c r="P167" s="0" t="n">
        <v>365</v>
      </c>
      <c r="Q167" s="0" t="n">
        <v>365</v>
      </c>
      <c r="R167" s="0" t="n">
        <v>90</v>
      </c>
      <c r="S167" s="0" t="n">
        <v>0</v>
      </c>
      <c r="T167" s="0" t="n">
        <v>0</v>
      </c>
      <c r="U167" s="0" t="n">
        <v>0</v>
      </c>
      <c r="W167" s="60" t="n">
        <f aca="false">+K167*$D167</f>
        <v>3660000</v>
      </c>
      <c r="X167" s="60" t="n">
        <f aca="false">+L167*$D167</f>
        <v>3650000</v>
      </c>
      <c r="Y167" s="60" t="n">
        <f aca="false">+M167*$D167</f>
        <v>3650000</v>
      </c>
      <c r="Z167" s="60" t="n">
        <f aca="false">+N167*$D167</f>
        <v>3650000</v>
      </c>
      <c r="AA167" s="60" t="n">
        <f aca="false">+O167*$D167</f>
        <v>3660000</v>
      </c>
      <c r="AB167" s="60" t="n">
        <f aca="false">+P167*$D167</f>
        <v>3650000</v>
      </c>
      <c r="AC167" s="60" t="n">
        <f aca="false">+Q167*$D167</f>
        <v>3650000</v>
      </c>
      <c r="AD167" s="60" t="n">
        <f aca="false">+R167*$D167</f>
        <v>900000</v>
      </c>
      <c r="AE167" s="60" t="n">
        <f aca="false">+S167*$D167</f>
        <v>0</v>
      </c>
      <c r="AF167" s="60" t="n">
        <f aca="false">+T167*$D167</f>
        <v>0</v>
      </c>
      <c r="AG167" s="60" t="n">
        <f aca="false">+U167*$D167</f>
        <v>0</v>
      </c>
      <c r="AI167" s="27" t="n">
        <f aca="false">+W167*($F167+$G167)</f>
        <v>244854</v>
      </c>
      <c r="AJ167" s="27" t="n">
        <f aca="false">+X167*($F167+$G167)</f>
        <v>244185</v>
      </c>
      <c r="AK167" s="27" t="n">
        <f aca="false">+Y167*($F167+$G167)</f>
        <v>244185</v>
      </c>
      <c r="AL167" s="27" t="n">
        <f aca="false">+Z167*($F167+$G167)</f>
        <v>244185</v>
      </c>
      <c r="AM167" s="27" t="n">
        <f aca="false">+AA167*($F167+$G167)</f>
        <v>244854</v>
      </c>
      <c r="AN167" s="27" t="n">
        <f aca="false">+AB167*($F167+$G167)</f>
        <v>244185</v>
      </c>
      <c r="AO167" s="27" t="n">
        <f aca="false">+AC167*($F167+$G167)</f>
        <v>244185</v>
      </c>
      <c r="AP167" s="27" t="n">
        <f aca="false">+AD167*($F167+$G167)</f>
        <v>60210</v>
      </c>
      <c r="AQ167" s="27" t="n">
        <f aca="false">+AE167*($F167+$G167)</f>
        <v>0</v>
      </c>
      <c r="AR167" s="27" t="n">
        <f aca="false">+AF167*($F167+$G167)</f>
        <v>0</v>
      </c>
      <c r="AS167" s="27" t="n">
        <f aca="false">+AG167*($F167+$G167)</f>
        <v>0</v>
      </c>
    </row>
    <row r="168" customFormat="false" ht="12.75" hidden="false" customHeight="false" outlineLevel="0" collapsed="false">
      <c r="A168" s="83" t="s">
        <v>97</v>
      </c>
      <c r="B168" s="22" t="s">
        <v>59</v>
      </c>
      <c r="C168" s="61" t="n">
        <v>8255</v>
      </c>
      <c r="D168" s="62" t="n">
        <v>306000</v>
      </c>
      <c r="E168" s="61" t="s">
        <v>133</v>
      </c>
      <c r="F168" s="63" t="n">
        <v>0.3092</v>
      </c>
      <c r="G168" s="63" t="n">
        <f aca="false">0.0224-0.0071</f>
        <v>0.0153</v>
      </c>
      <c r="H168" s="85" t="n">
        <f aca="false">+G168+F168</f>
        <v>0.3245</v>
      </c>
      <c r="I168" s="86" t="n">
        <v>32782</v>
      </c>
      <c r="J168" s="87" t="n">
        <v>38656</v>
      </c>
      <c r="K168" s="0" t="n">
        <v>366</v>
      </c>
      <c r="L168" s="0" t="n">
        <v>365</v>
      </c>
      <c r="M168" s="0" t="n">
        <v>365</v>
      </c>
      <c r="N168" s="0" t="n">
        <v>365</v>
      </c>
      <c r="O168" s="0" t="n">
        <v>366</v>
      </c>
      <c r="P168" s="0" t="n">
        <v>304</v>
      </c>
      <c r="Q168" s="0" t="n">
        <v>0</v>
      </c>
      <c r="R168" s="0" t="n">
        <v>0</v>
      </c>
      <c r="S168" s="0" t="n">
        <v>0</v>
      </c>
      <c r="T168" s="0" t="n">
        <v>0</v>
      </c>
      <c r="U168" s="0" t="n">
        <v>0</v>
      </c>
      <c r="W168" s="60" t="n">
        <f aca="false">+K168*$D168</f>
        <v>111996000</v>
      </c>
      <c r="X168" s="60" t="n">
        <f aca="false">+L168*$D168</f>
        <v>111690000</v>
      </c>
      <c r="Y168" s="60" t="n">
        <f aca="false">+M168*$D168</f>
        <v>111690000</v>
      </c>
      <c r="Z168" s="60" t="n">
        <f aca="false">+N168*$D168</f>
        <v>111690000</v>
      </c>
      <c r="AA168" s="60" t="n">
        <f aca="false">+O168*$D168</f>
        <v>111996000</v>
      </c>
      <c r="AB168" s="60" t="n">
        <f aca="false">+P168*$D168</f>
        <v>93024000</v>
      </c>
      <c r="AC168" s="60" t="n">
        <f aca="false">+Q168*$D168</f>
        <v>0</v>
      </c>
      <c r="AD168" s="60" t="n">
        <f aca="false">+R168*$D168</f>
        <v>0</v>
      </c>
      <c r="AE168" s="60" t="n">
        <f aca="false">+S168*$D168</f>
        <v>0</v>
      </c>
      <c r="AF168" s="60" t="n">
        <f aca="false">+T168*$D168</f>
        <v>0</v>
      </c>
      <c r="AG168" s="60" t="n">
        <f aca="false">+U168*$D168</f>
        <v>0</v>
      </c>
      <c r="AI168" s="27" t="n">
        <f aca="false">+W168*($F168+$G168)</f>
        <v>36342702</v>
      </c>
      <c r="AJ168" s="27" t="n">
        <f aca="false">+X168*($F168+$G168)</f>
        <v>36243405</v>
      </c>
      <c r="AK168" s="27" t="n">
        <f aca="false">+Y168*($F168+$G168)</f>
        <v>36243405</v>
      </c>
      <c r="AL168" s="27" t="n">
        <f aca="false">+Z168*($F168+$G168)</f>
        <v>36243405</v>
      </c>
      <c r="AM168" s="27" t="n">
        <f aca="false">+AA168*($F168+$G168)</f>
        <v>36342702</v>
      </c>
      <c r="AN168" s="27" t="n">
        <f aca="false">+AB168*($F168+$G168)</f>
        <v>30186288</v>
      </c>
      <c r="AO168" s="27" t="n">
        <f aca="false">+AC168*($F168+$G168)</f>
        <v>0</v>
      </c>
      <c r="AP168" s="27" t="n">
        <f aca="false">+AD168*($F168+$G168)</f>
        <v>0</v>
      </c>
      <c r="AQ168" s="27" t="n">
        <f aca="false">+AE168*($F168+$G168)</f>
        <v>0</v>
      </c>
      <c r="AR168" s="27" t="n">
        <f aca="false">+AF168*($F168+$G168)</f>
        <v>0</v>
      </c>
      <c r="AS168" s="27" t="n">
        <f aca="false">+AG168*($F168+$G168)</f>
        <v>0</v>
      </c>
    </row>
    <row r="169" customFormat="false" ht="12.75" hidden="false" customHeight="false" outlineLevel="0" collapsed="false">
      <c r="A169" s="103" t="s">
        <v>97</v>
      </c>
      <c r="B169" s="22" t="s">
        <v>95</v>
      </c>
      <c r="C169" s="61" t="n">
        <v>26719</v>
      </c>
      <c r="D169" s="62" t="n">
        <v>25000</v>
      </c>
      <c r="E169" s="84" t="s">
        <v>127</v>
      </c>
      <c r="F169" s="63" t="n">
        <f aca="false">0.205-0.102-0.0011-0.0142</f>
        <v>0.0877</v>
      </c>
      <c r="G169" s="63" t="n">
        <f aca="false">0.0153-0.0011</f>
        <v>0.0142</v>
      </c>
      <c r="H169" s="85" t="n">
        <f aca="false">+G169+F169</f>
        <v>0.1019</v>
      </c>
      <c r="I169" s="86" t="n">
        <v>36646</v>
      </c>
      <c r="J169" s="87" t="n">
        <v>38472</v>
      </c>
      <c r="K169" s="0" t="n">
        <v>245</v>
      </c>
      <c r="L169" s="0" t="n">
        <v>365</v>
      </c>
      <c r="M169" s="0" t="n">
        <v>365</v>
      </c>
      <c r="N169" s="0" t="n">
        <v>365</v>
      </c>
      <c r="O169" s="0" t="n">
        <v>366</v>
      </c>
      <c r="P169" s="0" t="n">
        <v>120</v>
      </c>
      <c r="Q169" s="0" t="n">
        <v>0</v>
      </c>
      <c r="R169" s="0" t="n">
        <v>0</v>
      </c>
      <c r="S169" s="0" t="n">
        <v>0</v>
      </c>
      <c r="T169" s="0" t="n">
        <v>0</v>
      </c>
      <c r="U169" s="0" t="n">
        <v>0</v>
      </c>
      <c r="W169" s="60" t="n">
        <f aca="false">+K169*$D169</f>
        <v>6125000</v>
      </c>
      <c r="X169" s="60" t="n">
        <f aca="false">+L169*$D169</f>
        <v>9125000</v>
      </c>
      <c r="Y169" s="60" t="n">
        <f aca="false">+M169*$D169</f>
        <v>9125000</v>
      </c>
      <c r="Z169" s="60" t="n">
        <f aca="false">+N169*$D169</f>
        <v>9125000</v>
      </c>
      <c r="AA169" s="60" t="n">
        <f aca="false">+O169*$D169</f>
        <v>9150000</v>
      </c>
      <c r="AB169" s="60" t="n">
        <f aca="false">+P169*$D169</f>
        <v>3000000</v>
      </c>
      <c r="AC169" s="60" t="n">
        <f aca="false">+Q169*$D169</f>
        <v>0</v>
      </c>
      <c r="AD169" s="60" t="n">
        <f aca="false">+R169*$D169</f>
        <v>0</v>
      </c>
      <c r="AE169" s="60" t="n">
        <f aca="false">+S169*$D169</f>
        <v>0</v>
      </c>
      <c r="AF169" s="60" t="n">
        <f aca="false">+T169*$D169</f>
        <v>0</v>
      </c>
      <c r="AG169" s="60" t="n">
        <f aca="false">+U169*$D169</f>
        <v>0</v>
      </c>
      <c r="AI169" s="27" t="n">
        <f aca="false">+W169*($F169+$G169)</f>
        <v>624137.5</v>
      </c>
      <c r="AJ169" s="27" t="n">
        <f aca="false">+X169*($F169+$G169)</f>
        <v>929837.5</v>
      </c>
      <c r="AK169" s="27" t="n">
        <f aca="false">+Y169*($F169+$G169)</f>
        <v>929837.5</v>
      </c>
      <c r="AL169" s="27" t="n">
        <f aca="false">+Z169*($F169+$G169)</f>
        <v>929837.5</v>
      </c>
      <c r="AM169" s="27" t="n">
        <f aca="false">+AA169*($F169+$G169)</f>
        <v>932385</v>
      </c>
      <c r="AN169" s="27" t="n">
        <f aca="false">+AB169*($F169+$G169)</f>
        <v>305700</v>
      </c>
      <c r="AO169" s="27" t="n">
        <f aca="false">+AC169*($F169+$G169)</f>
        <v>0</v>
      </c>
      <c r="AP169" s="27" t="n">
        <f aca="false">+AD169*($F169+$G169)</f>
        <v>0</v>
      </c>
      <c r="AQ169" s="27" t="n">
        <f aca="false">+AE169*($F169+$G169)</f>
        <v>0</v>
      </c>
      <c r="AR169" s="27" t="n">
        <f aca="false">+AF169*($F169+$G169)</f>
        <v>0</v>
      </c>
      <c r="AS169" s="27" t="n">
        <f aca="false">+AG169*($F169+$G169)</f>
        <v>0</v>
      </c>
    </row>
    <row r="170" customFormat="false" ht="12.75" hidden="false" customHeight="false" outlineLevel="0" collapsed="false">
      <c r="A170" s="83" t="s">
        <v>97</v>
      </c>
      <c r="B170" s="22" t="s">
        <v>61</v>
      </c>
      <c r="C170" s="71" t="n">
        <v>22037</v>
      </c>
      <c r="D170" s="62" t="n">
        <v>3000</v>
      </c>
      <c r="E170" s="84" t="s">
        <v>134</v>
      </c>
      <c r="F170" s="63" t="n">
        <v>0</v>
      </c>
      <c r="G170" s="63" t="n">
        <v>0</v>
      </c>
      <c r="H170" s="85" t="n">
        <f aca="false">0.1328-0.05</f>
        <v>0.0828</v>
      </c>
      <c r="I170" s="86"/>
      <c r="J170" s="87"/>
      <c r="K170" s="0" t="n">
        <v>366</v>
      </c>
      <c r="L170" s="0" t="n">
        <v>365</v>
      </c>
      <c r="M170" s="0" t="n">
        <v>365</v>
      </c>
      <c r="N170" s="0" t="n">
        <v>365</v>
      </c>
      <c r="O170" s="0" t="n">
        <v>366</v>
      </c>
      <c r="P170" s="0" t="n">
        <v>0</v>
      </c>
      <c r="Q170" s="0" t="n">
        <v>0</v>
      </c>
      <c r="R170" s="0" t="n">
        <v>0</v>
      </c>
      <c r="S170" s="0" t="n">
        <v>0</v>
      </c>
      <c r="T170" s="0" t="n">
        <v>0</v>
      </c>
      <c r="U170" s="0" t="n">
        <v>0</v>
      </c>
      <c r="W170" s="60" t="n">
        <f aca="false">+K170*$D170</f>
        <v>1098000</v>
      </c>
      <c r="X170" s="60" t="n">
        <f aca="false">+L170*$D170</f>
        <v>1095000</v>
      </c>
      <c r="Y170" s="60" t="n">
        <f aca="false">+M170*$D170</f>
        <v>1095000</v>
      </c>
      <c r="Z170" s="60" t="n">
        <f aca="false">+N170*$D170</f>
        <v>1095000</v>
      </c>
      <c r="AA170" s="60" t="n">
        <f aca="false">+O170*$D170</f>
        <v>1098000</v>
      </c>
      <c r="AB170" s="60" t="n">
        <f aca="false">+P170*$D170</f>
        <v>0</v>
      </c>
      <c r="AC170" s="60" t="n">
        <f aca="false">+Q170*$D170</f>
        <v>0</v>
      </c>
      <c r="AD170" s="60" t="n">
        <f aca="false">+R170*$D170</f>
        <v>0</v>
      </c>
      <c r="AE170" s="60" t="n">
        <f aca="false">+S170*$D170</f>
        <v>0</v>
      </c>
      <c r="AF170" s="60" t="n">
        <f aca="false">+T170*$D170</f>
        <v>0</v>
      </c>
      <c r="AG170" s="60" t="n">
        <f aca="false">+U170*$D170</f>
        <v>0</v>
      </c>
      <c r="AI170" s="27" t="n">
        <f aca="false">+W170*($F170+$G170)</f>
        <v>0</v>
      </c>
      <c r="AJ170" s="27" t="n">
        <f aca="false">+X170*($F170+$G170)</f>
        <v>0</v>
      </c>
      <c r="AK170" s="27" t="n">
        <f aca="false">+Y170*($F170+$G170)</f>
        <v>0</v>
      </c>
      <c r="AL170" s="27" t="n">
        <f aca="false">+Z170*($F170+$G170)</f>
        <v>0</v>
      </c>
      <c r="AM170" s="27" t="n">
        <f aca="false">+AA170*($F170+$G170)</f>
        <v>0</v>
      </c>
      <c r="AN170" s="27" t="n">
        <f aca="false">+AB170*($F170+$G170)</f>
        <v>0</v>
      </c>
      <c r="AO170" s="27" t="n">
        <f aca="false">+AC170*($F170+$G170)</f>
        <v>0</v>
      </c>
      <c r="AP170" s="27" t="n">
        <f aca="false">+AD170*($F170+$G170)</f>
        <v>0</v>
      </c>
      <c r="AQ170" s="27" t="n">
        <f aca="false">+AE170*($F170+$G170)</f>
        <v>0</v>
      </c>
      <c r="AR170" s="27" t="n">
        <f aca="false">+AF170*($F170+$G170)</f>
        <v>0</v>
      </c>
      <c r="AS170" s="27" t="n">
        <f aca="false">+AG170*($F170+$G170)</f>
        <v>0</v>
      </c>
    </row>
    <row r="171" customFormat="false" ht="12.75" hidden="false" customHeight="false" outlineLevel="0" collapsed="false">
      <c r="A171" s="83" t="s">
        <v>97</v>
      </c>
      <c r="B171" s="22" t="s">
        <v>61</v>
      </c>
      <c r="C171" s="71" t="n">
        <v>27252</v>
      </c>
      <c r="D171" s="62" t="n">
        <v>14000</v>
      </c>
      <c r="E171" s="84" t="s">
        <v>127</v>
      </c>
      <c r="F171" s="63" t="n">
        <f aca="false">0.15-0.0407-0.0093-0.0153</f>
        <v>0.0847</v>
      </c>
      <c r="G171" s="63" t="n">
        <f aca="false">0.0246-0.0093</f>
        <v>0.0153</v>
      </c>
      <c r="H171" s="85" t="n">
        <f aca="false">+G171+F171</f>
        <v>0.1</v>
      </c>
      <c r="I171" s="86" t="n">
        <v>36831</v>
      </c>
      <c r="J171" s="87" t="n">
        <v>40482</v>
      </c>
      <c r="K171" s="0" t="n">
        <v>61</v>
      </c>
      <c r="L171" s="0" t="n">
        <v>151</v>
      </c>
      <c r="M171" s="0" t="n">
        <v>151</v>
      </c>
      <c r="N171" s="0" t="n">
        <v>151</v>
      </c>
      <c r="O171" s="0" t="n">
        <v>152</v>
      </c>
      <c r="P171" s="0" t="n">
        <v>151</v>
      </c>
      <c r="Q171" s="0" t="n">
        <v>151</v>
      </c>
      <c r="R171" s="0" t="n">
        <v>151</v>
      </c>
      <c r="S171" s="0" t="n">
        <v>152</v>
      </c>
      <c r="T171" s="0" t="n">
        <v>151</v>
      </c>
      <c r="U171" s="0" t="n">
        <v>151</v>
      </c>
      <c r="W171" s="60" t="n">
        <f aca="false">+K171*$D171</f>
        <v>854000</v>
      </c>
      <c r="X171" s="60" t="n">
        <f aca="false">+L171*$D171</f>
        <v>2114000</v>
      </c>
      <c r="Y171" s="60" t="n">
        <f aca="false">+M171*$D171</f>
        <v>2114000</v>
      </c>
      <c r="Z171" s="60" t="n">
        <f aca="false">+N171*$D171</f>
        <v>2114000</v>
      </c>
      <c r="AA171" s="60" t="n">
        <f aca="false">+O171*$D171</f>
        <v>2128000</v>
      </c>
      <c r="AB171" s="60" t="n">
        <f aca="false">+P171*$D171</f>
        <v>2114000</v>
      </c>
      <c r="AC171" s="60" t="n">
        <f aca="false">+Q171*$D171</f>
        <v>2114000</v>
      </c>
      <c r="AD171" s="60" t="n">
        <f aca="false">+R171*$D171</f>
        <v>2114000</v>
      </c>
      <c r="AE171" s="60" t="n">
        <f aca="false">+S171*$D171</f>
        <v>2128000</v>
      </c>
      <c r="AF171" s="60" t="n">
        <f aca="false">+T171*$D171</f>
        <v>2114000</v>
      </c>
      <c r="AG171" s="60" t="n">
        <f aca="false">+U171*$D171</f>
        <v>2114000</v>
      </c>
      <c r="AI171" s="27" t="n">
        <f aca="false">+W171*($F171+$G171)</f>
        <v>85400</v>
      </c>
      <c r="AJ171" s="27" t="n">
        <f aca="false">+X171*($F171+$G171)</f>
        <v>211400</v>
      </c>
      <c r="AK171" s="27" t="n">
        <f aca="false">+Y171*($F171+$G171)</f>
        <v>211400</v>
      </c>
      <c r="AL171" s="27" t="n">
        <f aca="false">+Z171*($F171+$G171)</f>
        <v>211400</v>
      </c>
      <c r="AM171" s="27" t="n">
        <f aca="false">+AA171*($F171+$G171)</f>
        <v>212800</v>
      </c>
      <c r="AN171" s="27" t="n">
        <f aca="false">+AB171*($F171+$G171)</f>
        <v>211400</v>
      </c>
      <c r="AO171" s="27" t="n">
        <f aca="false">+AC171*($F171+$G171)</f>
        <v>211400</v>
      </c>
      <c r="AP171" s="27" t="n">
        <f aca="false">+AD171*($F171+$G171)</f>
        <v>211400</v>
      </c>
      <c r="AQ171" s="27" t="n">
        <f aca="false">+AE171*($F171+$G171)</f>
        <v>212800</v>
      </c>
      <c r="AR171" s="27" t="n">
        <f aca="false">+AF171*($F171+$G171)</f>
        <v>211400</v>
      </c>
      <c r="AS171" s="27" t="n">
        <f aca="false">+AG171*($F171+$G171)</f>
        <v>211400</v>
      </c>
    </row>
    <row r="172" customFormat="false" ht="12.75" hidden="false" customHeight="false" outlineLevel="0" collapsed="false">
      <c r="A172" s="103" t="s">
        <v>97</v>
      </c>
      <c r="B172" s="22" t="s">
        <v>96</v>
      </c>
      <c r="C172" s="61" t="n">
        <v>26960</v>
      </c>
      <c r="D172" s="62" t="n">
        <v>20000</v>
      </c>
      <c r="E172" s="84" t="s">
        <v>127</v>
      </c>
      <c r="F172" s="63" t="n">
        <f aca="false">0.19-0.102-0.0011-0.0153</f>
        <v>0.0716</v>
      </c>
      <c r="G172" s="63" t="n">
        <v>0.0153</v>
      </c>
      <c r="H172" s="85" t="n">
        <f aca="false">+G172+F172</f>
        <v>0.0869</v>
      </c>
      <c r="I172" s="86" t="n">
        <v>36525</v>
      </c>
      <c r="J172" s="87" t="n">
        <v>38077</v>
      </c>
      <c r="K172" s="0" t="n">
        <v>366</v>
      </c>
      <c r="L172" s="0" t="n">
        <v>365</v>
      </c>
      <c r="M172" s="0" t="n">
        <v>365</v>
      </c>
      <c r="N172" s="0" t="n">
        <v>365</v>
      </c>
      <c r="O172" s="0" t="n">
        <v>91</v>
      </c>
      <c r="P172" s="0" t="n">
        <v>0</v>
      </c>
      <c r="Q172" s="0" t="n">
        <v>0</v>
      </c>
      <c r="R172" s="0" t="n">
        <v>0</v>
      </c>
      <c r="S172" s="0" t="n">
        <v>0</v>
      </c>
      <c r="T172" s="0" t="n">
        <v>0</v>
      </c>
      <c r="U172" s="0" t="n">
        <v>0</v>
      </c>
      <c r="W172" s="60" t="n">
        <f aca="false">+K172*$D172</f>
        <v>7320000</v>
      </c>
      <c r="X172" s="60" t="n">
        <f aca="false">+L172*$D172</f>
        <v>7300000</v>
      </c>
      <c r="Y172" s="60" t="n">
        <f aca="false">+M172*$D172</f>
        <v>7300000</v>
      </c>
      <c r="Z172" s="60" t="n">
        <f aca="false">+N172*$D172</f>
        <v>7300000</v>
      </c>
      <c r="AA172" s="60" t="n">
        <f aca="false">+O172*$D172</f>
        <v>1820000</v>
      </c>
      <c r="AB172" s="60" t="n">
        <f aca="false">+P172*$D172</f>
        <v>0</v>
      </c>
      <c r="AC172" s="60" t="n">
        <f aca="false">+Q172*$D172</f>
        <v>0</v>
      </c>
      <c r="AD172" s="60" t="n">
        <f aca="false">+R172*$D172</f>
        <v>0</v>
      </c>
      <c r="AE172" s="60" t="n">
        <f aca="false">+S172*$D172</f>
        <v>0</v>
      </c>
      <c r="AF172" s="60" t="n">
        <f aca="false">+T172*$D172</f>
        <v>0</v>
      </c>
      <c r="AG172" s="60" t="n">
        <f aca="false">+U172*$D172</f>
        <v>0</v>
      </c>
      <c r="AI172" s="27" t="n">
        <f aca="false">+W172*($F172+$G172)</f>
        <v>636108</v>
      </c>
      <c r="AJ172" s="27" t="n">
        <f aca="false">+X172*($F172+$G172)</f>
        <v>634370</v>
      </c>
      <c r="AK172" s="27" t="n">
        <f aca="false">+Y172*($F172+$G172)</f>
        <v>634370</v>
      </c>
      <c r="AL172" s="27" t="n">
        <f aca="false">+Z172*($F172+$G172)</f>
        <v>634370</v>
      </c>
      <c r="AM172" s="27" t="n">
        <f aca="false">+AA172*($F172+$G172)</f>
        <v>158158</v>
      </c>
      <c r="AN172" s="27" t="n">
        <f aca="false">+AB172*($F172+$G172)</f>
        <v>0</v>
      </c>
      <c r="AO172" s="27" t="n">
        <f aca="false">+AC172*($F172+$G172)</f>
        <v>0</v>
      </c>
      <c r="AP172" s="27" t="n">
        <f aca="false">+AD172*($F172+$G172)</f>
        <v>0</v>
      </c>
      <c r="AQ172" s="27" t="n">
        <f aca="false">+AE172*($F172+$G172)</f>
        <v>0</v>
      </c>
      <c r="AR172" s="27" t="n">
        <f aca="false">+AF172*($F172+$G172)</f>
        <v>0</v>
      </c>
      <c r="AS172" s="27" t="n">
        <f aca="false">+AG172*($F172+$G172)</f>
        <v>0</v>
      </c>
    </row>
    <row r="173" customFormat="false" ht="12.75" hidden="false" customHeight="false" outlineLevel="0" collapsed="false">
      <c r="A173" s="83" t="s">
        <v>97</v>
      </c>
      <c r="B173" s="22" t="s">
        <v>62</v>
      </c>
      <c r="C173" s="61" t="n">
        <v>25850</v>
      </c>
      <c r="D173" s="62" t="n">
        <v>30000</v>
      </c>
      <c r="E173" s="84" t="s">
        <v>127</v>
      </c>
      <c r="F173" s="63" t="n">
        <f aca="false">0.1354-0.0407-0.0093-0.0153</f>
        <v>0.0701</v>
      </c>
      <c r="G173" s="63" t="n">
        <v>0.0153</v>
      </c>
      <c r="H173" s="85" t="n">
        <f aca="false">+G173+F173</f>
        <v>0.0854</v>
      </c>
      <c r="I173" s="86"/>
      <c r="J173" s="87" t="n">
        <v>36556</v>
      </c>
      <c r="K173" s="0" t="n">
        <v>31</v>
      </c>
      <c r="L173" s="0" t="n">
        <v>0</v>
      </c>
      <c r="M173" s="0" t="n">
        <v>0</v>
      </c>
      <c r="N173" s="0" t="n">
        <v>0</v>
      </c>
      <c r="O173" s="0" t="n">
        <v>0</v>
      </c>
      <c r="P173" s="0" t="n">
        <v>0</v>
      </c>
      <c r="Q173" s="0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W173" s="60" t="n">
        <f aca="false">+K173*$D173</f>
        <v>930000</v>
      </c>
      <c r="X173" s="60" t="n">
        <f aca="false">+L173*$D173</f>
        <v>0</v>
      </c>
      <c r="Y173" s="60" t="n">
        <f aca="false">+M173*$D173</f>
        <v>0</v>
      </c>
      <c r="Z173" s="60" t="n">
        <f aca="false">+N173*$D173</f>
        <v>0</v>
      </c>
      <c r="AA173" s="60" t="n">
        <f aca="false">+O173*$D173</f>
        <v>0</v>
      </c>
      <c r="AB173" s="60" t="n">
        <f aca="false">+P173*$D173</f>
        <v>0</v>
      </c>
      <c r="AC173" s="60" t="n">
        <f aca="false">+Q173*$D173</f>
        <v>0</v>
      </c>
      <c r="AD173" s="60" t="n">
        <f aca="false">+R173*$D173</f>
        <v>0</v>
      </c>
      <c r="AE173" s="60" t="n">
        <f aca="false">+S173*$D173</f>
        <v>0</v>
      </c>
      <c r="AF173" s="60" t="n">
        <f aca="false">+T173*$D173</f>
        <v>0</v>
      </c>
      <c r="AG173" s="60" t="n">
        <f aca="false">+U173*$D173</f>
        <v>0</v>
      </c>
      <c r="AI173" s="27" t="n">
        <f aca="false">+W173*($F173+$G173)</f>
        <v>79422</v>
      </c>
      <c r="AJ173" s="27" t="n">
        <f aca="false">+X173*($F173+$G173)</f>
        <v>0</v>
      </c>
      <c r="AK173" s="27" t="n">
        <f aca="false">+Y173*($F173+$G173)</f>
        <v>0</v>
      </c>
      <c r="AL173" s="27" t="n">
        <f aca="false">+Z173*($F173+$G173)</f>
        <v>0</v>
      </c>
      <c r="AM173" s="27" t="n">
        <f aca="false">+AA173*($F173+$G173)</f>
        <v>0</v>
      </c>
      <c r="AN173" s="27" t="n">
        <f aca="false">+AB173*($F173+$G173)</f>
        <v>0</v>
      </c>
      <c r="AO173" s="27" t="n">
        <f aca="false">+AC173*($F173+$G173)</f>
        <v>0</v>
      </c>
      <c r="AP173" s="27" t="n">
        <f aca="false">+AD173*($F173+$G173)</f>
        <v>0</v>
      </c>
      <c r="AQ173" s="27" t="n">
        <f aca="false">+AE173*($F173+$G173)</f>
        <v>0</v>
      </c>
      <c r="AR173" s="27" t="n">
        <f aca="false">+AF173*($F173+$G173)</f>
        <v>0</v>
      </c>
      <c r="AS173" s="27" t="n">
        <f aca="false">+AG173*($F173+$G173)</f>
        <v>0</v>
      </c>
    </row>
    <row r="174" customFormat="false" ht="12.75" hidden="false" customHeight="false" outlineLevel="0" collapsed="false">
      <c r="A174" s="83" t="s">
        <v>97</v>
      </c>
      <c r="B174" s="22" t="s">
        <v>46</v>
      </c>
      <c r="C174" s="61" t="n">
        <v>26393</v>
      </c>
      <c r="D174" s="62" t="n">
        <v>30000</v>
      </c>
      <c r="E174" s="84" t="s">
        <v>127</v>
      </c>
      <c r="F174" s="63" t="n">
        <f aca="false">0.113-0.0407-0.0093-0.0153</f>
        <v>0.0477</v>
      </c>
      <c r="G174" s="63" t="n">
        <v>0.0153</v>
      </c>
      <c r="H174" s="85" t="n">
        <f aca="false">+G174+F174</f>
        <v>0.063</v>
      </c>
      <c r="I174" s="86"/>
      <c r="J174" s="87" t="n">
        <v>36616</v>
      </c>
      <c r="K174" s="0" t="n">
        <v>91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</v>
      </c>
      <c r="R174" s="0" t="n">
        <v>0</v>
      </c>
      <c r="S174" s="0" t="n">
        <v>0</v>
      </c>
      <c r="T174" s="0" t="n">
        <v>0</v>
      </c>
      <c r="U174" s="0" t="n">
        <v>0</v>
      </c>
      <c r="W174" s="60" t="n">
        <f aca="false">+K174*$D174</f>
        <v>2730000</v>
      </c>
      <c r="X174" s="60" t="n">
        <f aca="false">+L174*$D174</f>
        <v>0</v>
      </c>
      <c r="Y174" s="60" t="n">
        <f aca="false">+M174*$D174</f>
        <v>0</v>
      </c>
      <c r="Z174" s="60" t="n">
        <f aca="false">+N174*$D174</f>
        <v>0</v>
      </c>
      <c r="AA174" s="60" t="n">
        <f aca="false">+O174*$D174</f>
        <v>0</v>
      </c>
      <c r="AB174" s="60" t="n">
        <f aca="false">+P174*$D174</f>
        <v>0</v>
      </c>
      <c r="AC174" s="60" t="n">
        <f aca="false">+Q174*$D174</f>
        <v>0</v>
      </c>
      <c r="AD174" s="60" t="n">
        <f aca="false">+R174*$D174</f>
        <v>0</v>
      </c>
      <c r="AE174" s="60" t="n">
        <f aca="false">+S174*$D174</f>
        <v>0</v>
      </c>
      <c r="AF174" s="60" t="n">
        <f aca="false">+T174*$D174</f>
        <v>0</v>
      </c>
      <c r="AG174" s="60" t="n">
        <f aca="false">+U174*$D174</f>
        <v>0</v>
      </c>
      <c r="AI174" s="27" t="n">
        <f aca="false">+W174*($F174+$G174)</f>
        <v>171990</v>
      </c>
      <c r="AJ174" s="27" t="n">
        <f aca="false">+X174*($F174+$G174)</f>
        <v>0</v>
      </c>
      <c r="AK174" s="27" t="n">
        <f aca="false">+Y174*($F174+$G174)</f>
        <v>0</v>
      </c>
      <c r="AL174" s="27" t="n">
        <f aca="false">+Z174*($F174+$G174)</f>
        <v>0</v>
      </c>
      <c r="AM174" s="27" t="n">
        <f aca="false">+AA174*($F174+$G174)</f>
        <v>0</v>
      </c>
      <c r="AN174" s="27" t="n">
        <f aca="false">+AB174*($F174+$G174)</f>
        <v>0</v>
      </c>
      <c r="AO174" s="27" t="n">
        <f aca="false">+AC174*($F174+$G174)</f>
        <v>0</v>
      </c>
      <c r="AP174" s="27" t="n">
        <f aca="false">+AD174*($F174+$G174)</f>
        <v>0</v>
      </c>
      <c r="AQ174" s="27" t="n">
        <f aca="false">+AE174*($F174+$G174)</f>
        <v>0</v>
      </c>
      <c r="AR174" s="27" t="n">
        <f aca="false">+AF174*($F174+$G174)</f>
        <v>0</v>
      </c>
      <c r="AS174" s="27" t="n">
        <f aca="false">+AG174*($F174+$G174)</f>
        <v>0</v>
      </c>
    </row>
    <row r="175" customFormat="false" ht="12.75" hidden="false" customHeight="false" outlineLevel="0" collapsed="false">
      <c r="A175" s="22" t="s">
        <v>18</v>
      </c>
      <c r="C175" s="0"/>
      <c r="D175" s="2"/>
      <c r="E175" s="3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8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C175" s="27"/>
      <c r="AD175" s="27"/>
      <c r="AE175" s="27"/>
      <c r="AF175" s="27"/>
      <c r="AG175" s="27"/>
      <c r="AH175" s="27"/>
      <c r="AI175" s="27" t="n">
        <f aca="false">SUM(AI130:AI174)</f>
        <v>79201845.615</v>
      </c>
      <c r="AJ175" s="27" t="n">
        <f aca="false">SUM(AJ130:AJ174)</f>
        <v>85442363.1</v>
      </c>
      <c r="AK175" s="27" t="n">
        <f aca="false">SUM(AK130:AK174)</f>
        <v>94325428.41</v>
      </c>
      <c r="AL175" s="27" t="n">
        <f aca="false">SUM(AL130:AL174)</f>
        <v>95910161.09</v>
      </c>
      <c r="AM175" s="27" t="n">
        <f aca="false">SUM(AM130:AM174)</f>
        <v>83326999.1</v>
      </c>
      <c r="AN175" s="27" t="n">
        <f aca="false">SUM(AN130:AN174)</f>
        <v>74599339</v>
      </c>
      <c r="AO175" s="27" t="n">
        <f aca="false">SUM(AO130:AO174)</f>
        <v>30301171</v>
      </c>
      <c r="AP175" s="27" t="n">
        <f aca="false">SUM(AP130:AP174)</f>
        <v>7685167.5</v>
      </c>
      <c r="AQ175" s="27" t="n">
        <f aca="false">SUM(AQ130:AQ174)</f>
        <v>891546.1</v>
      </c>
      <c r="AR175" s="27" t="n">
        <f aca="false">SUM(AR130:AR174)</f>
        <v>211400</v>
      </c>
      <c r="AS175" s="27" t="n">
        <f aca="false">SUM(AS130:AS174)</f>
        <v>211400</v>
      </c>
    </row>
    <row r="176" customFormat="false" ht="12.75" hidden="false" customHeight="false" outlineLevel="0" collapsed="false">
      <c r="C176" s="0"/>
      <c r="D176" s="0"/>
      <c r="E176" s="3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8"/>
      <c r="R176" s="28"/>
    </row>
    <row r="177" customFormat="false" ht="12.75" hidden="false" customHeight="false" outlineLevel="0" collapsed="false">
      <c r="A177" s="22" t="s">
        <v>105</v>
      </c>
      <c r="C177" s="0"/>
      <c r="E177" s="35"/>
      <c r="F177" s="24"/>
      <c r="G177" s="24"/>
      <c r="H177" s="59" t="n">
        <f aca="false">+AI177/W177</f>
        <v>0.400919507844958</v>
      </c>
      <c r="I177" s="24"/>
      <c r="J177" s="24"/>
      <c r="K177" s="24"/>
      <c r="L177" s="24"/>
      <c r="M177" s="24"/>
      <c r="N177" s="24"/>
      <c r="O177" s="24"/>
      <c r="P177" s="24"/>
      <c r="Q177" s="28"/>
      <c r="R177" s="24"/>
      <c r="S177" s="24"/>
      <c r="T177" s="24"/>
      <c r="U177" s="24"/>
      <c r="V177" s="24"/>
      <c r="W177" s="24" t="n">
        <f aca="false">SUM(W130:W174)</f>
        <v>360723725</v>
      </c>
      <c r="X177" s="24" t="n">
        <f aca="false">SUM(X130:X174)</f>
        <v>396326000</v>
      </c>
      <c r="Y177" s="24" t="n">
        <f aca="false">SUM(Y130:Y174)</f>
        <v>384503300</v>
      </c>
      <c r="Z177" s="24" t="n">
        <f aca="false">SUM(Z130:Z174)</f>
        <v>347707600</v>
      </c>
      <c r="AA177" s="24" t="n">
        <f aca="false">SUM(AA130:AA174)</f>
        <v>319806000</v>
      </c>
      <c r="AB177" s="24" t="n">
        <f aca="false">SUM(AB130:AB174)</f>
        <v>271265500</v>
      </c>
      <c r="AC177" s="24" t="n">
        <f aca="false">SUM(AC130:AC174)</f>
        <v>129741500</v>
      </c>
      <c r="AD177" s="24" t="n">
        <f aca="false">SUM(AD130:AD174)</f>
        <v>57346500</v>
      </c>
      <c r="AE177" s="24" t="n">
        <f aca="false">SUM(AE130:AE174)</f>
        <v>32484500</v>
      </c>
      <c r="AF177" s="24" t="n">
        <f aca="false">SUM(AF130:AF174)</f>
        <v>2114000</v>
      </c>
      <c r="AG177" s="24" t="n">
        <f aca="false">SUM(AG130:AG174)</f>
        <v>2114000</v>
      </c>
      <c r="AH177" s="27"/>
      <c r="AI177" s="24" t="n">
        <f aca="false">AI175+AI120+AI79+AI51</f>
        <v>144621178.295</v>
      </c>
      <c r="AJ177" s="24" t="n">
        <f aca="false">AJ175+AJ120+AJ79+AJ51</f>
        <v>157666443.35</v>
      </c>
      <c r="AK177" s="24" t="n">
        <f aca="false">AK175+AK120+AK79+AK51</f>
        <v>158901867.18</v>
      </c>
      <c r="AL177" s="24" t="n">
        <f aca="false">AL175+AL120+AL79+AL51</f>
        <v>154440045.75</v>
      </c>
      <c r="AM177" s="24" t="n">
        <f aca="false">AM175+AM120+AM79+AM51</f>
        <v>132349757.7</v>
      </c>
      <c r="AN177" s="24" t="n">
        <f aca="false">AN175+AN120+AN79+AN51</f>
        <v>117795039.75</v>
      </c>
      <c r="AO177" s="24" t="n">
        <f aca="false">AO175+AO120+AO79+AO51</f>
        <v>49885888.75</v>
      </c>
      <c r="AP177" s="24" t="n">
        <f aca="false">AP175+AP120+AP79+AP51</f>
        <v>14682749.15</v>
      </c>
      <c r="AQ177" s="24" t="n">
        <f aca="false">AQ175+AQ120+AQ79+AQ51</f>
        <v>2152746.1</v>
      </c>
      <c r="AR177" s="24" t="n">
        <f aca="false">AR175+AR120+AR79+AR51</f>
        <v>466900</v>
      </c>
      <c r="AS177" s="24" t="n">
        <f aca="false">AS175+AS120+AS79+AS51</f>
        <v>424200</v>
      </c>
    </row>
    <row r="178" customFormat="false" ht="12.75" hidden="false" customHeight="false" outlineLevel="0" collapsed="false">
      <c r="A178" s="22" t="s">
        <v>104</v>
      </c>
      <c r="C178" s="0"/>
      <c r="D178" s="2"/>
      <c r="E178" s="3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8"/>
      <c r="R178" s="24"/>
      <c r="S178" s="24"/>
      <c r="T178" s="24"/>
      <c r="U178" s="24"/>
      <c r="V178" s="24"/>
      <c r="W178" s="24" t="n">
        <f aca="false">+W177/K6</f>
        <v>985583.948087432</v>
      </c>
      <c r="X178" s="24" t="n">
        <f aca="false">+X177/L6</f>
        <v>1085824.65753425</v>
      </c>
      <c r="Y178" s="24" t="n">
        <f aca="false">+Y177/M6</f>
        <v>1053433.69863014</v>
      </c>
      <c r="Z178" s="24" t="n">
        <f aca="false">+Z177/N6</f>
        <v>952623.561643836</v>
      </c>
      <c r="AA178" s="24" t="n">
        <f aca="false">+AA177/O6</f>
        <v>873786.885245902</v>
      </c>
      <c r="AB178" s="24" t="n">
        <f aca="false">+AB177/P6</f>
        <v>743193.150684932</v>
      </c>
      <c r="AC178" s="24" t="n">
        <f aca="false">+AC177/Q6</f>
        <v>355456.164383562</v>
      </c>
      <c r="AD178" s="24" t="n">
        <f aca="false">+AD177/R6</f>
        <v>157113.698630137</v>
      </c>
      <c r="AE178" s="24" t="n">
        <f aca="false">+AE177/S6</f>
        <v>88755.4644808743</v>
      </c>
      <c r="AF178" s="24" t="n">
        <f aca="false">+AF177/T6</f>
        <v>5791.78082191781</v>
      </c>
      <c r="AG178" s="24" t="n">
        <f aca="false">+AG177/U6</f>
        <v>5791.78082191781</v>
      </c>
      <c r="AH178" s="27"/>
      <c r="AI178" s="27"/>
      <c r="AJ178" s="27"/>
      <c r="AK178" s="27"/>
      <c r="AL178" s="27"/>
      <c r="AM178" s="27"/>
    </row>
    <row r="179" customFormat="false" ht="12.75" hidden="false" customHeight="false" outlineLevel="0" collapsed="false">
      <c r="A179" s="22" t="s">
        <v>108</v>
      </c>
      <c r="C179" s="0"/>
      <c r="E179" s="35"/>
      <c r="F179" s="24"/>
      <c r="G179" s="24"/>
      <c r="H179" s="59" t="n">
        <v>0.0867773867080112</v>
      </c>
      <c r="I179" s="24"/>
      <c r="J179" s="24"/>
      <c r="K179" s="24"/>
      <c r="L179" s="24"/>
      <c r="M179" s="24"/>
      <c r="N179" s="24"/>
      <c r="O179" s="24"/>
      <c r="P179" s="24"/>
      <c r="Q179" s="28"/>
      <c r="R179" s="24"/>
      <c r="S179" s="24"/>
      <c r="T179" s="24"/>
      <c r="U179" s="24"/>
      <c r="V179" s="24"/>
      <c r="W179" s="24" t="n">
        <f aca="false">1090000-W178</f>
        <v>104416.051912568</v>
      </c>
      <c r="X179" s="24" t="n">
        <f aca="false">1090000-X178</f>
        <v>4175.34246575343</v>
      </c>
      <c r="Y179" s="24" t="n">
        <f aca="false">1090000-Y178</f>
        <v>36566.3013698631</v>
      </c>
      <c r="Z179" s="24" t="n">
        <f aca="false">1090000-Z178</f>
        <v>137376.438356164</v>
      </c>
      <c r="AA179" s="24" t="n">
        <f aca="false">1090000-AA178</f>
        <v>216213.114754098</v>
      </c>
      <c r="AB179" s="24" t="n">
        <f aca="false">1090000-AB178</f>
        <v>346806.849315068</v>
      </c>
      <c r="AC179" s="24" t="n">
        <f aca="false">1090000-AC178</f>
        <v>734543.835616438</v>
      </c>
      <c r="AD179" s="24" t="n">
        <f aca="false">1090000-AD178</f>
        <v>932886.301369863</v>
      </c>
      <c r="AE179" s="24" t="n">
        <f aca="false">1090000-AE178</f>
        <v>1001244.53551913</v>
      </c>
      <c r="AF179" s="24" t="n">
        <f aca="false">1090000-AF178</f>
        <v>1084208.21917808</v>
      </c>
      <c r="AG179" s="24" t="n">
        <f aca="false">1090000-AG178</f>
        <v>1084208.21917808</v>
      </c>
      <c r="AH179" s="27"/>
      <c r="AI179" s="27"/>
      <c r="AJ179" s="27"/>
      <c r="AK179" s="27"/>
      <c r="AL179" s="27"/>
      <c r="AM179" s="27"/>
    </row>
    <row r="180" customFormat="false" ht="12.75" hidden="false" customHeight="false" outlineLevel="0" collapsed="false">
      <c r="A180" s="22" t="s">
        <v>140</v>
      </c>
      <c r="C180" s="0"/>
      <c r="D180" s="2"/>
      <c r="E180" s="3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8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</sheetData>
  <mergeCells count="12">
    <mergeCell ref="K8:U8"/>
    <mergeCell ref="W8:AG8"/>
    <mergeCell ref="AI8:AS8"/>
    <mergeCell ref="K59:U59"/>
    <mergeCell ref="W59:AG59"/>
    <mergeCell ref="AI59:AS59"/>
    <mergeCell ref="K87:U87"/>
    <mergeCell ref="W87:AG87"/>
    <mergeCell ref="AI87:AS87"/>
    <mergeCell ref="K128:U128"/>
    <mergeCell ref="W128:AG128"/>
    <mergeCell ref="AI128:AS128"/>
  </mergeCells>
  <printOptions headings="false" gridLines="false" gridLinesSet="true" horizontalCentered="false" verticalCentered="false"/>
  <pageMargins left="0.370138888888889" right="0.259722222222222" top="0.490277777777778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51"/>
  <sheetViews>
    <sheetView showFormulas="false" showGridLines="true" showRowColHeaders="true" showZeros="true" rightToLeft="false" tabSelected="false" showOutlineSymbols="true" defaultGridColor="true" view="normal" topLeftCell="A69" colorId="64" zoomScale="75" zoomScaleNormal="75" zoomScalePageLayoutView="100" workbookViewId="0">
      <selection pane="topLeft" activeCell="A99" activeCellId="0" sqref="A9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24.13"/>
    <col collapsed="false" customWidth="true" hidden="false" outlineLevel="0" max="3" min="3" style="61" width="9.14"/>
    <col collapsed="false" customWidth="true" hidden="false" outlineLevel="0" max="4" min="4" style="62" width="11.28"/>
    <col collapsed="false" customWidth="true" hidden="false" outlineLevel="0" max="5" min="5" style="61" width="13.56"/>
    <col collapsed="false" customWidth="true" hidden="false" outlineLevel="0" max="6" min="6" style="63" width="13.14"/>
    <col collapsed="false" customWidth="true" hidden="false" outlineLevel="0" max="7" min="7" style="63" width="9.85"/>
    <col collapsed="false" customWidth="true" hidden="false" outlineLevel="0" max="8" min="8" style="2" width="10.56"/>
    <col collapsed="false" customWidth="true" hidden="false" outlineLevel="0" max="10" min="9" style="10" width="10.56"/>
    <col collapsed="false" customWidth="true" hidden="false" outlineLevel="0" max="11" min="11" style="0" width="10.71"/>
    <col collapsed="false" customWidth="true" hidden="false" outlineLevel="0" max="25" min="23" style="0" width="12.28"/>
    <col collapsed="false" customWidth="true" hidden="false" outlineLevel="0" max="33" min="26" style="0" width="11.28"/>
  </cols>
  <sheetData>
    <row r="1" customFormat="false" ht="13.5" hidden="false" customHeight="false" outlineLevel="0" collapsed="false">
      <c r="A1" s="77" t="s">
        <v>21</v>
      </c>
      <c r="B1" s="77" t="s">
        <v>22</v>
      </c>
      <c r="C1" s="78" t="s">
        <v>23</v>
      </c>
      <c r="D1" s="79" t="s">
        <v>121</v>
      </c>
      <c r="E1" s="78" t="s">
        <v>122</v>
      </c>
      <c r="F1" s="80" t="s">
        <v>123</v>
      </c>
      <c r="G1" s="80" t="s">
        <v>124</v>
      </c>
      <c r="H1" s="81" t="s">
        <v>125</v>
      </c>
      <c r="I1" s="82" t="s">
        <v>126</v>
      </c>
      <c r="J1" s="17" t="s">
        <v>16</v>
      </c>
      <c r="K1" s="13" t="n">
        <v>2000</v>
      </c>
      <c r="L1" s="13" t="n">
        <v>2001</v>
      </c>
      <c r="M1" s="13" t="n">
        <v>2002</v>
      </c>
      <c r="N1" s="13" t="n">
        <v>2003</v>
      </c>
      <c r="O1" s="13" t="n">
        <v>2004</v>
      </c>
      <c r="P1" s="13" t="n">
        <v>2005</v>
      </c>
      <c r="Q1" s="13" t="n">
        <v>2006</v>
      </c>
      <c r="R1" s="13" t="n">
        <v>2007</v>
      </c>
      <c r="S1" s="13" t="n">
        <v>2008</v>
      </c>
      <c r="T1" s="13" t="n">
        <v>2009</v>
      </c>
      <c r="U1" s="13" t="n">
        <v>2010</v>
      </c>
      <c r="V1" s="8"/>
      <c r="W1" s="16" t="n">
        <v>2000</v>
      </c>
      <c r="X1" s="17" t="n">
        <v>2001</v>
      </c>
      <c r="Y1" s="17" t="n">
        <v>2002</v>
      </c>
      <c r="Z1" s="17" t="n">
        <v>2003</v>
      </c>
      <c r="AA1" s="17" t="n">
        <v>2004</v>
      </c>
      <c r="AB1" s="17" t="n">
        <v>2005</v>
      </c>
      <c r="AC1" s="17" t="n">
        <v>2006</v>
      </c>
      <c r="AD1" s="17" t="n">
        <v>2007</v>
      </c>
      <c r="AE1" s="17" t="n">
        <v>2008</v>
      </c>
      <c r="AF1" s="17" t="n">
        <v>2009</v>
      </c>
      <c r="AG1" s="18" t="n">
        <v>2010</v>
      </c>
      <c r="AI1" s="16" t="n">
        <v>2000</v>
      </c>
      <c r="AJ1" s="17" t="n">
        <v>2001</v>
      </c>
      <c r="AK1" s="17" t="n">
        <v>2002</v>
      </c>
      <c r="AL1" s="17" t="n">
        <v>2003</v>
      </c>
      <c r="AM1" s="17" t="n">
        <v>2004</v>
      </c>
      <c r="AN1" s="17" t="n">
        <v>2005</v>
      </c>
      <c r="AO1" s="17" t="n">
        <v>2006</v>
      </c>
      <c r="AP1" s="17" t="n">
        <v>2007</v>
      </c>
      <c r="AQ1" s="17" t="n">
        <v>2008</v>
      </c>
      <c r="AR1" s="17" t="n">
        <v>2009</v>
      </c>
      <c r="AS1" s="18" t="n">
        <v>2010</v>
      </c>
    </row>
    <row r="2" customFormat="false" ht="12.75" hidden="false" customHeight="false" outlineLevel="0" collapsed="false">
      <c r="A2" s="83" t="s">
        <v>28</v>
      </c>
      <c r="B2" s="22" t="s">
        <v>29</v>
      </c>
      <c r="C2" s="71" t="n">
        <v>26490</v>
      </c>
      <c r="D2" s="62" t="n">
        <v>70000</v>
      </c>
      <c r="E2" s="84" t="s">
        <v>127</v>
      </c>
      <c r="F2" s="63" t="n">
        <v>0.0407</v>
      </c>
      <c r="G2" s="63" t="n">
        <v>0.0093</v>
      </c>
      <c r="H2" s="85" t="n">
        <f aca="false">+G2+F2</f>
        <v>0.05</v>
      </c>
      <c r="I2" s="86" t="n">
        <v>36100</v>
      </c>
      <c r="J2" s="87" t="n">
        <v>37925</v>
      </c>
      <c r="K2" s="0" t="n">
        <v>366</v>
      </c>
      <c r="L2" s="0" t="n">
        <v>365</v>
      </c>
      <c r="M2" s="0" t="n">
        <v>365</v>
      </c>
      <c r="N2" s="0" t="n">
        <v>304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W2" s="60" t="n">
        <f aca="false">+K2*$D2</f>
        <v>25620000</v>
      </c>
      <c r="X2" s="60" t="n">
        <f aca="false">+L2*$D$2</f>
        <v>25550000</v>
      </c>
      <c r="Y2" s="60" t="n">
        <f aca="false">+M2*$D$2</f>
        <v>25550000</v>
      </c>
      <c r="Z2" s="60" t="n">
        <f aca="false">+N2*$D$2</f>
        <v>21280000</v>
      </c>
      <c r="AA2" s="60" t="n">
        <f aca="false">+O2*$D$2</f>
        <v>0</v>
      </c>
      <c r="AB2" s="60" t="n">
        <f aca="false">+P2*$D$2</f>
        <v>0</v>
      </c>
      <c r="AC2" s="60" t="n">
        <f aca="false">+Q2*$D$2</f>
        <v>0</v>
      </c>
      <c r="AD2" s="60" t="n">
        <f aca="false">+R2*$D$2</f>
        <v>0</v>
      </c>
      <c r="AE2" s="60" t="n">
        <f aca="false">+S2*$D$2</f>
        <v>0</v>
      </c>
      <c r="AF2" s="60" t="n">
        <f aca="false">+T2*$D$2</f>
        <v>0</v>
      </c>
      <c r="AG2" s="60" t="n">
        <f aca="false">+U2*$D$2</f>
        <v>0</v>
      </c>
    </row>
    <row r="3" customFormat="false" ht="12.75" hidden="false" customHeight="false" outlineLevel="0" collapsed="false">
      <c r="A3" s="88" t="s">
        <v>28</v>
      </c>
      <c r="B3" s="19" t="s">
        <v>29</v>
      </c>
      <c r="C3" s="71" t="n">
        <v>27377</v>
      </c>
      <c r="D3" s="90" t="n">
        <v>10000</v>
      </c>
      <c r="E3" s="84" t="s">
        <v>127</v>
      </c>
      <c r="F3" s="91" t="n">
        <v>0.0407</v>
      </c>
      <c r="G3" s="91" t="n">
        <v>0.0093</v>
      </c>
      <c r="H3" s="85" t="n">
        <f aca="false">+G3+F3</f>
        <v>0.05</v>
      </c>
      <c r="I3" s="23" t="n">
        <v>36951</v>
      </c>
      <c r="J3" s="87" t="n">
        <v>37315</v>
      </c>
      <c r="K3" s="0" t="n">
        <v>0</v>
      </c>
      <c r="L3" s="0" t="n">
        <v>306</v>
      </c>
      <c r="M3" s="0" t="n">
        <v>59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W3" s="60" t="n">
        <f aca="false">+K3*$D3</f>
        <v>0</v>
      </c>
      <c r="X3" s="60" t="n">
        <f aca="false">+L3*$D3</f>
        <v>3060000</v>
      </c>
      <c r="Y3" s="60" t="n">
        <f aca="false">+M3*$D3</f>
        <v>590000</v>
      </c>
      <c r="Z3" s="60" t="n">
        <f aca="false">+N3*$D3</f>
        <v>0</v>
      </c>
      <c r="AA3" s="60" t="n">
        <f aca="false">+O3*$D3</f>
        <v>0</v>
      </c>
      <c r="AB3" s="60" t="n">
        <f aca="false">+P3*$D3</f>
        <v>0</v>
      </c>
      <c r="AC3" s="60" t="n">
        <f aca="false">+Q3*$D3</f>
        <v>0</v>
      </c>
      <c r="AD3" s="60" t="n">
        <f aca="false">+R3*$D3</f>
        <v>0</v>
      </c>
      <c r="AE3" s="60" t="n">
        <f aca="false">+S3*$D3</f>
        <v>0</v>
      </c>
      <c r="AF3" s="60" t="n">
        <f aca="false">+T3*$D3</f>
        <v>0</v>
      </c>
      <c r="AG3" s="60" t="n">
        <f aca="false">+U3*$D3</f>
        <v>0</v>
      </c>
    </row>
    <row r="4" customFormat="false" ht="12.75" hidden="false" customHeight="false" outlineLevel="0" collapsed="false">
      <c r="A4" s="88" t="s">
        <v>28</v>
      </c>
      <c r="B4" s="19" t="s">
        <v>29</v>
      </c>
      <c r="C4" s="71" t="s">
        <v>30</v>
      </c>
      <c r="D4" s="90" t="n">
        <v>40000</v>
      </c>
      <c r="E4" s="84" t="s">
        <v>127</v>
      </c>
      <c r="F4" s="91" t="n">
        <v>0.0507</v>
      </c>
      <c r="G4" s="91" t="n">
        <v>0.0093</v>
      </c>
      <c r="H4" s="85" t="n">
        <f aca="false">+G4+F4</f>
        <v>0.06</v>
      </c>
      <c r="I4" s="23" t="n">
        <v>36100</v>
      </c>
      <c r="J4" s="87" t="n">
        <v>37925</v>
      </c>
      <c r="K4" s="0" t="n">
        <v>366</v>
      </c>
      <c r="L4" s="0" t="n">
        <v>365</v>
      </c>
      <c r="M4" s="0" t="n">
        <v>365</v>
      </c>
      <c r="N4" s="0" t="n">
        <v>304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W4" s="60" t="n">
        <f aca="false">+K4*$D4</f>
        <v>14640000</v>
      </c>
      <c r="X4" s="60" t="n">
        <f aca="false">+L4*$D4</f>
        <v>14600000</v>
      </c>
      <c r="Y4" s="60" t="n">
        <f aca="false">+M4*$D4</f>
        <v>14600000</v>
      </c>
      <c r="Z4" s="60" t="n">
        <f aca="false">+N4*$D4</f>
        <v>12160000</v>
      </c>
      <c r="AA4" s="60" t="n">
        <f aca="false">+O4*$D4</f>
        <v>0</v>
      </c>
      <c r="AB4" s="60" t="n">
        <f aca="false">+P4*$D4</f>
        <v>0</v>
      </c>
      <c r="AC4" s="60" t="n">
        <f aca="false">+Q4*$D4</f>
        <v>0</v>
      </c>
      <c r="AD4" s="60" t="n">
        <f aca="false">+R4*$D4</f>
        <v>0</v>
      </c>
      <c r="AE4" s="60" t="n">
        <f aca="false">+S4*$D4</f>
        <v>0</v>
      </c>
      <c r="AF4" s="60" t="n">
        <f aca="false">+T4*$D4</f>
        <v>0</v>
      </c>
      <c r="AG4" s="60" t="n">
        <f aca="false">+U4*$D4</f>
        <v>0</v>
      </c>
    </row>
    <row r="5" customFormat="false" ht="12.75" hidden="false" customHeight="false" outlineLevel="0" collapsed="false">
      <c r="A5" s="83" t="s">
        <v>28</v>
      </c>
      <c r="B5" s="22" t="s">
        <v>51</v>
      </c>
      <c r="C5" s="71" t="n">
        <v>26683</v>
      </c>
      <c r="D5" s="62" t="n">
        <v>8000</v>
      </c>
      <c r="E5" s="61" t="s">
        <v>128</v>
      </c>
      <c r="F5" s="63" t="n">
        <v>0.102</v>
      </c>
      <c r="G5" s="63" t="n">
        <v>0.0011</v>
      </c>
      <c r="H5" s="85" t="n">
        <f aca="false">+G5+F5</f>
        <v>0.1031</v>
      </c>
      <c r="I5" s="86" t="n">
        <v>36220</v>
      </c>
      <c r="J5" s="87" t="n">
        <v>37346</v>
      </c>
      <c r="K5" s="0" t="n">
        <v>366</v>
      </c>
      <c r="L5" s="0" t="n">
        <v>365</v>
      </c>
      <c r="M5" s="0" t="n">
        <v>90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W5" s="60" t="n">
        <f aca="false">+K5*$D5</f>
        <v>2928000</v>
      </c>
      <c r="X5" s="60" t="n">
        <f aca="false">+L5*$D5</f>
        <v>2920000</v>
      </c>
      <c r="Y5" s="60" t="n">
        <f aca="false">+M5*$D5</f>
        <v>720000</v>
      </c>
      <c r="Z5" s="60" t="n">
        <f aca="false">+N5*$D5</f>
        <v>0</v>
      </c>
      <c r="AA5" s="60" t="n">
        <f aca="false">+O5*$D5</f>
        <v>0</v>
      </c>
      <c r="AB5" s="60" t="n">
        <f aca="false">+P5*$D5</f>
        <v>0</v>
      </c>
      <c r="AC5" s="60" t="n">
        <f aca="false">+Q5*$D5</f>
        <v>0</v>
      </c>
      <c r="AD5" s="60" t="n">
        <f aca="false">+R5*$D5</f>
        <v>0</v>
      </c>
      <c r="AE5" s="60" t="n">
        <f aca="false">+S5*$D5</f>
        <v>0</v>
      </c>
      <c r="AF5" s="60" t="n">
        <f aca="false">+T5*$D5</f>
        <v>0</v>
      </c>
      <c r="AG5" s="60" t="n">
        <f aca="false">+U5*$D5</f>
        <v>0</v>
      </c>
    </row>
    <row r="6" customFormat="false" ht="12.75" hidden="false" customHeight="false" outlineLevel="0" collapsed="false">
      <c r="A6" s="83" t="s">
        <v>28</v>
      </c>
      <c r="B6" s="22" t="s">
        <v>51</v>
      </c>
      <c r="C6" s="71" t="n">
        <v>27334</v>
      </c>
      <c r="D6" s="62" t="n">
        <v>14000</v>
      </c>
      <c r="E6" s="84" t="s">
        <v>127</v>
      </c>
      <c r="F6" s="63" t="n">
        <v>0.0407</v>
      </c>
      <c r="G6" s="63" t="n">
        <v>0.0093</v>
      </c>
      <c r="H6" s="85" t="n">
        <f aca="false">+G6+F6</f>
        <v>0.05</v>
      </c>
      <c r="I6" s="86" t="n">
        <v>36982</v>
      </c>
      <c r="J6" s="87" t="n">
        <v>37195</v>
      </c>
      <c r="K6" s="0" t="n">
        <v>0</v>
      </c>
      <c r="L6" s="0" t="n">
        <v>214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W6" s="60" t="n">
        <f aca="false">+K6*$D6</f>
        <v>0</v>
      </c>
      <c r="X6" s="60" t="n">
        <f aca="false">+L6*$D6</f>
        <v>2996000</v>
      </c>
      <c r="Y6" s="60" t="n">
        <f aca="false">+M6*$D6</f>
        <v>0</v>
      </c>
      <c r="Z6" s="60" t="n">
        <f aca="false">+N6*$D6</f>
        <v>0</v>
      </c>
      <c r="AA6" s="60" t="n">
        <f aca="false">+O6*$D6</f>
        <v>0</v>
      </c>
      <c r="AB6" s="60" t="n">
        <f aca="false">+P6*$D6</f>
        <v>0</v>
      </c>
      <c r="AC6" s="60" t="n">
        <f aca="false">+Q6*$D6</f>
        <v>0</v>
      </c>
      <c r="AD6" s="60" t="n">
        <f aca="false">+R6*$D6</f>
        <v>0</v>
      </c>
      <c r="AE6" s="60" t="n">
        <f aca="false">+S6*$D6</f>
        <v>0</v>
      </c>
      <c r="AF6" s="60" t="n">
        <f aca="false">+T6*$D6</f>
        <v>0</v>
      </c>
      <c r="AG6" s="60" t="n">
        <f aca="false">+U6*$D6</f>
        <v>0</v>
      </c>
    </row>
    <row r="7" customFormat="false" ht="12.75" hidden="false" customHeight="false" outlineLevel="0" collapsed="false">
      <c r="A7" s="88" t="s">
        <v>28</v>
      </c>
      <c r="B7" s="19" t="s">
        <v>31</v>
      </c>
      <c r="C7" s="71" t="n">
        <v>27495</v>
      </c>
      <c r="D7" s="90" t="n">
        <v>50000</v>
      </c>
      <c r="E7" s="84" t="s">
        <v>129</v>
      </c>
      <c r="F7" s="91" t="n">
        <v>0.0325</v>
      </c>
      <c r="G7" s="91"/>
      <c r="H7" s="85" t="n">
        <f aca="false">+G7+F7</f>
        <v>0.0325</v>
      </c>
      <c r="I7" s="23" t="n">
        <v>36951</v>
      </c>
      <c r="J7" s="87" t="n">
        <v>37711</v>
      </c>
      <c r="K7" s="0" t="n">
        <v>0</v>
      </c>
      <c r="L7" s="0" t="n">
        <v>306</v>
      </c>
      <c r="M7" s="0" t="n">
        <v>365</v>
      </c>
      <c r="N7" s="0" t="n">
        <v>90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W7" s="60" t="n">
        <f aca="false">+K7*$D7</f>
        <v>0</v>
      </c>
      <c r="X7" s="60" t="n">
        <f aca="false">+L7*$D7</f>
        <v>15300000</v>
      </c>
      <c r="Y7" s="60" t="n">
        <f aca="false">+M7*$D7</f>
        <v>18250000</v>
      </c>
      <c r="Z7" s="60" t="n">
        <f aca="false">+N7*$D7</f>
        <v>4500000</v>
      </c>
      <c r="AA7" s="60" t="n">
        <f aca="false">+O7*$D7</f>
        <v>0</v>
      </c>
      <c r="AB7" s="60" t="n">
        <f aca="false">+P7*$D7</f>
        <v>0</v>
      </c>
      <c r="AC7" s="60" t="n">
        <f aca="false">+Q7*$D7</f>
        <v>0</v>
      </c>
      <c r="AD7" s="60" t="n">
        <f aca="false">+R7*$D7</f>
        <v>0</v>
      </c>
      <c r="AE7" s="60" t="n">
        <f aca="false">+S7*$D7</f>
        <v>0</v>
      </c>
      <c r="AF7" s="60" t="n">
        <f aca="false">+T7*$D7</f>
        <v>0</v>
      </c>
      <c r="AG7" s="60" t="n">
        <f aca="false">+U7*$D7</f>
        <v>0</v>
      </c>
    </row>
    <row r="8" customFormat="false" ht="12.75" hidden="false" customHeight="false" outlineLevel="0" collapsed="false">
      <c r="A8" s="88" t="s">
        <v>28</v>
      </c>
      <c r="B8" s="19" t="s">
        <v>32</v>
      </c>
      <c r="C8" s="71" t="n">
        <v>27600</v>
      </c>
      <c r="D8" s="90" t="n">
        <v>2500</v>
      </c>
      <c r="E8" s="84" t="s">
        <v>127</v>
      </c>
      <c r="F8" s="91" t="n">
        <v>0.0807</v>
      </c>
      <c r="G8" s="91" t="n">
        <v>0.0093</v>
      </c>
      <c r="H8" s="85" t="n">
        <f aca="false">+G8+F8</f>
        <v>0.09</v>
      </c>
      <c r="I8" s="23" t="n">
        <v>37043</v>
      </c>
      <c r="J8" s="87" t="n">
        <v>37407</v>
      </c>
      <c r="K8" s="0" t="n">
        <v>0</v>
      </c>
      <c r="L8" s="0" t="n">
        <v>214</v>
      </c>
      <c r="M8" s="0" t="n">
        <v>151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W8" s="60" t="n">
        <f aca="false">+K8*$D8</f>
        <v>0</v>
      </c>
      <c r="X8" s="60" t="n">
        <f aca="false">+L8*$D8</f>
        <v>535000</v>
      </c>
      <c r="Y8" s="60" t="n">
        <f aca="false">+M8*$D8</f>
        <v>377500</v>
      </c>
      <c r="Z8" s="60" t="n">
        <f aca="false">+N8*$D8</f>
        <v>0</v>
      </c>
      <c r="AA8" s="60" t="n">
        <f aca="false">+O8*$D8</f>
        <v>0</v>
      </c>
      <c r="AB8" s="60" t="n">
        <f aca="false">+P8*$D8</f>
        <v>0</v>
      </c>
      <c r="AC8" s="60" t="n">
        <f aca="false">+Q8*$D8</f>
        <v>0</v>
      </c>
      <c r="AD8" s="60" t="n">
        <f aca="false">+R8*$D8</f>
        <v>0</v>
      </c>
      <c r="AE8" s="60" t="n">
        <f aca="false">+S8*$D8</f>
        <v>0</v>
      </c>
      <c r="AF8" s="60" t="n">
        <f aca="false">+T8*$D8</f>
        <v>0</v>
      </c>
      <c r="AG8" s="60" t="n">
        <f aca="false">+U8*$D8</f>
        <v>0</v>
      </c>
    </row>
    <row r="9" customFormat="false" ht="12.75" hidden="false" customHeight="false" outlineLevel="0" collapsed="false">
      <c r="A9" s="92" t="s">
        <v>28</v>
      </c>
      <c r="B9" s="19" t="s">
        <v>33</v>
      </c>
      <c r="C9" s="71" t="n">
        <v>25025</v>
      </c>
      <c r="D9" s="90" t="n">
        <v>80000</v>
      </c>
      <c r="E9" s="84" t="s">
        <v>127</v>
      </c>
      <c r="F9" s="91" t="n">
        <f aca="false">0.1346-0.102</f>
        <v>0.0326</v>
      </c>
      <c r="G9" s="91" t="n">
        <f aca="false">0.0104-0.0011</f>
        <v>0.0093</v>
      </c>
      <c r="H9" s="85" t="n">
        <f aca="false">+G9+F9</f>
        <v>0.0419</v>
      </c>
      <c r="J9" s="87" t="n">
        <v>39051</v>
      </c>
      <c r="K9" s="0" t="n">
        <v>366</v>
      </c>
      <c r="L9" s="0" t="n">
        <v>365</v>
      </c>
      <c r="M9" s="0" t="n">
        <v>365</v>
      </c>
      <c r="N9" s="0" t="n">
        <v>365</v>
      </c>
      <c r="O9" s="0" t="n">
        <v>366</v>
      </c>
      <c r="P9" s="0" t="n">
        <v>365</v>
      </c>
      <c r="Q9" s="0" t="n">
        <v>334</v>
      </c>
      <c r="R9" s="0" t="n">
        <v>0</v>
      </c>
      <c r="S9" s="0" t="n">
        <v>0</v>
      </c>
      <c r="T9" s="0" t="n">
        <v>0</v>
      </c>
      <c r="U9" s="0" t="n">
        <v>0</v>
      </c>
      <c r="W9" s="60" t="n">
        <f aca="false">+K9*$D9</f>
        <v>29280000</v>
      </c>
      <c r="X9" s="60" t="n">
        <f aca="false">+L9*$D9</f>
        <v>29200000</v>
      </c>
      <c r="Y9" s="60" t="n">
        <f aca="false">+M9*$D9</f>
        <v>29200000</v>
      </c>
      <c r="Z9" s="60" t="n">
        <f aca="false">+N9*$D9</f>
        <v>29200000</v>
      </c>
      <c r="AA9" s="60" t="n">
        <f aca="false">+O9*$D9</f>
        <v>29280000</v>
      </c>
      <c r="AB9" s="60" t="n">
        <f aca="false">+P9*$D9</f>
        <v>29200000</v>
      </c>
      <c r="AC9" s="60" t="n">
        <f aca="false">+Q9*$D9</f>
        <v>26720000</v>
      </c>
      <c r="AD9" s="60" t="n">
        <f aca="false">+R9*$D9</f>
        <v>0</v>
      </c>
      <c r="AE9" s="60" t="n">
        <f aca="false">+S9*$D9</f>
        <v>0</v>
      </c>
      <c r="AF9" s="60" t="n">
        <f aca="false">+T9*$D9</f>
        <v>0</v>
      </c>
      <c r="AG9" s="60" t="n">
        <f aca="false">+U9*$D9</f>
        <v>0</v>
      </c>
    </row>
    <row r="10" customFormat="false" ht="12.75" hidden="false" customHeight="false" outlineLevel="0" collapsed="false">
      <c r="A10" s="88" t="s">
        <v>28</v>
      </c>
      <c r="B10" s="26" t="s">
        <v>33</v>
      </c>
      <c r="C10" s="71" t="n">
        <v>25031</v>
      </c>
      <c r="D10" s="90" t="n">
        <v>0</v>
      </c>
      <c r="E10" s="84" t="s">
        <v>127</v>
      </c>
      <c r="F10" s="91" t="n">
        <v>0.102</v>
      </c>
      <c r="G10" s="91" t="n">
        <v>0.0011</v>
      </c>
      <c r="H10" s="85" t="n">
        <f aca="false">+G10+F10</f>
        <v>0.1031</v>
      </c>
      <c r="I10" s="23" t="n">
        <v>35400</v>
      </c>
      <c r="J10" s="87" t="n">
        <v>39051</v>
      </c>
      <c r="K10" s="0" t="n">
        <v>366</v>
      </c>
      <c r="L10" s="0" t="n">
        <v>365</v>
      </c>
      <c r="M10" s="0" t="n">
        <v>365</v>
      </c>
      <c r="N10" s="0" t="n">
        <v>365</v>
      </c>
      <c r="O10" s="0" t="n">
        <v>366</v>
      </c>
      <c r="P10" s="0" t="n">
        <v>365</v>
      </c>
      <c r="Q10" s="0" t="n">
        <v>334</v>
      </c>
      <c r="R10" s="0" t="n">
        <v>0</v>
      </c>
      <c r="S10" s="0" t="n">
        <v>0</v>
      </c>
      <c r="T10" s="0" t="n">
        <v>0</v>
      </c>
      <c r="U10" s="0" t="n">
        <v>0</v>
      </c>
      <c r="W10" s="60" t="n">
        <f aca="false">+K10*$D10</f>
        <v>0</v>
      </c>
      <c r="X10" s="60" t="n">
        <f aca="false">+L10*$D10</f>
        <v>0</v>
      </c>
      <c r="Y10" s="60" t="n">
        <f aca="false">+M10*$D10</f>
        <v>0</v>
      </c>
      <c r="Z10" s="60" t="n">
        <f aca="false">+N10*$D10</f>
        <v>0</v>
      </c>
      <c r="AA10" s="60" t="n">
        <f aca="false">+O10*$D10</f>
        <v>0</v>
      </c>
      <c r="AB10" s="60" t="n">
        <f aca="false">+P10*$D10</f>
        <v>0</v>
      </c>
      <c r="AC10" s="60" t="n">
        <f aca="false">+Q10*$D10</f>
        <v>0</v>
      </c>
      <c r="AD10" s="60" t="n">
        <f aca="false">+R10*$D10</f>
        <v>0</v>
      </c>
      <c r="AE10" s="60" t="n">
        <f aca="false">+S10*$D10</f>
        <v>0</v>
      </c>
      <c r="AF10" s="60" t="n">
        <f aca="false">+T10*$D10</f>
        <v>0</v>
      </c>
      <c r="AG10" s="60" t="n">
        <f aca="false">+U10*$D10</f>
        <v>0</v>
      </c>
    </row>
    <row r="11" customFormat="false" ht="12.75" hidden="false" customHeight="false" outlineLevel="0" collapsed="false">
      <c r="A11" s="83" t="s">
        <v>28</v>
      </c>
      <c r="B11" s="22" t="s">
        <v>35</v>
      </c>
      <c r="C11" s="71" t="n">
        <v>25838</v>
      </c>
      <c r="D11" s="62" t="n">
        <v>10475</v>
      </c>
      <c r="E11" s="84" t="s">
        <v>127</v>
      </c>
      <c r="F11" s="63" t="n">
        <v>0.0107</v>
      </c>
      <c r="G11" s="63" t="n">
        <v>0.0093</v>
      </c>
      <c r="H11" s="85" t="n">
        <f aca="false">+G11+F11</f>
        <v>0.02</v>
      </c>
      <c r="I11" s="86"/>
      <c r="J11" s="87" t="n">
        <v>36556</v>
      </c>
      <c r="K11" s="0" t="n">
        <v>31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W11" s="60" t="n">
        <f aca="false">+K11*$D11</f>
        <v>324725</v>
      </c>
      <c r="X11" s="60" t="n">
        <f aca="false">+L11*$D11</f>
        <v>0</v>
      </c>
      <c r="Y11" s="60" t="n">
        <f aca="false">+M11*$D11</f>
        <v>0</v>
      </c>
      <c r="Z11" s="60" t="n">
        <f aca="false">+N11*$D11</f>
        <v>0</v>
      </c>
      <c r="AA11" s="60" t="n">
        <f aca="false">+O11*$D11</f>
        <v>0</v>
      </c>
      <c r="AB11" s="60" t="n">
        <f aca="false">+P11*$D11</f>
        <v>0</v>
      </c>
      <c r="AC11" s="60" t="n">
        <f aca="false">+Q11*$D11</f>
        <v>0</v>
      </c>
      <c r="AD11" s="60" t="n">
        <f aca="false">+R11*$D11</f>
        <v>0</v>
      </c>
      <c r="AE11" s="60" t="n">
        <f aca="false">+S11*$D11</f>
        <v>0</v>
      </c>
      <c r="AF11" s="60" t="n">
        <f aca="false">+T11*$D11</f>
        <v>0</v>
      </c>
      <c r="AG11" s="60" t="n">
        <f aca="false">+U11*$D11</f>
        <v>0</v>
      </c>
    </row>
    <row r="12" customFormat="false" ht="12.75" hidden="false" customHeight="false" outlineLevel="0" collapsed="false">
      <c r="A12" s="83" t="s">
        <v>28</v>
      </c>
      <c r="B12" s="22" t="s">
        <v>35</v>
      </c>
      <c r="C12" s="71" t="n">
        <v>26758</v>
      </c>
      <c r="D12" s="62" t="n">
        <v>40000</v>
      </c>
      <c r="E12" s="84" t="s">
        <v>127</v>
      </c>
      <c r="F12" s="63" t="n">
        <v>0.0107</v>
      </c>
      <c r="G12" s="63" t="n">
        <v>0.0093</v>
      </c>
      <c r="H12" s="85" t="n">
        <f aca="false">+G12+F12</f>
        <v>0.02</v>
      </c>
      <c r="I12" s="86" t="n">
        <v>36647</v>
      </c>
      <c r="J12" s="87" t="n">
        <v>38472</v>
      </c>
      <c r="K12" s="0" t="n">
        <v>245</v>
      </c>
      <c r="L12" s="0" t="n">
        <v>365</v>
      </c>
      <c r="M12" s="0" t="n">
        <v>365</v>
      </c>
      <c r="N12" s="0" t="n">
        <v>365</v>
      </c>
      <c r="O12" s="0" t="n">
        <v>366</v>
      </c>
      <c r="P12" s="0" t="n">
        <v>120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W12" s="60" t="n">
        <f aca="false">+K12*$D12</f>
        <v>9800000</v>
      </c>
      <c r="X12" s="60" t="n">
        <f aca="false">+L12*$D12</f>
        <v>14600000</v>
      </c>
      <c r="Y12" s="60" t="n">
        <f aca="false">+M12*$D12</f>
        <v>14600000</v>
      </c>
      <c r="Z12" s="60" t="n">
        <f aca="false">+N12*$D12</f>
        <v>14600000</v>
      </c>
      <c r="AA12" s="60" t="n">
        <f aca="false">+O12*$D12</f>
        <v>14640000</v>
      </c>
      <c r="AB12" s="60" t="n">
        <f aca="false">+P12*$D12</f>
        <v>4800000</v>
      </c>
      <c r="AC12" s="60" t="n">
        <f aca="false">+Q12*$D12</f>
        <v>0</v>
      </c>
      <c r="AD12" s="60" t="n">
        <f aca="false">+R12*$D12</f>
        <v>0</v>
      </c>
      <c r="AE12" s="60" t="n">
        <f aca="false">+S12*$D12</f>
        <v>0</v>
      </c>
      <c r="AF12" s="60" t="n">
        <f aca="false">+T12*$D12</f>
        <v>0</v>
      </c>
      <c r="AG12" s="60" t="n">
        <f aca="false">+U12*$D12</f>
        <v>0</v>
      </c>
    </row>
    <row r="13" customFormat="false" ht="12.75" hidden="false" customHeight="false" outlineLevel="0" collapsed="false">
      <c r="A13" s="88" t="s">
        <v>28</v>
      </c>
      <c r="B13" s="22" t="s">
        <v>35</v>
      </c>
      <c r="C13" s="71" t="n">
        <v>27291</v>
      </c>
      <c r="D13" s="90" t="n">
        <v>20000</v>
      </c>
      <c r="E13" s="84" t="s">
        <v>127</v>
      </c>
      <c r="F13" s="91" t="n">
        <v>0.0107</v>
      </c>
      <c r="G13" s="91" t="n">
        <v>0.0093</v>
      </c>
      <c r="H13" s="85" t="n">
        <f aca="false">+G13+F13</f>
        <v>0.02</v>
      </c>
      <c r="I13" s="23" t="n">
        <v>36739</v>
      </c>
      <c r="J13" s="87" t="n">
        <v>37468</v>
      </c>
      <c r="K13" s="0" t="n">
        <v>153</v>
      </c>
      <c r="L13" s="0" t="n">
        <v>365</v>
      </c>
      <c r="M13" s="0" t="n">
        <v>212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W13" s="60" t="n">
        <f aca="false">+K13*$D13</f>
        <v>3060000</v>
      </c>
      <c r="X13" s="60" t="n">
        <f aca="false">+L13*$D13</f>
        <v>7300000</v>
      </c>
      <c r="Y13" s="60" t="n">
        <f aca="false">+M13*$D13</f>
        <v>4240000</v>
      </c>
      <c r="Z13" s="60" t="n">
        <f aca="false">+N13*$D13</f>
        <v>0</v>
      </c>
      <c r="AA13" s="60" t="n">
        <f aca="false">+O13*$D13</f>
        <v>0</v>
      </c>
      <c r="AB13" s="60" t="n">
        <f aca="false">+P13*$D13</f>
        <v>0</v>
      </c>
      <c r="AC13" s="60" t="n">
        <f aca="false">+Q13*$D13</f>
        <v>0</v>
      </c>
      <c r="AD13" s="60" t="n">
        <f aca="false">+R13*$D13</f>
        <v>0</v>
      </c>
      <c r="AE13" s="60" t="n">
        <f aca="false">+S13*$D13</f>
        <v>0</v>
      </c>
      <c r="AF13" s="60" t="n">
        <f aca="false">+T13*$D13</f>
        <v>0</v>
      </c>
      <c r="AG13" s="60" t="n">
        <f aca="false">+U13*$D13</f>
        <v>0</v>
      </c>
    </row>
    <row r="14" customFormat="false" ht="12.75" hidden="false" customHeight="false" outlineLevel="0" collapsed="false">
      <c r="A14" s="88" t="s">
        <v>28</v>
      </c>
      <c r="B14" s="19" t="s">
        <v>35</v>
      </c>
      <c r="C14" s="71" t="n">
        <v>27349</v>
      </c>
      <c r="D14" s="90" t="n">
        <v>20000</v>
      </c>
      <c r="E14" s="84" t="s">
        <v>127</v>
      </c>
      <c r="F14" s="91" t="n">
        <v>0.0407</v>
      </c>
      <c r="G14" s="91" t="n">
        <v>0.0093</v>
      </c>
      <c r="H14" s="85" t="n">
        <f aca="false">+G14+F14</f>
        <v>0.05</v>
      </c>
      <c r="I14" s="23" t="n">
        <v>36892</v>
      </c>
      <c r="J14" s="87" t="n">
        <v>38717</v>
      </c>
      <c r="K14" s="0" t="n">
        <v>0</v>
      </c>
      <c r="L14" s="0" t="n">
        <v>365</v>
      </c>
      <c r="M14" s="0" t="n">
        <v>365</v>
      </c>
      <c r="N14" s="0" t="n">
        <v>365</v>
      </c>
      <c r="O14" s="0" t="n">
        <v>366</v>
      </c>
      <c r="P14" s="0" t="n">
        <v>365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W14" s="60" t="n">
        <f aca="false">+K14*$D14</f>
        <v>0</v>
      </c>
      <c r="X14" s="60" t="n">
        <f aca="false">+L14*$D14</f>
        <v>7300000</v>
      </c>
      <c r="Y14" s="60" t="n">
        <f aca="false">+M14*$D14</f>
        <v>7300000</v>
      </c>
      <c r="Z14" s="60" t="n">
        <f aca="false">+N14*$D14</f>
        <v>7300000</v>
      </c>
      <c r="AA14" s="60" t="n">
        <f aca="false">+O14*$D14</f>
        <v>7320000</v>
      </c>
      <c r="AB14" s="60" t="n">
        <f aca="false">+P14*$D14</f>
        <v>7300000</v>
      </c>
      <c r="AC14" s="60" t="n">
        <f aca="false">+Q14*$D14</f>
        <v>0</v>
      </c>
      <c r="AD14" s="60" t="n">
        <f aca="false">+R14*$D14</f>
        <v>0</v>
      </c>
      <c r="AE14" s="60" t="n">
        <f aca="false">+S14*$D14</f>
        <v>0</v>
      </c>
      <c r="AF14" s="60" t="n">
        <f aca="false">+T14*$D14</f>
        <v>0</v>
      </c>
      <c r="AG14" s="60" t="n">
        <f aca="false">+U14*$D14</f>
        <v>0</v>
      </c>
    </row>
    <row r="15" customFormat="false" ht="12.75" hidden="false" customHeight="false" outlineLevel="0" collapsed="false">
      <c r="A15" s="88" t="s">
        <v>28</v>
      </c>
      <c r="B15" s="19" t="s">
        <v>35</v>
      </c>
      <c r="C15" s="71" t="n">
        <v>27579</v>
      </c>
      <c r="D15" s="90" t="n">
        <v>20000</v>
      </c>
      <c r="E15" s="84" t="s">
        <v>127</v>
      </c>
      <c r="F15" s="91" t="n">
        <v>0.0507</v>
      </c>
      <c r="G15" s="91" t="n">
        <v>0.0093</v>
      </c>
      <c r="H15" s="85" t="n">
        <f aca="false">+G15+F15</f>
        <v>0.06</v>
      </c>
      <c r="I15" s="23" t="n">
        <v>37012</v>
      </c>
      <c r="J15" s="87" t="n">
        <v>37407</v>
      </c>
      <c r="K15" s="0" t="n">
        <v>0</v>
      </c>
      <c r="L15" s="0" t="n">
        <v>245</v>
      </c>
      <c r="M15" s="0" t="n">
        <v>151</v>
      </c>
      <c r="N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W15" s="60" t="n">
        <f aca="false">+K15*$D15</f>
        <v>0</v>
      </c>
      <c r="X15" s="60" t="n">
        <f aca="false">+L15*$D15</f>
        <v>4900000</v>
      </c>
      <c r="Y15" s="60" t="n">
        <f aca="false">+M15*$D15</f>
        <v>3020000</v>
      </c>
      <c r="Z15" s="60" t="n">
        <f aca="false">+N15*$D15</f>
        <v>0</v>
      </c>
      <c r="AA15" s="60" t="n">
        <f aca="false">+O15*$D15</f>
        <v>0</v>
      </c>
      <c r="AB15" s="60" t="n">
        <f aca="false">+P15*$D15</f>
        <v>0</v>
      </c>
      <c r="AC15" s="60" t="n">
        <f aca="false">+Q15*$D15</f>
        <v>0</v>
      </c>
      <c r="AD15" s="60" t="n">
        <f aca="false">+R15*$D15</f>
        <v>0</v>
      </c>
      <c r="AE15" s="60" t="n">
        <f aca="false">+S15*$D15</f>
        <v>0</v>
      </c>
      <c r="AF15" s="60" t="n">
        <f aca="false">+T15*$D15</f>
        <v>0</v>
      </c>
      <c r="AG15" s="60" t="n">
        <f aca="false">+U15*$D15</f>
        <v>0</v>
      </c>
    </row>
    <row r="16" customFormat="false" ht="12.75" hidden="false" customHeight="false" outlineLevel="0" collapsed="false">
      <c r="A16" s="88" t="s">
        <v>28</v>
      </c>
      <c r="B16" s="26" t="s">
        <v>36</v>
      </c>
      <c r="C16" s="71" t="n">
        <v>24754</v>
      </c>
      <c r="D16" s="90" t="n">
        <v>1000</v>
      </c>
      <c r="E16" s="84" t="s">
        <v>130</v>
      </c>
      <c r="F16" s="91" t="n">
        <v>0.0907</v>
      </c>
      <c r="G16" s="91" t="n">
        <v>0.0093</v>
      </c>
      <c r="H16" s="85" t="n">
        <f aca="false">+G16+F16</f>
        <v>0.1</v>
      </c>
      <c r="I16" s="23" t="s">
        <v>37</v>
      </c>
      <c r="J16" s="87" t="n">
        <v>38472</v>
      </c>
      <c r="K16" s="0" t="n">
        <v>366</v>
      </c>
      <c r="L16" s="0" t="n">
        <v>365</v>
      </c>
      <c r="M16" s="0" t="n">
        <v>365</v>
      </c>
      <c r="N16" s="0" t="n">
        <v>365</v>
      </c>
      <c r="O16" s="0" t="n">
        <v>366</v>
      </c>
      <c r="P16" s="0" t="n">
        <v>120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W16" s="60" t="n">
        <f aca="false">+K16*$D16</f>
        <v>366000</v>
      </c>
      <c r="X16" s="60" t="n">
        <f aca="false">+L16*$D16</f>
        <v>365000</v>
      </c>
      <c r="Y16" s="60" t="n">
        <f aca="false">+M16*$D16</f>
        <v>365000</v>
      </c>
      <c r="Z16" s="60" t="n">
        <f aca="false">+N16*$D16</f>
        <v>365000</v>
      </c>
      <c r="AA16" s="60" t="n">
        <f aca="false">+O16*$D16</f>
        <v>366000</v>
      </c>
      <c r="AB16" s="60" t="n">
        <f aca="false">+P16*$D16</f>
        <v>120000</v>
      </c>
      <c r="AC16" s="60" t="n">
        <f aca="false">+Q16*$D16</f>
        <v>0</v>
      </c>
      <c r="AD16" s="60" t="n">
        <f aca="false">+R16*$D16</f>
        <v>0</v>
      </c>
      <c r="AE16" s="60" t="n">
        <f aca="false">+S16*$D16</f>
        <v>0</v>
      </c>
      <c r="AF16" s="60" t="n">
        <f aca="false">+T16*$D16</f>
        <v>0</v>
      </c>
      <c r="AG16" s="60" t="n">
        <f aca="false">+U16*$D16</f>
        <v>0</v>
      </c>
    </row>
    <row r="17" customFormat="false" ht="12.75" hidden="false" customHeight="false" outlineLevel="0" collapsed="false">
      <c r="A17" s="93" t="s">
        <v>28</v>
      </c>
      <c r="B17" s="19" t="s">
        <v>38</v>
      </c>
      <c r="C17" s="71" t="n">
        <v>24654</v>
      </c>
      <c r="D17" s="90" t="n">
        <v>8000</v>
      </c>
      <c r="E17" s="84" t="s">
        <v>127</v>
      </c>
      <c r="F17" s="91" t="n">
        <v>0.035</v>
      </c>
      <c r="G17" s="91" t="n">
        <v>0.0093</v>
      </c>
      <c r="H17" s="85" t="n">
        <f aca="false">+G17+F17</f>
        <v>0.0443</v>
      </c>
      <c r="J17" s="87" t="n">
        <v>37256</v>
      </c>
      <c r="K17" s="0" t="n">
        <v>366</v>
      </c>
      <c r="L17" s="0" t="n">
        <v>365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W17" s="60" t="n">
        <f aca="false">+K17*$D17</f>
        <v>2928000</v>
      </c>
      <c r="X17" s="60" t="n">
        <f aca="false">+L17*$D17</f>
        <v>2920000</v>
      </c>
      <c r="Y17" s="60" t="n">
        <f aca="false">+M17*$D17</f>
        <v>0</v>
      </c>
      <c r="Z17" s="60" t="n">
        <f aca="false">+N17*$D17</f>
        <v>0</v>
      </c>
      <c r="AA17" s="60" t="n">
        <f aca="false">+O17*$D17</f>
        <v>0</v>
      </c>
      <c r="AB17" s="60" t="n">
        <f aca="false">+P17*$D17</f>
        <v>0</v>
      </c>
      <c r="AC17" s="60" t="n">
        <f aca="false">+Q17*$D17</f>
        <v>0</v>
      </c>
      <c r="AD17" s="60" t="n">
        <f aca="false">+R17*$D17</f>
        <v>0</v>
      </c>
      <c r="AE17" s="60" t="n">
        <f aca="false">+S17*$D17</f>
        <v>0</v>
      </c>
      <c r="AF17" s="60" t="n">
        <f aca="false">+T17*$D17</f>
        <v>0</v>
      </c>
      <c r="AG17" s="60" t="n">
        <f aca="false">+U17*$D17</f>
        <v>0</v>
      </c>
    </row>
    <row r="18" customFormat="false" ht="12.75" hidden="false" customHeight="false" outlineLevel="0" collapsed="false">
      <c r="A18" s="88" t="s">
        <v>28</v>
      </c>
      <c r="B18" s="26" t="s">
        <v>38</v>
      </c>
      <c r="C18" s="71" t="n">
        <v>26740</v>
      </c>
      <c r="D18" s="90" t="n">
        <v>8000</v>
      </c>
      <c r="E18" s="84" t="s">
        <v>127</v>
      </c>
      <c r="F18" s="91" t="n">
        <v>0.0407</v>
      </c>
      <c r="G18" s="91" t="n">
        <v>0.0093</v>
      </c>
      <c r="H18" s="85" t="n">
        <f aca="false">+G18+F18</f>
        <v>0.05</v>
      </c>
      <c r="I18" s="23" t="n">
        <v>36312</v>
      </c>
      <c r="J18" s="87" t="n">
        <v>39113</v>
      </c>
      <c r="K18" s="0" t="n">
        <v>366</v>
      </c>
      <c r="L18" s="0" t="n">
        <v>365</v>
      </c>
      <c r="M18" s="0" t="n">
        <v>365</v>
      </c>
      <c r="N18" s="0" t="n">
        <v>365</v>
      </c>
      <c r="O18" s="0" t="n">
        <v>366</v>
      </c>
      <c r="P18" s="0" t="n">
        <v>365</v>
      </c>
      <c r="Q18" s="0" t="n">
        <v>365</v>
      </c>
      <c r="R18" s="0" t="n">
        <v>31</v>
      </c>
      <c r="S18" s="0" t="n">
        <v>0</v>
      </c>
      <c r="T18" s="0" t="n">
        <v>0</v>
      </c>
      <c r="U18" s="0" t="n">
        <v>0</v>
      </c>
      <c r="W18" s="60" t="n">
        <f aca="false">+K18*$D18</f>
        <v>2928000</v>
      </c>
      <c r="X18" s="60" t="n">
        <f aca="false">+L18*$D18</f>
        <v>2920000</v>
      </c>
      <c r="Y18" s="60" t="n">
        <f aca="false">+M18*$D18</f>
        <v>2920000</v>
      </c>
      <c r="Z18" s="60" t="n">
        <f aca="false">+N18*$D18</f>
        <v>2920000</v>
      </c>
      <c r="AA18" s="60" t="n">
        <f aca="false">+O18*$D18</f>
        <v>2928000</v>
      </c>
      <c r="AB18" s="60" t="n">
        <f aca="false">+P18*$D18</f>
        <v>2920000</v>
      </c>
      <c r="AC18" s="60" t="n">
        <f aca="false">+Q18*$D18</f>
        <v>2920000</v>
      </c>
      <c r="AD18" s="60" t="n">
        <f aca="false">+R18*$D18</f>
        <v>248000</v>
      </c>
      <c r="AE18" s="60" t="n">
        <f aca="false">+S18*$D18</f>
        <v>0</v>
      </c>
      <c r="AF18" s="60" t="n">
        <f aca="false">+T18*$D18</f>
        <v>0</v>
      </c>
      <c r="AG18" s="60" t="n">
        <f aca="false">+U18*$D18</f>
        <v>0</v>
      </c>
    </row>
    <row r="19" customFormat="false" ht="12.75" hidden="false" customHeight="false" outlineLevel="0" collapsed="false">
      <c r="A19" s="93" t="s">
        <v>28</v>
      </c>
      <c r="B19" s="19" t="s">
        <v>39</v>
      </c>
      <c r="C19" s="71" t="n">
        <v>24568</v>
      </c>
      <c r="D19" s="90" t="n">
        <v>32000</v>
      </c>
      <c r="E19" s="84" t="s">
        <v>127</v>
      </c>
      <c r="F19" s="91" t="n">
        <v>0.035</v>
      </c>
      <c r="G19" s="91" t="n">
        <v>0.0093</v>
      </c>
      <c r="H19" s="85" t="n">
        <f aca="false">+G19+F19</f>
        <v>0.0443</v>
      </c>
      <c r="J19" s="87" t="n">
        <v>37256</v>
      </c>
      <c r="K19" s="0" t="n">
        <v>366</v>
      </c>
      <c r="L19" s="0" t="n">
        <v>365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W19" s="60" t="n">
        <f aca="false">+K19*$D19</f>
        <v>11712000</v>
      </c>
      <c r="X19" s="60" t="n">
        <f aca="false">+L19*$D19</f>
        <v>11680000</v>
      </c>
      <c r="Y19" s="60" t="n">
        <f aca="false">+M19*$D19</f>
        <v>0</v>
      </c>
      <c r="Z19" s="60" t="n">
        <f aca="false">+N19*$D19</f>
        <v>0</v>
      </c>
      <c r="AA19" s="60" t="n">
        <f aca="false">+O19*$D19</f>
        <v>0</v>
      </c>
      <c r="AB19" s="60" t="n">
        <f aca="false">+P19*$D19</f>
        <v>0</v>
      </c>
      <c r="AC19" s="60" t="n">
        <f aca="false">+Q19*$D19</f>
        <v>0</v>
      </c>
      <c r="AD19" s="60" t="n">
        <f aca="false">+R19*$D19</f>
        <v>0</v>
      </c>
      <c r="AE19" s="60" t="n">
        <f aca="false">+S19*$D19</f>
        <v>0</v>
      </c>
      <c r="AF19" s="60" t="n">
        <f aca="false">+T19*$D19</f>
        <v>0</v>
      </c>
      <c r="AG19" s="60" t="n">
        <f aca="false">+U19*$D19</f>
        <v>0</v>
      </c>
    </row>
    <row r="20" customFormat="false" ht="12.75" hidden="false" customHeight="false" outlineLevel="0" collapsed="false">
      <c r="A20" s="83" t="s">
        <v>28</v>
      </c>
      <c r="B20" s="22" t="s">
        <v>52</v>
      </c>
      <c r="C20" s="71" t="n">
        <v>25847</v>
      </c>
      <c r="D20" s="62" t="n">
        <v>20000</v>
      </c>
      <c r="E20" s="84" t="s">
        <v>127</v>
      </c>
      <c r="F20" s="63" t="n">
        <v>0.0407</v>
      </c>
      <c r="G20" s="63" t="n">
        <v>0.0093</v>
      </c>
      <c r="H20" s="85" t="n">
        <f aca="false">+G20+F20</f>
        <v>0.05</v>
      </c>
      <c r="I20" s="86"/>
      <c r="J20" s="87" t="n">
        <v>36556</v>
      </c>
      <c r="K20" s="0" t="n">
        <v>31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W20" s="60" t="n">
        <f aca="false">+K20*$D20</f>
        <v>620000</v>
      </c>
      <c r="X20" s="60" t="n">
        <f aca="false">+L20*$D20</f>
        <v>0</v>
      </c>
      <c r="Y20" s="60" t="n">
        <f aca="false">+M20*$D20</f>
        <v>0</v>
      </c>
      <c r="Z20" s="60" t="n">
        <f aca="false">+N20*$D20</f>
        <v>0</v>
      </c>
      <c r="AA20" s="60" t="n">
        <f aca="false">+O20*$D20</f>
        <v>0</v>
      </c>
      <c r="AB20" s="60" t="n">
        <f aca="false">+P20*$D20</f>
        <v>0</v>
      </c>
      <c r="AC20" s="60" t="n">
        <f aca="false">+Q20*$D20</f>
        <v>0</v>
      </c>
      <c r="AD20" s="60" t="n">
        <f aca="false">+R20*$D20</f>
        <v>0</v>
      </c>
      <c r="AE20" s="60" t="n">
        <f aca="false">+S20*$D20</f>
        <v>0</v>
      </c>
      <c r="AF20" s="60" t="n">
        <f aca="false">+T20*$D20</f>
        <v>0</v>
      </c>
      <c r="AG20" s="60" t="n">
        <f aca="false">+U20*$D20</f>
        <v>0</v>
      </c>
    </row>
    <row r="21" customFormat="false" ht="12.75" hidden="false" customHeight="false" outlineLevel="0" collapsed="false">
      <c r="A21" s="88" t="s">
        <v>28</v>
      </c>
      <c r="B21" s="19" t="s">
        <v>40</v>
      </c>
      <c r="C21" s="71" t="n">
        <v>25374</v>
      </c>
      <c r="D21" s="90" t="n">
        <v>23000</v>
      </c>
      <c r="E21" s="84" t="s">
        <v>130</v>
      </c>
      <c r="F21" s="91" t="n">
        <v>0.0407</v>
      </c>
      <c r="G21" s="91" t="n">
        <v>0.0093</v>
      </c>
      <c r="H21" s="85" t="n">
        <f aca="false">+G21+F21</f>
        <v>0.05</v>
      </c>
      <c r="I21" s="23" t="n">
        <v>35947</v>
      </c>
      <c r="J21" s="87" t="n">
        <v>37103</v>
      </c>
      <c r="K21" s="0" t="n">
        <v>366</v>
      </c>
      <c r="L21" s="0" t="n">
        <v>212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W21" s="60" t="n">
        <f aca="false">+K21*$D21</f>
        <v>8418000</v>
      </c>
      <c r="X21" s="60" t="n">
        <f aca="false">+L21*$D21</f>
        <v>4876000</v>
      </c>
      <c r="Y21" s="60" t="n">
        <f aca="false">+M21*$D21</f>
        <v>0</v>
      </c>
      <c r="Z21" s="60" t="n">
        <f aca="false">+N21*$D21</f>
        <v>0</v>
      </c>
      <c r="AA21" s="60" t="n">
        <f aca="false">+O21*$D21</f>
        <v>0</v>
      </c>
      <c r="AB21" s="60" t="n">
        <f aca="false">+P21*$D21</f>
        <v>0</v>
      </c>
      <c r="AC21" s="60" t="n">
        <f aca="false">+Q21*$D21</f>
        <v>0</v>
      </c>
      <c r="AD21" s="60" t="n">
        <f aca="false">+R21*$D21</f>
        <v>0</v>
      </c>
      <c r="AE21" s="60" t="n">
        <f aca="false">+S21*$D21</f>
        <v>0</v>
      </c>
      <c r="AF21" s="60" t="n">
        <f aca="false">+T21*$D21</f>
        <v>0</v>
      </c>
      <c r="AG21" s="60" t="n">
        <f aca="false">+U21*$D21</f>
        <v>0</v>
      </c>
    </row>
    <row r="22" customFormat="false" ht="12.75" hidden="false" customHeight="false" outlineLevel="0" collapsed="false">
      <c r="A22" s="83" t="s">
        <v>28</v>
      </c>
      <c r="B22" s="22" t="s">
        <v>53</v>
      </c>
      <c r="C22" s="71" t="n">
        <v>26635</v>
      </c>
      <c r="D22" s="62" t="n">
        <v>500</v>
      </c>
      <c r="E22" s="61" t="s">
        <v>128</v>
      </c>
      <c r="F22" s="63" t="n">
        <v>0.102</v>
      </c>
      <c r="G22" s="63" t="n">
        <v>0.0071</v>
      </c>
      <c r="H22" s="85" t="n">
        <f aca="false">+G22+F22</f>
        <v>0.1091</v>
      </c>
      <c r="I22" s="86" t="n">
        <v>36192</v>
      </c>
      <c r="J22" s="87" t="n">
        <v>37256</v>
      </c>
      <c r="K22" s="0" t="n">
        <v>334</v>
      </c>
      <c r="L22" s="0" t="n">
        <v>365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W22" s="60" t="n">
        <f aca="false">+K22*$D22</f>
        <v>167000</v>
      </c>
      <c r="X22" s="60" t="n">
        <f aca="false">+L22*$D22</f>
        <v>182500</v>
      </c>
      <c r="Y22" s="60" t="n">
        <f aca="false">+M22*$D22</f>
        <v>0</v>
      </c>
      <c r="Z22" s="60" t="n">
        <f aca="false">+N22*$D22</f>
        <v>0</v>
      </c>
      <c r="AA22" s="60" t="n">
        <f aca="false">+O22*$D22</f>
        <v>0</v>
      </c>
      <c r="AB22" s="60" t="n">
        <f aca="false">+P22*$D22</f>
        <v>0</v>
      </c>
      <c r="AC22" s="60" t="n">
        <f aca="false">+Q22*$D22</f>
        <v>0</v>
      </c>
      <c r="AD22" s="60" t="n">
        <f aca="false">+R22*$D22</f>
        <v>0</v>
      </c>
      <c r="AE22" s="60" t="n">
        <f aca="false">+S22*$D22</f>
        <v>0</v>
      </c>
      <c r="AF22" s="60" t="n">
        <f aca="false">+T22*$D22</f>
        <v>0</v>
      </c>
      <c r="AG22" s="60" t="n">
        <f aca="false">+U22*$D22</f>
        <v>0</v>
      </c>
    </row>
    <row r="23" customFormat="false" ht="12.75" hidden="false" customHeight="false" outlineLevel="0" collapsed="false">
      <c r="A23" s="88" t="s">
        <v>28</v>
      </c>
      <c r="B23" s="26" t="s">
        <v>41</v>
      </c>
      <c r="C23" s="71" t="n">
        <v>27104</v>
      </c>
      <c r="D23" s="90" t="n">
        <v>14032</v>
      </c>
      <c r="E23" s="84" t="s">
        <v>127</v>
      </c>
      <c r="F23" s="91" t="n">
        <v>0.0407</v>
      </c>
      <c r="G23" s="91" t="n">
        <v>0.0093</v>
      </c>
      <c r="H23" s="85" t="n">
        <f aca="false">+G23+F23</f>
        <v>0.05</v>
      </c>
      <c r="I23" s="23" t="n">
        <v>36557</v>
      </c>
      <c r="J23" s="87" t="n">
        <v>38383</v>
      </c>
      <c r="K23" s="0" t="n">
        <v>335</v>
      </c>
      <c r="L23" s="0" t="n">
        <v>365</v>
      </c>
      <c r="M23" s="0" t="n">
        <v>365</v>
      </c>
      <c r="N23" s="0" t="n">
        <v>365</v>
      </c>
      <c r="O23" s="0" t="n">
        <v>366</v>
      </c>
      <c r="P23" s="0" t="n">
        <v>31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W23" s="60" t="n">
        <f aca="false">+K23*$D23</f>
        <v>4700720</v>
      </c>
      <c r="X23" s="60" t="n">
        <f aca="false">+L23*$D23</f>
        <v>5121680</v>
      </c>
      <c r="Y23" s="60" t="n">
        <f aca="false">+M23*$D23</f>
        <v>5121680</v>
      </c>
      <c r="Z23" s="60" t="n">
        <f aca="false">+N23*$D23</f>
        <v>5121680</v>
      </c>
      <c r="AA23" s="60" t="n">
        <f aca="false">+O23*$D23</f>
        <v>5135712</v>
      </c>
      <c r="AB23" s="60" t="n">
        <f aca="false">+P23*$D23</f>
        <v>434992</v>
      </c>
      <c r="AC23" s="60" t="n">
        <f aca="false">+Q23*$D23</f>
        <v>0</v>
      </c>
      <c r="AD23" s="60" t="n">
        <f aca="false">+R23*$D23</f>
        <v>0</v>
      </c>
      <c r="AE23" s="60" t="n">
        <f aca="false">+S23*$D23</f>
        <v>0</v>
      </c>
      <c r="AF23" s="60" t="n">
        <f aca="false">+T23*$D23</f>
        <v>0</v>
      </c>
      <c r="AG23" s="60" t="n">
        <f aca="false">+U23*$D23</f>
        <v>0</v>
      </c>
    </row>
    <row r="24" customFormat="false" ht="12.75" hidden="false" customHeight="false" outlineLevel="0" collapsed="false">
      <c r="A24" s="83" t="s">
        <v>28</v>
      </c>
      <c r="B24" s="22" t="s">
        <v>54</v>
      </c>
      <c r="C24" s="71" t="n">
        <v>26123</v>
      </c>
      <c r="D24" s="62" t="n">
        <v>2900</v>
      </c>
      <c r="E24" s="84" t="s">
        <v>127</v>
      </c>
      <c r="F24" s="63" t="n">
        <v>0.0407</v>
      </c>
      <c r="G24" s="63" t="n">
        <v>0.0093</v>
      </c>
      <c r="H24" s="85" t="n">
        <f aca="false">+G24+F24</f>
        <v>0.05</v>
      </c>
      <c r="I24" s="86"/>
      <c r="J24" s="87" t="n">
        <v>36616</v>
      </c>
      <c r="K24" s="0" t="n">
        <v>91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W24" s="60" t="n">
        <f aca="false">+K24*$D24</f>
        <v>263900</v>
      </c>
      <c r="X24" s="60" t="n">
        <f aca="false">+L24*$D24</f>
        <v>0</v>
      </c>
      <c r="Y24" s="60" t="n">
        <f aca="false">+M24*$D24</f>
        <v>0</v>
      </c>
      <c r="Z24" s="60" t="n">
        <f aca="false">+N24*$D24</f>
        <v>0</v>
      </c>
      <c r="AA24" s="60" t="n">
        <f aca="false">+O24*$D24</f>
        <v>0</v>
      </c>
      <c r="AB24" s="60" t="n">
        <f aca="false">+P24*$D24</f>
        <v>0</v>
      </c>
      <c r="AC24" s="60" t="n">
        <f aca="false">+Q24*$D24</f>
        <v>0</v>
      </c>
      <c r="AD24" s="60" t="n">
        <f aca="false">+R24*$D24</f>
        <v>0</v>
      </c>
      <c r="AE24" s="60" t="n">
        <f aca="false">+S24*$D24</f>
        <v>0</v>
      </c>
      <c r="AF24" s="60" t="n">
        <f aca="false">+T24*$D24</f>
        <v>0</v>
      </c>
      <c r="AG24" s="60" t="n">
        <f aca="false">+U24*$D24</f>
        <v>0</v>
      </c>
    </row>
    <row r="25" customFormat="false" ht="12.75" hidden="false" customHeight="false" outlineLevel="0" collapsed="false">
      <c r="A25" s="83" t="s">
        <v>28</v>
      </c>
      <c r="B25" s="22" t="s">
        <v>55</v>
      </c>
      <c r="C25" s="71" t="n">
        <v>27340</v>
      </c>
      <c r="D25" s="62" t="n">
        <v>20000</v>
      </c>
      <c r="E25" s="61" t="s">
        <v>128</v>
      </c>
      <c r="F25" s="63" t="n">
        <v>0.102</v>
      </c>
      <c r="G25" s="63" t="n">
        <v>0.0071</v>
      </c>
      <c r="H25" s="85" t="n">
        <f aca="false">+G25+F25</f>
        <v>0.1091</v>
      </c>
      <c r="I25" s="86" t="n">
        <v>36923</v>
      </c>
      <c r="J25" s="87" t="n">
        <v>37287</v>
      </c>
      <c r="K25" s="0" t="n">
        <v>0</v>
      </c>
      <c r="L25" s="0" t="n">
        <v>334</v>
      </c>
      <c r="M25" s="0" t="n">
        <v>31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W25" s="60" t="n">
        <f aca="false">+K25*$D25</f>
        <v>0</v>
      </c>
      <c r="X25" s="60" t="n">
        <f aca="false">+L25*$D25</f>
        <v>6680000</v>
      </c>
      <c r="Y25" s="60" t="n">
        <f aca="false">+M25*$D25</f>
        <v>620000</v>
      </c>
      <c r="Z25" s="60" t="n">
        <f aca="false">+N25*$D25</f>
        <v>0</v>
      </c>
      <c r="AA25" s="60" t="n">
        <f aca="false">+O25*$D25</f>
        <v>0</v>
      </c>
      <c r="AB25" s="60" t="n">
        <f aca="false">+P25*$D25</f>
        <v>0</v>
      </c>
      <c r="AC25" s="60" t="n">
        <f aca="false">+Q25*$D25</f>
        <v>0</v>
      </c>
      <c r="AD25" s="60" t="n">
        <f aca="false">+R25*$D25</f>
        <v>0</v>
      </c>
      <c r="AE25" s="60" t="n">
        <f aca="false">+S25*$D25</f>
        <v>0</v>
      </c>
      <c r="AF25" s="60" t="n">
        <f aca="false">+T25*$D25</f>
        <v>0</v>
      </c>
      <c r="AG25" s="60" t="n">
        <f aca="false">+U25*$D25</f>
        <v>0</v>
      </c>
    </row>
    <row r="26" customFormat="false" ht="12.75" hidden="false" customHeight="false" outlineLevel="0" collapsed="false">
      <c r="A26" s="83" t="s">
        <v>28</v>
      </c>
      <c r="B26" s="22" t="s">
        <v>56</v>
      </c>
      <c r="C26" s="71" t="n">
        <v>25841</v>
      </c>
      <c r="D26" s="62" t="n">
        <v>40000</v>
      </c>
      <c r="E26" s="61" t="s">
        <v>127</v>
      </c>
      <c r="F26" s="63" t="n">
        <v>0.0407</v>
      </c>
      <c r="G26" s="63" t="n">
        <v>0.0093</v>
      </c>
      <c r="H26" s="85" t="n">
        <f aca="false">+G26+F26</f>
        <v>0.05</v>
      </c>
      <c r="I26" s="86" t="n">
        <v>35827</v>
      </c>
      <c r="J26" s="87" t="n">
        <v>37560</v>
      </c>
      <c r="K26" s="0" t="n">
        <v>366</v>
      </c>
      <c r="L26" s="0" t="n">
        <v>365</v>
      </c>
      <c r="M26" s="0" t="n">
        <v>304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W26" s="60" t="n">
        <f aca="false">+K26*$D26</f>
        <v>14640000</v>
      </c>
      <c r="X26" s="60" t="n">
        <f aca="false">+L26*$D26</f>
        <v>14600000</v>
      </c>
      <c r="Y26" s="60" t="n">
        <f aca="false">+M26*$D26</f>
        <v>12160000</v>
      </c>
      <c r="Z26" s="60" t="n">
        <f aca="false">+N26*$D26</f>
        <v>0</v>
      </c>
      <c r="AA26" s="60" t="n">
        <f aca="false">+O26*$D26</f>
        <v>0</v>
      </c>
      <c r="AB26" s="60" t="n">
        <f aca="false">+P26*$D26</f>
        <v>0</v>
      </c>
      <c r="AC26" s="60" t="n">
        <f aca="false">+Q26*$D26</f>
        <v>0</v>
      </c>
      <c r="AD26" s="60" t="n">
        <f aca="false">+R26*$D26</f>
        <v>0</v>
      </c>
      <c r="AE26" s="60" t="n">
        <f aca="false">+S26*$D26</f>
        <v>0</v>
      </c>
      <c r="AF26" s="60" t="n">
        <f aca="false">+T26*$D26</f>
        <v>0</v>
      </c>
      <c r="AG26" s="60" t="n">
        <f aca="false">+U26*$D26</f>
        <v>0</v>
      </c>
    </row>
    <row r="27" customFormat="false" ht="12.75" hidden="false" customHeight="false" outlineLevel="0" collapsed="false">
      <c r="A27" s="83" t="s">
        <v>28</v>
      </c>
      <c r="B27" s="22" t="s">
        <v>56</v>
      </c>
      <c r="C27" s="71" t="n">
        <v>26511</v>
      </c>
      <c r="D27" s="62" t="n">
        <v>21000</v>
      </c>
      <c r="E27" s="61" t="s">
        <v>127</v>
      </c>
      <c r="F27" s="63" t="n">
        <v>0.0407</v>
      </c>
      <c r="G27" s="63" t="n">
        <v>0.0093</v>
      </c>
      <c r="H27" s="85" t="n">
        <f aca="false">+G27+F27</f>
        <v>0.05</v>
      </c>
      <c r="I27" s="86" t="n">
        <v>36100</v>
      </c>
      <c r="J27" s="87" t="n">
        <v>37560</v>
      </c>
      <c r="K27" s="0" t="n">
        <v>366</v>
      </c>
      <c r="L27" s="0" t="n">
        <v>365</v>
      </c>
      <c r="M27" s="0" t="n">
        <v>304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W27" s="60" t="n">
        <f aca="false">+K27*$D27</f>
        <v>7686000</v>
      </c>
      <c r="X27" s="60" t="n">
        <f aca="false">+L27*$D27</f>
        <v>7665000</v>
      </c>
      <c r="Y27" s="60" t="n">
        <f aca="false">+M27*$D27</f>
        <v>6384000</v>
      </c>
      <c r="Z27" s="60" t="n">
        <f aca="false">+N27*$D27</f>
        <v>0</v>
      </c>
      <c r="AA27" s="60" t="n">
        <f aca="false">+O27*$D27</f>
        <v>0</v>
      </c>
      <c r="AB27" s="60" t="n">
        <f aca="false">+P27*$D27</f>
        <v>0</v>
      </c>
      <c r="AC27" s="60" t="n">
        <f aca="false">+Q27*$D27</f>
        <v>0</v>
      </c>
      <c r="AD27" s="60" t="n">
        <f aca="false">+R27*$D27</f>
        <v>0</v>
      </c>
      <c r="AE27" s="60" t="n">
        <f aca="false">+S27*$D27</f>
        <v>0</v>
      </c>
      <c r="AF27" s="60" t="n">
        <f aca="false">+T27*$D27</f>
        <v>0</v>
      </c>
      <c r="AG27" s="60" t="n">
        <f aca="false">+U27*$D27</f>
        <v>0</v>
      </c>
    </row>
    <row r="28" customFormat="false" ht="12.75" hidden="false" customHeight="false" outlineLevel="0" collapsed="false">
      <c r="A28" s="88" t="s">
        <v>28</v>
      </c>
      <c r="B28" s="30" t="s">
        <v>42</v>
      </c>
      <c r="C28" s="71" t="n">
        <v>24194</v>
      </c>
      <c r="D28" s="90" t="n">
        <v>10000</v>
      </c>
      <c r="E28" s="95" t="s">
        <v>131</v>
      </c>
      <c r="F28" s="91" t="n">
        <v>0.1007</v>
      </c>
      <c r="G28" s="91" t="n">
        <v>0.0093</v>
      </c>
      <c r="H28" s="85" t="n">
        <f aca="false">+G28+F28</f>
        <v>0.11</v>
      </c>
      <c r="I28" s="29" t="s">
        <v>43</v>
      </c>
      <c r="J28" s="87" t="n">
        <v>37164</v>
      </c>
      <c r="K28" s="0" t="n">
        <v>366</v>
      </c>
      <c r="L28" s="0" t="n">
        <v>273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W28" s="60" t="n">
        <f aca="false">+K28*$D28</f>
        <v>3660000</v>
      </c>
      <c r="X28" s="60" t="n">
        <f aca="false">+L28*$D28</f>
        <v>2730000</v>
      </c>
      <c r="Y28" s="60" t="n">
        <f aca="false">+M28*$D28</f>
        <v>0</v>
      </c>
      <c r="Z28" s="60" t="n">
        <f aca="false">+N28*$D28</f>
        <v>0</v>
      </c>
      <c r="AA28" s="60" t="n">
        <f aca="false">+O28*$D28</f>
        <v>0</v>
      </c>
      <c r="AB28" s="60" t="n">
        <f aca="false">+P28*$D28</f>
        <v>0</v>
      </c>
      <c r="AC28" s="60" t="n">
        <f aca="false">+Q28*$D28</f>
        <v>0</v>
      </c>
      <c r="AD28" s="60" t="n">
        <f aca="false">+R28*$D28</f>
        <v>0</v>
      </c>
      <c r="AE28" s="60" t="n">
        <f aca="false">+S28*$D28</f>
        <v>0</v>
      </c>
      <c r="AF28" s="60" t="n">
        <f aca="false">+T28*$D28</f>
        <v>0</v>
      </c>
      <c r="AG28" s="60" t="n">
        <f aca="false">+U28*$D28</f>
        <v>0</v>
      </c>
    </row>
    <row r="29" customFormat="false" ht="12.75" hidden="false" customHeight="false" outlineLevel="0" collapsed="false">
      <c r="A29" s="83" t="s">
        <v>28</v>
      </c>
      <c r="B29" s="22" t="s">
        <v>57</v>
      </c>
      <c r="C29" s="71" t="n">
        <v>26819</v>
      </c>
      <c r="D29" s="62" t="n">
        <v>10000</v>
      </c>
      <c r="E29" s="95" t="s">
        <v>127</v>
      </c>
      <c r="F29" s="63" t="n">
        <v>0.0407</v>
      </c>
      <c r="G29" s="63" t="n">
        <v>0.0093</v>
      </c>
      <c r="H29" s="85" t="n">
        <f aca="false">+G29+F29</f>
        <v>0.05</v>
      </c>
      <c r="I29" s="86" t="n">
        <v>36647</v>
      </c>
      <c r="J29" s="87" t="n">
        <v>38472</v>
      </c>
      <c r="K29" s="0" t="n">
        <v>245</v>
      </c>
      <c r="L29" s="0" t="n">
        <v>365</v>
      </c>
      <c r="M29" s="0" t="n">
        <v>365</v>
      </c>
      <c r="N29" s="0" t="n">
        <v>365</v>
      </c>
      <c r="O29" s="0" t="n">
        <v>120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W29" s="60" t="n">
        <f aca="false">+K29*$D29</f>
        <v>2450000</v>
      </c>
      <c r="X29" s="60" t="n">
        <f aca="false">+L29*$D29</f>
        <v>3650000</v>
      </c>
      <c r="Y29" s="60" t="n">
        <f aca="false">+M29*$D29</f>
        <v>3650000</v>
      </c>
      <c r="Z29" s="60" t="n">
        <f aca="false">+N29*$D29</f>
        <v>3650000</v>
      </c>
      <c r="AA29" s="60" t="n">
        <f aca="false">+O29*$D29</f>
        <v>1200000</v>
      </c>
      <c r="AB29" s="60" t="n">
        <f aca="false">+P29*$D29</f>
        <v>0</v>
      </c>
      <c r="AC29" s="60" t="n">
        <f aca="false">+Q29*$D29</f>
        <v>0</v>
      </c>
      <c r="AD29" s="60" t="n">
        <f aca="false">+R29*$D29</f>
        <v>0</v>
      </c>
      <c r="AE29" s="60" t="n">
        <f aca="false">+S29*$D29</f>
        <v>0</v>
      </c>
      <c r="AF29" s="60" t="n">
        <f aca="false">+T29*$D29</f>
        <v>0</v>
      </c>
      <c r="AG29" s="60" t="n">
        <f aca="false">+U29*$D29</f>
        <v>0</v>
      </c>
    </row>
    <row r="30" customFormat="false" ht="12.75" hidden="false" customHeight="false" outlineLevel="0" collapsed="false">
      <c r="A30" s="88" t="s">
        <v>28</v>
      </c>
      <c r="B30" s="30" t="s">
        <v>44</v>
      </c>
      <c r="C30" s="71" t="s">
        <v>45</v>
      </c>
      <c r="D30" s="90" t="n">
        <v>35714</v>
      </c>
      <c r="E30" s="95" t="s">
        <v>127</v>
      </c>
      <c r="F30" s="91" t="n">
        <v>0.0957</v>
      </c>
      <c r="G30" s="91" t="n">
        <v>0.0093</v>
      </c>
      <c r="H30" s="85" t="n">
        <f aca="false">+G30+F30</f>
        <v>0.105</v>
      </c>
      <c r="I30" s="29" t="n">
        <v>34851</v>
      </c>
      <c r="J30" s="87" t="n">
        <v>37407</v>
      </c>
      <c r="K30" s="0" t="n">
        <v>366</v>
      </c>
      <c r="L30" s="0" t="n">
        <v>365</v>
      </c>
      <c r="M30" s="0" t="n">
        <v>151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W30" s="60" t="n">
        <f aca="false">+K30*$D30</f>
        <v>13071324</v>
      </c>
      <c r="X30" s="60" t="n">
        <f aca="false">+L30*$D30</f>
        <v>13035610</v>
      </c>
      <c r="Y30" s="60" t="n">
        <f aca="false">+M30*$D30</f>
        <v>5392814</v>
      </c>
      <c r="Z30" s="60" t="n">
        <f aca="false">+N30*$D30</f>
        <v>0</v>
      </c>
      <c r="AA30" s="60" t="n">
        <f aca="false">+O30*$D30</f>
        <v>0</v>
      </c>
      <c r="AB30" s="60" t="n">
        <f aca="false">+P30*$D30</f>
        <v>0</v>
      </c>
      <c r="AC30" s="60" t="n">
        <f aca="false">+Q30*$D30</f>
        <v>0</v>
      </c>
      <c r="AD30" s="60" t="n">
        <f aca="false">+R30*$D30</f>
        <v>0</v>
      </c>
      <c r="AE30" s="60" t="n">
        <f aca="false">+S30*$D30</f>
        <v>0</v>
      </c>
      <c r="AF30" s="60" t="n">
        <f aca="false">+T30*$D30</f>
        <v>0</v>
      </c>
      <c r="AG30" s="60" t="n">
        <f aca="false">+U30*$D30</f>
        <v>0</v>
      </c>
    </row>
    <row r="31" customFormat="false" ht="12.75" hidden="false" customHeight="false" outlineLevel="0" collapsed="false">
      <c r="A31" s="83" t="s">
        <v>28</v>
      </c>
      <c r="B31" s="22" t="s">
        <v>58</v>
      </c>
      <c r="C31" s="71" t="n">
        <v>27293</v>
      </c>
      <c r="D31" s="62" t="n">
        <v>49000</v>
      </c>
      <c r="E31" s="84" t="s">
        <v>127</v>
      </c>
      <c r="F31" s="63" t="n">
        <v>0.102</v>
      </c>
      <c r="G31" s="63" t="n">
        <v>0.0071</v>
      </c>
      <c r="H31" s="85" t="n">
        <f aca="false">+G31+F31</f>
        <v>0.1091</v>
      </c>
      <c r="I31" s="86" t="n">
        <v>36831</v>
      </c>
      <c r="J31" s="87" t="n">
        <v>37195</v>
      </c>
      <c r="K31" s="0" t="n">
        <v>61</v>
      </c>
      <c r="L31" s="0" t="n">
        <v>304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W31" s="60" t="n">
        <f aca="false">+K31*$D31</f>
        <v>2989000</v>
      </c>
      <c r="X31" s="60" t="n">
        <f aca="false">+L31*$D31</f>
        <v>14896000</v>
      </c>
      <c r="Y31" s="60" t="n">
        <f aca="false">+M31*$D31</f>
        <v>0</v>
      </c>
      <c r="Z31" s="60" t="n">
        <f aca="false">+N31*$D31</f>
        <v>0</v>
      </c>
      <c r="AA31" s="60" t="n">
        <f aca="false">+O31*$D31</f>
        <v>0</v>
      </c>
      <c r="AB31" s="60" t="n">
        <f aca="false">+P31*$D31</f>
        <v>0</v>
      </c>
      <c r="AC31" s="60" t="n">
        <f aca="false">+Q31*$D31</f>
        <v>0</v>
      </c>
      <c r="AD31" s="60" t="n">
        <f aca="false">+R31*$D31</f>
        <v>0</v>
      </c>
      <c r="AE31" s="60" t="n">
        <f aca="false">+S31*$D31</f>
        <v>0</v>
      </c>
      <c r="AF31" s="60" t="n">
        <f aca="false">+T31*$D31</f>
        <v>0</v>
      </c>
      <c r="AG31" s="60" t="n">
        <f aca="false">+U31*$D31</f>
        <v>0</v>
      </c>
    </row>
    <row r="32" customFormat="false" ht="12.75" hidden="false" customHeight="false" outlineLevel="0" collapsed="false">
      <c r="A32" s="83" t="s">
        <v>28</v>
      </c>
      <c r="B32" s="22" t="s">
        <v>58</v>
      </c>
      <c r="C32" s="71" t="n">
        <v>27352</v>
      </c>
      <c r="D32" s="62" t="n">
        <v>21500</v>
      </c>
      <c r="E32" s="61" t="s">
        <v>132</v>
      </c>
      <c r="F32" s="63" t="n">
        <v>0.0407</v>
      </c>
      <c r="G32" s="63" t="n">
        <v>0.0093</v>
      </c>
      <c r="H32" s="85" t="n">
        <f aca="false">+G32+F32</f>
        <v>0.05</v>
      </c>
      <c r="I32" s="86" t="n">
        <v>37196</v>
      </c>
      <c r="J32" s="87" t="n">
        <v>37560</v>
      </c>
      <c r="K32" s="0" t="n">
        <v>0</v>
      </c>
      <c r="L32" s="0" t="n">
        <v>61</v>
      </c>
      <c r="M32" s="0" t="n">
        <v>304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W32" s="60" t="n">
        <f aca="false">+K32*$D32</f>
        <v>0</v>
      </c>
      <c r="X32" s="60" t="n">
        <f aca="false">+L32*$D32</f>
        <v>1311500</v>
      </c>
      <c r="Y32" s="60" t="n">
        <f aca="false">+M32*$D32</f>
        <v>6536000</v>
      </c>
      <c r="Z32" s="60" t="n">
        <f aca="false">+N32*$D32</f>
        <v>0</v>
      </c>
      <c r="AA32" s="60" t="n">
        <f aca="false">+O32*$D32</f>
        <v>0</v>
      </c>
      <c r="AB32" s="60" t="n">
        <f aca="false">+P32*$D32</f>
        <v>0</v>
      </c>
      <c r="AC32" s="60" t="n">
        <f aca="false">+Q32*$D32</f>
        <v>0</v>
      </c>
      <c r="AD32" s="60" t="n">
        <f aca="false">+R32*$D32</f>
        <v>0</v>
      </c>
      <c r="AE32" s="60" t="n">
        <f aca="false">+S32*$D32</f>
        <v>0</v>
      </c>
      <c r="AF32" s="60" t="n">
        <f aca="false">+T32*$D32</f>
        <v>0</v>
      </c>
      <c r="AG32" s="60" t="n">
        <f aca="false">+U32*$D32</f>
        <v>0</v>
      </c>
    </row>
    <row r="33" customFormat="false" ht="12.75" hidden="false" customHeight="false" outlineLevel="0" collapsed="false">
      <c r="A33" s="83" t="s">
        <v>28</v>
      </c>
      <c r="B33" s="22" t="s">
        <v>59</v>
      </c>
      <c r="C33" s="71" t="n">
        <v>8255</v>
      </c>
      <c r="D33" s="62" t="n">
        <v>306000</v>
      </c>
      <c r="E33" s="61" t="s">
        <v>133</v>
      </c>
      <c r="F33" s="63" t="n">
        <v>0.102</v>
      </c>
      <c r="G33" s="63" t="n">
        <v>0.0071</v>
      </c>
      <c r="H33" s="85" t="n">
        <f aca="false">+G33+F33</f>
        <v>0.1091</v>
      </c>
      <c r="I33" s="86" t="n">
        <v>32782</v>
      </c>
      <c r="J33" s="87" t="n">
        <v>38656</v>
      </c>
      <c r="K33" s="0" t="n">
        <v>366</v>
      </c>
      <c r="L33" s="0" t="n">
        <v>365</v>
      </c>
      <c r="M33" s="0" t="n">
        <v>365</v>
      </c>
      <c r="N33" s="0" t="n">
        <v>365</v>
      </c>
      <c r="O33" s="0" t="n">
        <v>366</v>
      </c>
      <c r="P33" s="0" t="n">
        <v>304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W33" s="60" t="n">
        <f aca="false">+K33*$D33</f>
        <v>111996000</v>
      </c>
      <c r="X33" s="60" t="n">
        <f aca="false">+L33*$D33</f>
        <v>111690000</v>
      </c>
      <c r="Y33" s="60" t="n">
        <f aca="false">+M33*$D33</f>
        <v>111690000</v>
      </c>
      <c r="Z33" s="60" t="n">
        <f aca="false">+N33*$D33</f>
        <v>111690000</v>
      </c>
      <c r="AA33" s="60" t="n">
        <f aca="false">+O33*$D33</f>
        <v>111996000</v>
      </c>
      <c r="AB33" s="60" t="n">
        <f aca="false">+P33*$D33</f>
        <v>93024000</v>
      </c>
      <c r="AC33" s="60" t="n">
        <f aca="false">+Q33*$D33</f>
        <v>0</v>
      </c>
      <c r="AD33" s="60" t="n">
        <f aca="false">+R33*$D33</f>
        <v>0</v>
      </c>
      <c r="AE33" s="60" t="n">
        <f aca="false">+S33*$D33</f>
        <v>0</v>
      </c>
      <c r="AF33" s="60" t="n">
        <f aca="false">+T33*$D33</f>
        <v>0</v>
      </c>
      <c r="AG33" s="60" t="n">
        <f aca="false">+U33*$D33</f>
        <v>0</v>
      </c>
    </row>
    <row r="34" customFormat="false" ht="12.75" hidden="false" customHeight="false" outlineLevel="0" collapsed="false">
      <c r="A34" s="83" t="s">
        <v>28</v>
      </c>
      <c r="B34" s="22" t="s">
        <v>61</v>
      </c>
      <c r="C34" s="71" t="n">
        <v>22037</v>
      </c>
      <c r="D34" s="62" t="n">
        <v>3000</v>
      </c>
      <c r="E34" s="84" t="s">
        <v>134</v>
      </c>
      <c r="F34" s="63" t="n">
        <v>0</v>
      </c>
      <c r="G34" s="63" t="n">
        <v>0</v>
      </c>
      <c r="H34" s="85" t="n">
        <v>0.05</v>
      </c>
      <c r="I34" s="86"/>
      <c r="J34" s="87"/>
      <c r="K34" s="0" t="n">
        <v>366</v>
      </c>
      <c r="L34" s="0" t="n">
        <v>365</v>
      </c>
      <c r="M34" s="0" t="n">
        <v>365</v>
      </c>
      <c r="N34" s="0" t="n">
        <v>365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W34" s="60" t="n">
        <f aca="false">+K34*$D34</f>
        <v>1098000</v>
      </c>
      <c r="X34" s="60" t="n">
        <f aca="false">+L34*$D34</f>
        <v>1095000</v>
      </c>
      <c r="Y34" s="60" t="n">
        <f aca="false">+M34*$D34</f>
        <v>1095000</v>
      </c>
      <c r="Z34" s="60" t="n">
        <f aca="false">+N34*$D34</f>
        <v>1095000</v>
      </c>
      <c r="AA34" s="60" t="n">
        <f aca="false">+O34*$D34</f>
        <v>0</v>
      </c>
      <c r="AB34" s="60" t="n">
        <f aca="false">+P34*$D34</f>
        <v>0</v>
      </c>
      <c r="AC34" s="60" t="n">
        <f aca="false">+Q34*$D34</f>
        <v>0</v>
      </c>
      <c r="AD34" s="60" t="n">
        <f aca="false">+R34*$D34</f>
        <v>0</v>
      </c>
      <c r="AE34" s="60" t="n">
        <f aca="false">+S34*$D34</f>
        <v>0</v>
      </c>
      <c r="AF34" s="60" t="n">
        <f aca="false">+T34*$D34</f>
        <v>0</v>
      </c>
      <c r="AG34" s="60" t="n">
        <f aca="false">+U34*$D34</f>
        <v>0</v>
      </c>
    </row>
    <row r="35" customFormat="false" ht="12.75" hidden="false" customHeight="false" outlineLevel="0" collapsed="false">
      <c r="A35" s="83" t="s">
        <v>28</v>
      </c>
      <c r="B35" s="22" t="s">
        <v>61</v>
      </c>
      <c r="C35" s="71" t="n">
        <v>27252</v>
      </c>
      <c r="D35" s="62" t="n">
        <v>14000</v>
      </c>
      <c r="E35" s="84" t="s">
        <v>127</v>
      </c>
      <c r="F35" s="63" t="n">
        <v>0.0407</v>
      </c>
      <c r="G35" s="63" t="n">
        <v>0.0093</v>
      </c>
      <c r="H35" s="85" t="n">
        <f aca="false">+G35+F35</f>
        <v>0.05</v>
      </c>
      <c r="I35" s="86" t="n">
        <v>36831</v>
      </c>
      <c r="J35" s="87" t="n">
        <v>40482</v>
      </c>
      <c r="K35" s="0" t="n">
        <v>61</v>
      </c>
      <c r="L35" s="0" t="n">
        <v>365</v>
      </c>
      <c r="M35" s="0" t="n">
        <v>365</v>
      </c>
      <c r="N35" s="0" t="n">
        <v>365</v>
      </c>
      <c r="O35" s="0" t="n">
        <v>366</v>
      </c>
      <c r="P35" s="0" t="n">
        <v>365</v>
      </c>
      <c r="Q35" s="0" t="n">
        <v>365</v>
      </c>
      <c r="R35" s="0" t="n">
        <v>365</v>
      </c>
      <c r="S35" s="0" t="n">
        <v>366</v>
      </c>
      <c r="T35" s="0" t="n">
        <v>365</v>
      </c>
      <c r="U35" s="0" t="n">
        <v>304</v>
      </c>
      <c r="W35" s="60" t="n">
        <f aca="false">+K35*$D35</f>
        <v>854000</v>
      </c>
      <c r="X35" s="60" t="n">
        <f aca="false">+L35*$D35</f>
        <v>5110000</v>
      </c>
      <c r="Y35" s="60" t="n">
        <f aca="false">+M35*$D35</f>
        <v>5110000</v>
      </c>
      <c r="Z35" s="60" t="n">
        <f aca="false">+N35*$D35</f>
        <v>5110000</v>
      </c>
      <c r="AA35" s="60" t="n">
        <f aca="false">+O35*$D35</f>
        <v>5124000</v>
      </c>
      <c r="AB35" s="60" t="n">
        <f aca="false">+P35*$D35</f>
        <v>5110000</v>
      </c>
      <c r="AC35" s="60" t="n">
        <f aca="false">+Q35*$D35</f>
        <v>5110000</v>
      </c>
      <c r="AD35" s="60" t="n">
        <f aca="false">+R35*$D35</f>
        <v>5110000</v>
      </c>
      <c r="AE35" s="60" t="n">
        <f aca="false">+S35*$D35</f>
        <v>5124000</v>
      </c>
      <c r="AF35" s="60" t="n">
        <f aca="false">+T35*$D35</f>
        <v>5110000</v>
      </c>
      <c r="AG35" s="60" t="n">
        <f aca="false">+U35*$D35</f>
        <v>4256000</v>
      </c>
    </row>
    <row r="36" customFormat="false" ht="12.75" hidden="false" customHeight="false" outlineLevel="0" collapsed="false">
      <c r="A36" s="83" t="s">
        <v>28</v>
      </c>
      <c r="B36" s="22" t="s">
        <v>62</v>
      </c>
      <c r="C36" s="71" t="n">
        <v>25850</v>
      </c>
      <c r="D36" s="62" t="n">
        <v>30000</v>
      </c>
      <c r="E36" s="84" t="s">
        <v>127</v>
      </c>
      <c r="F36" s="63" t="n">
        <v>0.0407</v>
      </c>
      <c r="G36" s="63" t="n">
        <v>0.0093</v>
      </c>
      <c r="H36" s="85" t="n">
        <f aca="false">+G36+F36</f>
        <v>0.05</v>
      </c>
      <c r="I36" s="86"/>
      <c r="J36" s="87" t="n">
        <v>36556</v>
      </c>
      <c r="K36" s="0" t="n">
        <v>31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W36" s="60" t="n">
        <f aca="false">+K36*$D36</f>
        <v>930000</v>
      </c>
      <c r="X36" s="60" t="n">
        <f aca="false">+L36*$D36</f>
        <v>0</v>
      </c>
      <c r="Y36" s="60" t="n">
        <f aca="false">+M36*$D36</f>
        <v>0</v>
      </c>
      <c r="Z36" s="60" t="n">
        <f aca="false">+N36*$D36</f>
        <v>0</v>
      </c>
      <c r="AA36" s="60" t="n">
        <f aca="false">+O36*$D36</f>
        <v>0</v>
      </c>
      <c r="AB36" s="60" t="n">
        <f aca="false">+P36*$D36</f>
        <v>0</v>
      </c>
      <c r="AC36" s="60" t="n">
        <f aca="false">+Q36*$D36</f>
        <v>0</v>
      </c>
      <c r="AD36" s="60" t="n">
        <f aca="false">+R36*$D36</f>
        <v>0</v>
      </c>
      <c r="AE36" s="60" t="n">
        <f aca="false">+S36*$D36</f>
        <v>0</v>
      </c>
      <c r="AF36" s="60" t="n">
        <f aca="false">+T36*$D36</f>
        <v>0</v>
      </c>
      <c r="AG36" s="60" t="n">
        <f aca="false">+U36*$D36</f>
        <v>0</v>
      </c>
    </row>
    <row r="37" customFormat="false" ht="12.75" hidden="false" customHeight="false" outlineLevel="0" collapsed="false">
      <c r="A37" s="83" t="s">
        <v>28</v>
      </c>
      <c r="B37" s="22" t="s">
        <v>46</v>
      </c>
      <c r="C37" s="71" t="n">
        <v>26393</v>
      </c>
      <c r="D37" s="62" t="n">
        <v>30000</v>
      </c>
      <c r="E37" s="84" t="s">
        <v>127</v>
      </c>
      <c r="F37" s="63" t="n">
        <v>0.04074</v>
      </c>
      <c r="G37" s="63" t="n">
        <v>0.0093</v>
      </c>
      <c r="H37" s="85" t="n">
        <f aca="false">+G37+F37</f>
        <v>0.05004</v>
      </c>
      <c r="I37" s="86"/>
      <c r="J37" s="87" t="n">
        <v>36616</v>
      </c>
      <c r="K37" s="0" t="n">
        <v>91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W37" s="60" t="n">
        <f aca="false">+K37*$D37</f>
        <v>2730000</v>
      </c>
      <c r="X37" s="60" t="n">
        <f aca="false">+L37*$D37</f>
        <v>0</v>
      </c>
      <c r="Y37" s="60" t="n">
        <f aca="false">+M37*$D37</f>
        <v>0</v>
      </c>
      <c r="Z37" s="60" t="n">
        <f aca="false">+N37*$D37</f>
        <v>0</v>
      </c>
      <c r="AA37" s="60" t="n">
        <f aca="false">+O37*$D37</f>
        <v>0</v>
      </c>
      <c r="AB37" s="60" t="n">
        <f aca="false">+P37*$D37</f>
        <v>0</v>
      </c>
      <c r="AC37" s="60" t="n">
        <f aca="false">+Q37*$D37</f>
        <v>0</v>
      </c>
      <c r="AD37" s="60" t="n">
        <f aca="false">+R37*$D37</f>
        <v>0</v>
      </c>
      <c r="AE37" s="60" t="n">
        <f aca="false">+S37*$D37</f>
        <v>0</v>
      </c>
      <c r="AF37" s="60" t="n">
        <f aca="false">+T37*$D37</f>
        <v>0</v>
      </c>
      <c r="AG37" s="60" t="n">
        <f aca="false">+U37*$D37</f>
        <v>0</v>
      </c>
    </row>
    <row r="38" customFormat="false" ht="12.75" hidden="false" customHeight="false" outlineLevel="0" collapsed="false">
      <c r="A38" s="88" t="s">
        <v>28</v>
      </c>
      <c r="B38" s="26" t="s">
        <v>46</v>
      </c>
      <c r="C38" s="71" t="n">
        <v>27161</v>
      </c>
      <c r="D38" s="90" t="n">
        <v>400000</v>
      </c>
      <c r="E38" s="84" t="s">
        <v>129</v>
      </c>
      <c r="F38" s="91" t="n">
        <v>0.0075</v>
      </c>
      <c r="G38" s="91" t="n">
        <v>0.0093</v>
      </c>
      <c r="H38" s="85" t="n">
        <f aca="false">+G38+F38</f>
        <v>0.0168</v>
      </c>
      <c r="I38" s="23" t="n">
        <v>36617</v>
      </c>
      <c r="J38" s="87" t="n">
        <v>37711</v>
      </c>
      <c r="K38" s="0" t="n">
        <v>275</v>
      </c>
      <c r="L38" s="0" t="n">
        <v>365</v>
      </c>
      <c r="M38" s="0" t="n">
        <v>365</v>
      </c>
      <c r="N38" s="0" t="n">
        <v>90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W38" s="60" t="n">
        <f aca="false">+K38*$D38</f>
        <v>110000000</v>
      </c>
      <c r="X38" s="60" t="n">
        <f aca="false">+L38*$D38</f>
        <v>146000000</v>
      </c>
      <c r="Y38" s="60" t="n">
        <f aca="false">+M38*$D38</f>
        <v>146000000</v>
      </c>
      <c r="Z38" s="60" t="n">
        <f aca="false">+N38*$D38</f>
        <v>36000000</v>
      </c>
      <c r="AA38" s="60" t="n">
        <f aca="false">+O38*$D38</f>
        <v>0</v>
      </c>
      <c r="AB38" s="60" t="n">
        <f aca="false">+P38*$D38</f>
        <v>0</v>
      </c>
      <c r="AC38" s="60" t="n">
        <f aca="false">+Q38*$D38</f>
        <v>0</v>
      </c>
      <c r="AD38" s="60" t="n">
        <f aca="false">+R38*$D38</f>
        <v>0</v>
      </c>
      <c r="AE38" s="60" t="n">
        <f aca="false">+S38*$D38</f>
        <v>0</v>
      </c>
      <c r="AF38" s="60" t="n">
        <f aca="false">+T38*$D38</f>
        <v>0</v>
      </c>
      <c r="AG38" s="60" t="n">
        <f aca="false">+U38*$D38</f>
        <v>0</v>
      </c>
    </row>
    <row r="39" customFormat="false" ht="12.75" hidden="false" customHeight="false" outlineLevel="0" collapsed="false">
      <c r="A39" s="92" t="s">
        <v>28</v>
      </c>
      <c r="B39" s="19" t="s">
        <v>47</v>
      </c>
      <c r="C39" s="71" t="n">
        <v>24809</v>
      </c>
      <c r="D39" s="90" t="n">
        <v>20000</v>
      </c>
      <c r="E39" s="84" t="s">
        <v>128</v>
      </c>
      <c r="F39" s="91" t="n">
        <f aca="false">0.2174-0.0093-0.102-0.0011</f>
        <v>0.105</v>
      </c>
      <c r="G39" s="91" t="n">
        <v>0.0093</v>
      </c>
      <c r="H39" s="85" t="n">
        <f aca="false">+G39+F39</f>
        <v>0.1143</v>
      </c>
      <c r="J39" s="87" t="n">
        <v>37225</v>
      </c>
      <c r="K39" s="0" t="n">
        <v>366</v>
      </c>
      <c r="L39" s="0" t="n">
        <v>334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W39" s="60" t="n">
        <f aca="false">+K39*$D39</f>
        <v>7320000</v>
      </c>
      <c r="X39" s="60" t="n">
        <f aca="false">+L39*$D39</f>
        <v>6680000</v>
      </c>
      <c r="Y39" s="60" t="n">
        <f aca="false">+M39*$D39</f>
        <v>0</v>
      </c>
      <c r="Z39" s="60" t="n">
        <f aca="false">+N39*$D39</f>
        <v>0</v>
      </c>
      <c r="AA39" s="60" t="n">
        <f aca="false">+O39*$D39</f>
        <v>0</v>
      </c>
      <c r="AB39" s="60" t="n">
        <f aca="false">+P39*$D39</f>
        <v>0</v>
      </c>
      <c r="AC39" s="60" t="n">
        <f aca="false">+Q39*$D39</f>
        <v>0</v>
      </c>
      <c r="AD39" s="60" t="n">
        <f aca="false">+R39*$D39</f>
        <v>0</v>
      </c>
      <c r="AE39" s="60" t="n">
        <f aca="false">+S39*$D39</f>
        <v>0</v>
      </c>
      <c r="AF39" s="60" t="n">
        <f aca="false">+T39*$D39</f>
        <v>0</v>
      </c>
      <c r="AG39" s="60" t="n">
        <f aca="false">+U39*$D39</f>
        <v>0</v>
      </c>
    </row>
    <row r="40" customFormat="false" ht="12.75" hidden="false" customHeight="false" outlineLevel="0" collapsed="false">
      <c r="A40" s="88" t="s">
        <v>28</v>
      </c>
      <c r="B40" s="19" t="s">
        <v>48</v>
      </c>
      <c r="C40" s="71" t="n">
        <v>27420</v>
      </c>
      <c r="D40" s="90" t="n">
        <v>2500</v>
      </c>
      <c r="E40" s="84" t="s">
        <v>130</v>
      </c>
      <c r="F40" s="91" t="n">
        <v>0.0557</v>
      </c>
      <c r="G40" s="91" t="n">
        <v>0.0093</v>
      </c>
      <c r="H40" s="85" t="n">
        <f aca="false">+G40+F40</f>
        <v>0.065</v>
      </c>
      <c r="I40" s="23" t="n">
        <v>36861</v>
      </c>
      <c r="J40" s="87" t="n">
        <v>37225</v>
      </c>
      <c r="K40" s="0" t="n">
        <v>31</v>
      </c>
      <c r="L40" s="0" t="n">
        <v>334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W40" s="60" t="n">
        <f aca="false">+K40*$D40</f>
        <v>77500</v>
      </c>
      <c r="X40" s="60" t="n">
        <f aca="false">+L40*$D40</f>
        <v>835000</v>
      </c>
      <c r="Y40" s="60" t="n">
        <f aca="false">+M40*$D40</f>
        <v>0</v>
      </c>
      <c r="Z40" s="60" t="n">
        <f aca="false">+N40*$D40</f>
        <v>0</v>
      </c>
      <c r="AA40" s="60" t="n">
        <f aca="false">+O40*$D40</f>
        <v>0</v>
      </c>
      <c r="AB40" s="60" t="n">
        <f aca="false">+P40*$D40</f>
        <v>0</v>
      </c>
      <c r="AC40" s="60" t="n">
        <f aca="false">+Q40*$D40</f>
        <v>0</v>
      </c>
      <c r="AD40" s="60" t="n">
        <f aca="false">+R40*$D40</f>
        <v>0</v>
      </c>
      <c r="AE40" s="60" t="n">
        <f aca="false">+S40*$D40</f>
        <v>0</v>
      </c>
      <c r="AF40" s="60" t="n">
        <f aca="false">+T40*$D40</f>
        <v>0</v>
      </c>
      <c r="AG40" s="60" t="n">
        <f aca="false">+U40*$D40</f>
        <v>0</v>
      </c>
    </row>
    <row r="41" customFormat="false" ht="12.75" hidden="false" customHeight="false" outlineLevel="0" collapsed="false">
      <c r="A41" s="97" t="s">
        <v>63</v>
      </c>
      <c r="B41" s="19" t="s">
        <v>64</v>
      </c>
      <c r="C41" s="71" t="n">
        <v>27370</v>
      </c>
      <c r="D41" s="90" t="n">
        <v>22000</v>
      </c>
      <c r="E41" s="84" t="s">
        <v>127</v>
      </c>
      <c r="F41" s="91" t="n">
        <v>0.0667</v>
      </c>
      <c r="G41" s="91" t="n">
        <v>0.0033</v>
      </c>
      <c r="H41" s="85" t="n">
        <f aca="false">+G41+F41</f>
        <v>0.07</v>
      </c>
      <c r="I41" s="23" t="n">
        <v>36892</v>
      </c>
      <c r="J41" s="87" t="n">
        <v>37256</v>
      </c>
      <c r="K41" s="0" t="n">
        <v>0</v>
      </c>
      <c r="L41" s="0" t="n">
        <v>365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W41" s="60" t="n">
        <f aca="false">+K41*$D41</f>
        <v>0</v>
      </c>
      <c r="X41" s="60" t="n">
        <f aca="false">+L41*$D41</f>
        <v>8030000</v>
      </c>
      <c r="Y41" s="60" t="n">
        <f aca="false">+M41*$D41</f>
        <v>0</v>
      </c>
      <c r="Z41" s="60" t="n">
        <f aca="false">+N41*$D41</f>
        <v>0</v>
      </c>
      <c r="AA41" s="60" t="n">
        <f aca="false">+O41*$D41</f>
        <v>0</v>
      </c>
      <c r="AB41" s="60" t="n">
        <f aca="false">+P41*$D41</f>
        <v>0</v>
      </c>
      <c r="AC41" s="60" t="n">
        <f aca="false">+Q41*$D41</f>
        <v>0</v>
      </c>
      <c r="AD41" s="60" t="n">
        <f aca="false">+R41*$D41</f>
        <v>0</v>
      </c>
      <c r="AE41" s="60" t="n">
        <f aca="false">+S41*$D41</f>
        <v>0</v>
      </c>
      <c r="AF41" s="60" t="n">
        <f aca="false">+T41*$D41</f>
        <v>0</v>
      </c>
      <c r="AG41" s="60" t="n">
        <f aca="false">+U41*$D41</f>
        <v>0</v>
      </c>
    </row>
    <row r="42" customFormat="false" ht="12.75" hidden="false" customHeight="false" outlineLevel="0" collapsed="false">
      <c r="A42" s="97" t="s">
        <v>63</v>
      </c>
      <c r="B42" s="40" t="s">
        <v>64</v>
      </c>
      <c r="C42" s="71" t="n">
        <v>27371</v>
      </c>
      <c r="D42" s="99" t="n">
        <v>21200</v>
      </c>
      <c r="E42" s="84" t="s">
        <v>127</v>
      </c>
      <c r="F42" s="100" t="n">
        <v>0.0417</v>
      </c>
      <c r="G42" s="100" t="n">
        <v>0.0033</v>
      </c>
      <c r="H42" s="85" t="n">
        <f aca="false">+G42+F42</f>
        <v>0.045</v>
      </c>
      <c r="I42" s="43" t="n">
        <v>36923</v>
      </c>
      <c r="J42" s="87" t="n">
        <v>37256</v>
      </c>
      <c r="K42" s="0" t="n">
        <v>0</v>
      </c>
      <c r="L42" s="0" t="n">
        <v>334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W42" s="60" t="n">
        <f aca="false">+K42*$D42</f>
        <v>0</v>
      </c>
      <c r="X42" s="60" t="n">
        <f aca="false">+L42*$D42</f>
        <v>7080800</v>
      </c>
      <c r="Y42" s="60" t="n">
        <f aca="false">+M42*$D42</f>
        <v>0</v>
      </c>
      <c r="Z42" s="60" t="n">
        <f aca="false">+N42*$D42</f>
        <v>0</v>
      </c>
      <c r="AA42" s="60" t="n">
        <f aca="false">+O42*$D42</f>
        <v>0</v>
      </c>
      <c r="AB42" s="60" t="n">
        <f aca="false">+P42*$D42</f>
        <v>0</v>
      </c>
      <c r="AC42" s="60" t="n">
        <f aca="false">+Q42*$D42</f>
        <v>0</v>
      </c>
      <c r="AD42" s="60" t="n">
        <f aca="false">+R42*$D42</f>
        <v>0</v>
      </c>
      <c r="AE42" s="60" t="n">
        <f aca="false">+S42*$D42</f>
        <v>0</v>
      </c>
      <c r="AF42" s="60" t="n">
        <f aca="false">+T42*$D42</f>
        <v>0</v>
      </c>
      <c r="AG42" s="60" t="n">
        <f aca="false">+U42*$D42</f>
        <v>0</v>
      </c>
    </row>
    <row r="43" customFormat="false" ht="12.75" hidden="false" customHeight="false" outlineLevel="0" collapsed="false">
      <c r="A43" s="101" t="s">
        <v>63</v>
      </c>
      <c r="B43" s="40" t="s">
        <v>65</v>
      </c>
      <c r="C43" s="71" t="n">
        <v>25071</v>
      </c>
      <c r="D43" s="90" t="n">
        <v>60000</v>
      </c>
      <c r="E43" s="84" t="s">
        <v>127</v>
      </c>
      <c r="F43" s="91" t="n">
        <v>0.0467</v>
      </c>
      <c r="G43" s="91" t="n">
        <v>0.0033</v>
      </c>
      <c r="H43" s="85" t="n">
        <f aca="false">+G43+F43</f>
        <v>0.05</v>
      </c>
      <c r="I43" s="43" t="n">
        <v>35400</v>
      </c>
      <c r="J43" s="87" t="n">
        <v>39782</v>
      </c>
      <c r="K43" s="0" t="n">
        <v>366</v>
      </c>
      <c r="L43" s="0" t="n">
        <v>365</v>
      </c>
      <c r="M43" s="0" t="n">
        <v>365</v>
      </c>
      <c r="N43" s="0" t="n">
        <v>365</v>
      </c>
      <c r="O43" s="0" t="n">
        <v>366</v>
      </c>
      <c r="P43" s="0" t="n">
        <v>365</v>
      </c>
      <c r="Q43" s="0" t="n">
        <v>365</v>
      </c>
      <c r="R43" s="0" t="n">
        <v>365</v>
      </c>
      <c r="S43" s="0" t="n">
        <v>335</v>
      </c>
      <c r="T43" s="0" t="n">
        <v>0</v>
      </c>
      <c r="U43" s="0" t="n">
        <v>0</v>
      </c>
      <c r="W43" s="60" t="n">
        <f aca="false">+K43*$D43</f>
        <v>21960000</v>
      </c>
      <c r="X43" s="60" t="n">
        <f aca="false">+L43*$D43</f>
        <v>21900000</v>
      </c>
      <c r="Y43" s="60" t="n">
        <f aca="false">+M43*$D43</f>
        <v>21900000</v>
      </c>
      <c r="Z43" s="60" t="n">
        <f aca="false">+N43*$D43</f>
        <v>21900000</v>
      </c>
      <c r="AA43" s="60" t="n">
        <f aca="false">+O43*$D43</f>
        <v>21960000</v>
      </c>
      <c r="AB43" s="60" t="n">
        <f aca="false">+P43*$D43</f>
        <v>21900000</v>
      </c>
      <c r="AC43" s="60" t="n">
        <f aca="false">+Q43*$D43</f>
        <v>21900000</v>
      </c>
      <c r="AD43" s="60" t="n">
        <f aca="false">+R43*$D43</f>
        <v>21900000</v>
      </c>
      <c r="AE43" s="60" t="n">
        <f aca="false">+S43*$D43</f>
        <v>20100000</v>
      </c>
      <c r="AF43" s="60" t="n">
        <f aca="false">+T43*$D43</f>
        <v>0</v>
      </c>
      <c r="AG43" s="60" t="n">
        <f aca="false">+U43*$D43</f>
        <v>0</v>
      </c>
    </row>
    <row r="44" customFormat="false" ht="12.75" hidden="false" customHeight="false" outlineLevel="0" collapsed="false">
      <c r="A44" s="97" t="s">
        <v>63</v>
      </c>
      <c r="B44" s="40" t="s">
        <v>65</v>
      </c>
      <c r="C44" s="71" t="n">
        <v>27460</v>
      </c>
      <c r="D44" s="90" t="n">
        <v>55000</v>
      </c>
      <c r="E44" s="84" t="s">
        <v>128</v>
      </c>
      <c r="F44" s="91" t="n">
        <v>0.102</v>
      </c>
      <c r="G44" s="91" t="n">
        <v>0.0011</v>
      </c>
      <c r="H44" s="85" t="n">
        <f aca="false">+G44+F44</f>
        <v>0.1031</v>
      </c>
      <c r="I44" s="43" t="n">
        <v>37257</v>
      </c>
      <c r="J44" s="87" t="n">
        <v>37986</v>
      </c>
      <c r="K44" s="0" t="n">
        <v>0</v>
      </c>
      <c r="L44" s="0" t="n">
        <v>0</v>
      </c>
      <c r="M44" s="0" t="n">
        <v>365</v>
      </c>
      <c r="N44" s="0" t="n">
        <v>365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W44" s="60" t="n">
        <f aca="false">+K44*$D44</f>
        <v>0</v>
      </c>
      <c r="X44" s="60" t="n">
        <f aca="false">+L44*$D44</f>
        <v>0</v>
      </c>
      <c r="Y44" s="60" t="n">
        <f aca="false">+M44*$D44</f>
        <v>20075000</v>
      </c>
      <c r="Z44" s="60" t="n">
        <f aca="false">+N44*$D44</f>
        <v>20075000</v>
      </c>
      <c r="AA44" s="60" t="n">
        <f aca="false">+O44*$D44</f>
        <v>0</v>
      </c>
      <c r="AB44" s="60" t="n">
        <f aca="false">+P44*$D44</f>
        <v>0</v>
      </c>
      <c r="AC44" s="60" t="n">
        <f aca="false">+Q44*$D44</f>
        <v>0</v>
      </c>
      <c r="AD44" s="60" t="n">
        <f aca="false">+R44*$D44</f>
        <v>0</v>
      </c>
      <c r="AE44" s="60" t="n">
        <f aca="false">+S44*$D44</f>
        <v>0</v>
      </c>
      <c r="AF44" s="60" t="n">
        <f aca="false">+T44*$D44</f>
        <v>0</v>
      </c>
      <c r="AG44" s="60" t="n">
        <f aca="false">+U44*$D44</f>
        <v>0</v>
      </c>
    </row>
    <row r="45" customFormat="false" ht="12.75" hidden="false" customHeight="false" outlineLevel="0" collapsed="false">
      <c r="A45" s="97" t="s">
        <v>63</v>
      </c>
      <c r="B45" s="19" t="s">
        <v>33</v>
      </c>
      <c r="C45" s="71" t="n">
        <v>25067</v>
      </c>
      <c r="D45" s="90" t="n">
        <v>15000</v>
      </c>
      <c r="E45" s="84" t="s">
        <v>127</v>
      </c>
      <c r="F45" s="91" t="n">
        <v>0.0439</v>
      </c>
      <c r="G45" s="91" t="n">
        <v>0.0011</v>
      </c>
      <c r="H45" s="85" t="n">
        <f aca="false">+G45+F45</f>
        <v>0.045</v>
      </c>
      <c r="I45" s="29" t="n">
        <v>35309</v>
      </c>
      <c r="J45" s="87" t="n">
        <v>37225</v>
      </c>
      <c r="K45" s="0" t="n">
        <v>366</v>
      </c>
      <c r="L45" s="0" t="n">
        <v>334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W45" s="60" t="n">
        <f aca="false">+K45*$D45</f>
        <v>5490000</v>
      </c>
      <c r="X45" s="60" t="n">
        <f aca="false">+L45*$D45</f>
        <v>5010000</v>
      </c>
      <c r="Y45" s="60" t="n">
        <f aca="false">+M45*$D45</f>
        <v>0</v>
      </c>
      <c r="Z45" s="60" t="n">
        <f aca="false">+N45*$D45</f>
        <v>0</v>
      </c>
      <c r="AA45" s="60" t="n">
        <f aca="false">+O45*$D45</f>
        <v>0</v>
      </c>
      <c r="AB45" s="60" t="n">
        <f aca="false">+P45*$D45</f>
        <v>0</v>
      </c>
      <c r="AC45" s="60" t="n">
        <f aca="false">+Q45*$D45</f>
        <v>0</v>
      </c>
      <c r="AD45" s="60" t="n">
        <f aca="false">+R45*$D45</f>
        <v>0</v>
      </c>
      <c r="AE45" s="60" t="n">
        <f aca="false">+S45*$D45</f>
        <v>0</v>
      </c>
      <c r="AF45" s="60" t="n">
        <f aca="false">+T45*$D45</f>
        <v>0</v>
      </c>
      <c r="AG45" s="60" t="n">
        <f aca="false">+U45*$D45</f>
        <v>0</v>
      </c>
    </row>
    <row r="46" customFormat="false" ht="12.75" hidden="false" customHeight="false" outlineLevel="0" collapsed="false">
      <c r="A46" s="97" t="s">
        <v>63</v>
      </c>
      <c r="B46" s="19" t="s">
        <v>33</v>
      </c>
      <c r="C46" s="71" t="n">
        <v>27651</v>
      </c>
      <c r="D46" s="90" t="n">
        <v>33000</v>
      </c>
      <c r="E46" s="84" t="s">
        <v>127</v>
      </c>
      <c r="F46" s="91" t="n">
        <v>0.102</v>
      </c>
      <c r="G46" s="91" t="n">
        <v>0.0011</v>
      </c>
      <c r="H46" s="85" t="n">
        <f aca="false">+G46+F46</f>
        <v>0.1031</v>
      </c>
      <c r="I46" s="23" t="n">
        <v>37073</v>
      </c>
      <c r="J46" s="87" t="n">
        <v>37134</v>
      </c>
      <c r="K46" s="0" t="n">
        <v>0</v>
      </c>
      <c r="L46" s="0" t="n">
        <v>62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W46" s="60" t="n">
        <f aca="false">+K46*$D46</f>
        <v>0</v>
      </c>
      <c r="X46" s="60" t="n">
        <f aca="false">+L46*$D46</f>
        <v>2046000</v>
      </c>
      <c r="Y46" s="60" t="n">
        <f aca="false">+M46*$D46</f>
        <v>0</v>
      </c>
      <c r="Z46" s="60" t="n">
        <f aca="false">+N46*$D46</f>
        <v>0</v>
      </c>
      <c r="AA46" s="60" t="n">
        <f aca="false">+O46*$D46</f>
        <v>0</v>
      </c>
      <c r="AB46" s="60" t="n">
        <f aca="false">+P46*$D46</f>
        <v>0</v>
      </c>
      <c r="AC46" s="60" t="n">
        <f aca="false">+Q46*$D46</f>
        <v>0</v>
      </c>
      <c r="AD46" s="60" t="n">
        <f aca="false">+R46*$D46</f>
        <v>0</v>
      </c>
      <c r="AE46" s="60" t="n">
        <f aca="false">+S46*$D46</f>
        <v>0</v>
      </c>
      <c r="AF46" s="60" t="n">
        <f aca="false">+T46*$D46</f>
        <v>0</v>
      </c>
      <c r="AG46" s="60" t="n">
        <f aca="false">+U46*$D46</f>
        <v>0</v>
      </c>
    </row>
    <row r="47" customFormat="false" ht="12.75" hidden="false" customHeight="false" outlineLevel="0" collapsed="false">
      <c r="A47" s="93" t="s">
        <v>63</v>
      </c>
      <c r="B47" s="19" t="s">
        <v>38</v>
      </c>
      <c r="C47" s="71" t="n">
        <v>24654</v>
      </c>
      <c r="D47" s="90" t="n">
        <v>8000</v>
      </c>
      <c r="E47" s="84" t="s">
        <v>127</v>
      </c>
      <c r="F47" s="91" t="n">
        <v>0.0667</v>
      </c>
      <c r="G47" s="91" t="n">
        <v>0.0033</v>
      </c>
      <c r="H47" s="85" t="n">
        <f aca="false">+G47+F47</f>
        <v>0.07</v>
      </c>
      <c r="I47" s="29" t="n">
        <v>35400</v>
      </c>
      <c r="J47" s="87" t="n">
        <v>37256</v>
      </c>
      <c r="K47" s="0" t="n">
        <v>366</v>
      </c>
      <c r="L47" s="0" t="n">
        <v>365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W47" s="60" t="n">
        <f aca="false">+K47*$D47</f>
        <v>2928000</v>
      </c>
      <c r="X47" s="60" t="n">
        <f aca="false">+L47*$D47</f>
        <v>2920000</v>
      </c>
      <c r="Y47" s="60" t="n">
        <f aca="false">+M47*$D47</f>
        <v>0</v>
      </c>
      <c r="Z47" s="60" t="n">
        <f aca="false">+N47*$D47</f>
        <v>0</v>
      </c>
      <c r="AA47" s="60" t="n">
        <f aca="false">+O47*$D47</f>
        <v>0</v>
      </c>
      <c r="AB47" s="60" t="n">
        <f aca="false">+P47*$D47</f>
        <v>0</v>
      </c>
      <c r="AC47" s="60" t="n">
        <f aca="false">+Q47*$D47</f>
        <v>0</v>
      </c>
      <c r="AD47" s="60" t="n">
        <f aca="false">+R47*$D47</f>
        <v>0</v>
      </c>
      <c r="AE47" s="60" t="n">
        <f aca="false">+S47*$D47</f>
        <v>0</v>
      </c>
      <c r="AF47" s="60" t="n">
        <f aca="false">+T47*$D47</f>
        <v>0</v>
      </c>
      <c r="AG47" s="60" t="n">
        <f aca="false">+U47*$D47</f>
        <v>0</v>
      </c>
    </row>
    <row r="48" customFormat="false" ht="12.75" hidden="false" customHeight="false" outlineLevel="0" collapsed="false">
      <c r="A48" s="97" t="s">
        <v>63</v>
      </c>
      <c r="B48" s="30" t="s">
        <v>38</v>
      </c>
      <c r="C48" s="71" t="n">
        <v>24924</v>
      </c>
      <c r="D48" s="90" t="n">
        <v>25000</v>
      </c>
      <c r="E48" s="84" t="s">
        <v>127</v>
      </c>
      <c r="F48" s="91" t="n">
        <v>0.0567</v>
      </c>
      <c r="G48" s="91" t="n">
        <v>0.0033</v>
      </c>
      <c r="H48" s="85" t="n">
        <f aca="false">+G48+F48</f>
        <v>0.06</v>
      </c>
      <c r="I48" s="29" t="n">
        <v>35309</v>
      </c>
      <c r="J48" s="87" t="n">
        <v>38017</v>
      </c>
      <c r="K48" s="0" t="n">
        <v>366</v>
      </c>
      <c r="L48" s="0" t="n">
        <v>365</v>
      </c>
      <c r="M48" s="0" t="n">
        <v>365</v>
      </c>
      <c r="N48" s="0" t="n">
        <v>365</v>
      </c>
      <c r="O48" s="0" t="n">
        <v>31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W48" s="60" t="n">
        <f aca="false">+K48*$D48</f>
        <v>9150000</v>
      </c>
      <c r="X48" s="60" t="n">
        <f aca="false">+L48*$D48</f>
        <v>9125000</v>
      </c>
      <c r="Y48" s="60" t="n">
        <f aca="false">+M48*$D48</f>
        <v>9125000</v>
      </c>
      <c r="Z48" s="60" t="n">
        <f aca="false">+N48*$D48</f>
        <v>9125000</v>
      </c>
      <c r="AA48" s="60" t="n">
        <f aca="false">+O48*$D48</f>
        <v>775000</v>
      </c>
      <c r="AB48" s="60" t="n">
        <f aca="false">+P48*$D48</f>
        <v>0</v>
      </c>
      <c r="AC48" s="60" t="n">
        <f aca="false">+Q48*$D48</f>
        <v>0</v>
      </c>
      <c r="AD48" s="60" t="n">
        <f aca="false">+R48*$D48</f>
        <v>0</v>
      </c>
      <c r="AE48" s="60" t="n">
        <f aca="false">+S48*$D48</f>
        <v>0</v>
      </c>
      <c r="AF48" s="60" t="n">
        <f aca="false">+T48*$D48</f>
        <v>0</v>
      </c>
      <c r="AG48" s="60" t="n">
        <f aca="false">+U48*$D48</f>
        <v>0</v>
      </c>
    </row>
    <row r="49" customFormat="false" ht="12.75" hidden="false" customHeight="false" outlineLevel="0" collapsed="false">
      <c r="A49" s="93" t="s">
        <v>63</v>
      </c>
      <c r="B49" s="30" t="s">
        <v>39</v>
      </c>
      <c r="C49" s="71" t="n">
        <v>24568</v>
      </c>
      <c r="D49" s="90" t="n">
        <v>32000</v>
      </c>
      <c r="E49" s="84" t="s">
        <v>127</v>
      </c>
      <c r="F49" s="91" t="n">
        <v>0.0667</v>
      </c>
      <c r="G49" s="91" t="n">
        <v>0.0033</v>
      </c>
      <c r="H49" s="85" t="n">
        <f aca="false">+G49+F49</f>
        <v>0.07</v>
      </c>
      <c r="I49" s="29" t="n">
        <v>35400</v>
      </c>
      <c r="J49" s="87" t="n">
        <v>37256</v>
      </c>
      <c r="K49" s="0" t="n">
        <v>366</v>
      </c>
      <c r="L49" s="0" t="n">
        <v>365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W49" s="60" t="n">
        <f aca="false">+K49*$D49</f>
        <v>11712000</v>
      </c>
      <c r="X49" s="60" t="n">
        <f aca="false">+L49*$D49</f>
        <v>11680000</v>
      </c>
      <c r="Y49" s="60" t="n">
        <f aca="false">+M49*$D49</f>
        <v>0</v>
      </c>
      <c r="Z49" s="60" t="n">
        <f aca="false">+N49*$D49</f>
        <v>0</v>
      </c>
      <c r="AA49" s="60" t="n">
        <f aca="false">+O49*$D49</f>
        <v>0</v>
      </c>
      <c r="AB49" s="60" t="n">
        <f aca="false">+P49*$D49</f>
        <v>0</v>
      </c>
      <c r="AC49" s="60" t="n">
        <f aca="false">+Q49*$D49</f>
        <v>0</v>
      </c>
      <c r="AD49" s="60" t="n">
        <f aca="false">+R49*$D49</f>
        <v>0</v>
      </c>
      <c r="AE49" s="60" t="n">
        <f aca="false">+S49*$D49</f>
        <v>0</v>
      </c>
      <c r="AF49" s="60" t="n">
        <f aca="false">+T49*$D49</f>
        <v>0</v>
      </c>
      <c r="AG49" s="60" t="n">
        <f aca="false">+U49*$D49</f>
        <v>0</v>
      </c>
    </row>
    <row r="50" customFormat="false" ht="12.75" hidden="false" customHeight="false" outlineLevel="0" collapsed="false">
      <c r="A50" s="97" t="s">
        <v>63</v>
      </c>
      <c r="B50" s="19" t="s">
        <v>66</v>
      </c>
      <c r="C50" s="71" t="n">
        <v>24927</v>
      </c>
      <c r="D50" s="90" t="n">
        <v>30000</v>
      </c>
      <c r="E50" s="84" t="s">
        <v>127</v>
      </c>
      <c r="F50" s="91" t="n">
        <v>0.0367</v>
      </c>
      <c r="G50" s="91" t="n">
        <v>0.0033</v>
      </c>
      <c r="H50" s="85" t="n">
        <f aca="false">+G50+F50</f>
        <v>0.04</v>
      </c>
      <c r="I50" s="29" t="n">
        <v>35309</v>
      </c>
      <c r="J50" s="87" t="n">
        <v>38748</v>
      </c>
      <c r="K50" s="0" t="n">
        <v>366</v>
      </c>
      <c r="L50" s="0" t="n">
        <v>365</v>
      </c>
      <c r="M50" s="0" t="n">
        <v>365</v>
      </c>
      <c r="N50" s="0" t="n">
        <v>365</v>
      </c>
      <c r="O50" s="0" t="n">
        <v>366</v>
      </c>
      <c r="P50" s="0" t="n">
        <v>365</v>
      </c>
      <c r="Q50" s="0" t="n">
        <v>31</v>
      </c>
      <c r="R50" s="0" t="n">
        <v>0</v>
      </c>
      <c r="S50" s="0" t="n">
        <v>0</v>
      </c>
      <c r="T50" s="0" t="n">
        <v>0</v>
      </c>
      <c r="U50" s="0" t="n">
        <v>0</v>
      </c>
      <c r="W50" s="60" t="n">
        <f aca="false">+K50*$D50</f>
        <v>10980000</v>
      </c>
      <c r="X50" s="60" t="n">
        <f aca="false">+L50*$D50</f>
        <v>10950000</v>
      </c>
      <c r="Y50" s="60" t="n">
        <f aca="false">+M50*$D50</f>
        <v>10950000</v>
      </c>
      <c r="Z50" s="60" t="n">
        <f aca="false">+N50*$D50</f>
        <v>10950000</v>
      </c>
      <c r="AA50" s="60" t="n">
        <f aca="false">+O50*$D50</f>
        <v>10980000</v>
      </c>
      <c r="AB50" s="60" t="n">
        <f aca="false">+P50*$D50</f>
        <v>10950000</v>
      </c>
      <c r="AC50" s="60" t="n">
        <f aca="false">+Q50*$D50</f>
        <v>930000</v>
      </c>
      <c r="AD50" s="60" t="n">
        <f aca="false">+R50*$D50</f>
        <v>0</v>
      </c>
      <c r="AE50" s="60" t="n">
        <f aca="false">+S50*$D50</f>
        <v>0</v>
      </c>
      <c r="AF50" s="60" t="n">
        <f aca="false">+T50*$D50</f>
        <v>0</v>
      </c>
      <c r="AG50" s="60" t="n">
        <f aca="false">+U50*$D50</f>
        <v>0</v>
      </c>
    </row>
    <row r="51" customFormat="false" ht="12.75" hidden="false" customHeight="false" outlineLevel="0" collapsed="false">
      <c r="A51" s="97" t="s">
        <v>63</v>
      </c>
      <c r="B51" s="19" t="s">
        <v>67</v>
      </c>
      <c r="C51" s="71" t="n">
        <v>25397</v>
      </c>
      <c r="D51" s="90" t="n">
        <v>10000</v>
      </c>
      <c r="E51" s="84" t="s">
        <v>127</v>
      </c>
      <c r="F51" s="91" t="n">
        <v>0.0289</v>
      </c>
      <c r="G51" s="91" t="n">
        <v>0.0011</v>
      </c>
      <c r="H51" s="85" t="n">
        <f aca="false">+G51+F51</f>
        <v>0.03</v>
      </c>
      <c r="I51" s="23" t="n">
        <v>35886</v>
      </c>
      <c r="J51" s="87" t="n">
        <v>37711</v>
      </c>
      <c r="K51" s="0" t="n">
        <v>366</v>
      </c>
      <c r="L51" s="0" t="n">
        <v>365</v>
      </c>
      <c r="M51" s="0" t="n">
        <v>365</v>
      </c>
      <c r="N51" s="0" t="n">
        <v>90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W51" s="60" t="n">
        <f aca="false">+K51*$D51</f>
        <v>3660000</v>
      </c>
      <c r="X51" s="60" t="n">
        <f aca="false">+L51*$D51</f>
        <v>3650000</v>
      </c>
      <c r="Y51" s="60" t="n">
        <f aca="false">+M51*$D51</f>
        <v>3650000</v>
      </c>
      <c r="Z51" s="60" t="n">
        <f aca="false">+N51*$D51</f>
        <v>900000</v>
      </c>
      <c r="AA51" s="60" t="n">
        <f aca="false">+O51*$D51</f>
        <v>0</v>
      </c>
      <c r="AB51" s="60" t="n">
        <f aca="false">+P51*$D51</f>
        <v>0</v>
      </c>
      <c r="AC51" s="60" t="n">
        <f aca="false">+Q51*$D51</f>
        <v>0</v>
      </c>
      <c r="AD51" s="60" t="n">
        <f aca="false">+R51*$D51</f>
        <v>0</v>
      </c>
      <c r="AE51" s="60" t="n">
        <f aca="false">+S51*$D51</f>
        <v>0</v>
      </c>
      <c r="AF51" s="60" t="n">
        <f aca="false">+T51*$D51</f>
        <v>0</v>
      </c>
      <c r="AG51" s="60" t="n">
        <f aca="false">+U51*$D51</f>
        <v>0</v>
      </c>
    </row>
    <row r="52" customFormat="false" ht="12.75" hidden="false" customHeight="false" outlineLevel="0" collapsed="false">
      <c r="A52" s="97" t="s">
        <v>63</v>
      </c>
      <c r="B52" s="19" t="s">
        <v>68</v>
      </c>
      <c r="C52" s="71" t="n">
        <v>27047</v>
      </c>
      <c r="D52" s="90" t="n">
        <v>125000</v>
      </c>
      <c r="E52" s="95" t="s">
        <v>131</v>
      </c>
      <c r="F52" s="91" t="n">
        <v>0.0366</v>
      </c>
      <c r="G52" s="91" t="n">
        <v>0.0033</v>
      </c>
      <c r="H52" s="85" t="n">
        <f aca="false">+G52+F52</f>
        <v>0.0399</v>
      </c>
      <c r="I52" s="23" t="n">
        <v>36557</v>
      </c>
      <c r="J52" s="87" t="n">
        <v>38717</v>
      </c>
      <c r="K52" s="0" t="n">
        <v>335</v>
      </c>
      <c r="L52" s="0" t="n">
        <v>365</v>
      </c>
      <c r="M52" s="0" t="n">
        <v>365</v>
      </c>
      <c r="N52" s="0" t="n">
        <v>365</v>
      </c>
      <c r="O52" s="0" t="n">
        <v>366</v>
      </c>
      <c r="P52" s="0" t="n">
        <v>365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W52" s="60" t="n">
        <f aca="false">+K52*$D52</f>
        <v>41875000</v>
      </c>
      <c r="X52" s="60" t="n">
        <f aca="false">+L52*$D52</f>
        <v>45625000</v>
      </c>
      <c r="Y52" s="60" t="n">
        <f aca="false">+M52*$D52</f>
        <v>45625000</v>
      </c>
      <c r="Z52" s="60" t="n">
        <f aca="false">+N52*$D52</f>
        <v>45625000</v>
      </c>
      <c r="AA52" s="60" t="n">
        <f aca="false">+O52*$D52</f>
        <v>45750000</v>
      </c>
      <c r="AB52" s="60" t="n">
        <f aca="false">+P52*$D52</f>
        <v>45625000</v>
      </c>
      <c r="AC52" s="60" t="n">
        <f aca="false">+Q52*$D52</f>
        <v>0</v>
      </c>
      <c r="AD52" s="60" t="n">
        <f aca="false">+R52*$D52</f>
        <v>0</v>
      </c>
      <c r="AE52" s="60" t="n">
        <f aca="false">+S52*$D52</f>
        <v>0</v>
      </c>
      <c r="AF52" s="60" t="n">
        <f aca="false">+T52*$D52</f>
        <v>0</v>
      </c>
      <c r="AG52" s="60" t="n">
        <f aca="false">+U52*$D52</f>
        <v>0</v>
      </c>
    </row>
    <row r="53" customFormat="false" ht="12.75" hidden="false" customHeight="false" outlineLevel="0" collapsed="false">
      <c r="A53" s="97" t="s">
        <v>63</v>
      </c>
      <c r="B53" s="19" t="s">
        <v>69</v>
      </c>
      <c r="C53" s="71" t="n">
        <v>27342</v>
      </c>
      <c r="D53" s="90" t="n">
        <v>30000</v>
      </c>
      <c r="E53" s="84" t="s">
        <v>127</v>
      </c>
      <c r="F53" s="91" t="n">
        <v>0.0589</v>
      </c>
      <c r="G53" s="91" t="n">
        <v>0.0011</v>
      </c>
      <c r="H53" s="85" t="n">
        <f aca="false">+G53+F53</f>
        <v>0.06</v>
      </c>
      <c r="I53" s="23" t="n">
        <v>36892</v>
      </c>
      <c r="J53" s="87" t="n">
        <v>37256</v>
      </c>
      <c r="K53" s="0" t="n">
        <v>0</v>
      </c>
      <c r="L53" s="0" t="n">
        <v>365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W53" s="60" t="n">
        <f aca="false">+K53*$D53</f>
        <v>0</v>
      </c>
      <c r="X53" s="60" t="n">
        <f aca="false">+L53*$D53</f>
        <v>10950000</v>
      </c>
      <c r="Y53" s="60" t="n">
        <f aca="false">+M53*$D53</f>
        <v>0</v>
      </c>
      <c r="Z53" s="60" t="n">
        <f aca="false">+N53*$D53</f>
        <v>0</v>
      </c>
      <c r="AA53" s="60" t="n">
        <f aca="false">+O53*$D53</f>
        <v>0</v>
      </c>
      <c r="AB53" s="60" t="n">
        <f aca="false">+P53*$D53</f>
        <v>0</v>
      </c>
      <c r="AC53" s="60" t="n">
        <f aca="false">+Q53*$D53</f>
        <v>0</v>
      </c>
      <c r="AD53" s="60" t="n">
        <f aca="false">+R53*$D53</f>
        <v>0</v>
      </c>
      <c r="AE53" s="60" t="n">
        <f aca="false">+S53*$D53</f>
        <v>0</v>
      </c>
      <c r="AF53" s="60" t="n">
        <f aca="false">+T53*$D53</f>
        <v>0</v>
      </c>
      <c r="AG53" s="60" t="n">
        <f aca="false">+U53*$D53</f>
        <v>0</v>
      </c>
    </row>
    <row r="54" customFormat="false" ht="12.75" hidden="false" customHeight="false" outlineLevel="0" collapsed="false">
      <c r="A54" s="97" t="s">
        <v>63</v>
      </c>
      <c r="B54" s="19" t="s">
        <v>70</v>
      </c>
      <c r="C54" s="71" t="n">
        <v>26044</v>
      </c>
      <c r="D54" s="90" t="n">
        <v>85000</v>
      </c>
      <c r="E54" s="84" t="s">
        <v>127</v>
      </c>
      <c r="F54" s="91" t="n">
        <v>0.0289</v>
      </c>
      <c r="G54" s="91" t="n">
        <v>0.0011</v>
      </c>
      <c r="H54" s="85" t="n">
        <f aca="false">+G54+F54</f>
        <v>0.03</v>
      </c>
      <c r="I54" s="23" t="n">
        <v>35886</v>
      </c>
      <c r="J54" s="87" t="n">
        <v>37925</v>
      </c>
      <c r="K54" s="0" t="n">
        <v>366</v>
      </c>
      <c r="L54" s="0" t="n">
        <v>365</v>
      </c>
      <c r="M54" s="0" t="n">
        <v>365</v>
      </c>
      <c r="N54" s="0" t="n">
        <v>304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W54" s="60" t="n">
        <f aca="false">+K54*$D54</f>
        <v>31110000</v>
      </c>
      <c r="X54" s="60" t="n">
        <f aca="false">+L54*$D54</f>
        <v>31025000</v>
      </c>
      <c r="Y54" s="60" t="n">
        <f aca="false">+M54*$D54</f>
        <v>31025000</v>
      </c>
      <c r="Z54" s="60" t="n">
        <f aca="false">+N54*$D54</f>
        <v>25840000</v>
      </c>
      <c r="AA54" s="60" t="n">
        <f aca="false">+O54*$D54</f>
        <v>0</v>
      </c>
      <c r="AB54" s="60" t="n">
        <f aca="false">+P54*$D54</f>
        <v>0</v>
      </c>
      <c r="AC54" s="60" t="n">
        <f aca="false">+Q54*$D54</f>
        <v>0</v>
      </c>
      <c r="AD54" s="60" t="n">
        <f aca="false">+R54*$D54</f>
        <v>0</v>
      </c>
      <c r="AE54" s="60" t="n">
        <f aca="false">+S54*$D54</f>
        <v>0</v>
      </c>
      <c r="AF54" s="60" t="n">
        <f aca="false">+T54*$D54</f>
        <v>0</v>
      </c>
      <c r="AG54" s="60" t="n">
        <f aca="false">+U54*$D54</f>
        <v>0</v>
      </c>
    </row>
    <row r="55" customFormat="false" ht="12.75" hidden="false" customHeight="false" outlineLevel="0" collapsed="false">
      <c r="A55" s="97" t="s">
        <v>63</v>
      </c>
      <c r="B55" s="19" t="s">
        <v>70</v>
      </c>
      <c r="C55" s="71" t="n">
        <v>26436</v>
      </c>
      <c r="D55" s="90" t="n">
        <v>59000</v>
      </c>
      <c r="E55" s="84" t="s">
        <v>127</v>
      </c>
      <c r="F55" s="91" t="n">
        <v>0.0489</v>
      </c>
      <c r="G55" s="91" t="n">
        <v>0.0011</v>
      </c>
      <c r="H55" s="85" t="n">
        <f aca="false">+G55+F55</f>
        <v>0.05</v>
      </c>
      <c r="I55" s="23" t="n">
        <v>36100</v>
      </c>
      <c r="J55" s="87" t="n">
        <v>37925</v>
      </c>
      <c r="K55" s="0" t="n">
        <v>366</v>
      </c>
      <c r="L55" s="0" t="n">
        <v>365</v>
      </c>
      <c r="M55" s="0" t="n">
        <v>365</v>
      </c>
      <c r="N55" s="0" t="n">
        <v>304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W55" s="60" t="n">
        <f aca="false">+K55*$D55</f>
        <v>21594000</v>
      </c>
      <c r="X55" s="60" t="n">
        <f aca="false">+L55*$D55</f>
        <v>21535000</v>
      </c>
      <c r="Y55" s="60" t="n">
        <f aca="false">+M55*$D55</f>
        <v>21535000</v>
      </c>
      <c r="Z55" s="60" t="n">
        <f aca="false">+N55*$D55</f>
        <v>17936000</v>
      </c>
      <c r="AA55" s="60" t="n">
        <f aca="false">+O55*$D55</f>
        <v>0</v>
      </c>
      <c r="AB55" s="60" t="n">
        <f aca="false">+P55*$D55</f>
        <v>0</v>
      </c>
      <c r="AC55" s="60" t="n">
        <f aca="false">+Q55*$D55</f>
        <v>0</v>
      </c>
      <c r="AD55" s="60" t="n">
        <f aca="false">+R55*$D55</f>
        <v>0</v>
      </c>
      <c r="AE55" s="60" t="n">
        <f aca="false">+S55*$D55</f>
        <v>0</v>
      </c>
      <c r="AF55" s="60" t="n">
        <f aca="false">+T55*$D55</f>
        <v>0</v>
      </c>
      <c r="AG55" s="60" t="n">
        <f aca="false">+U55*$D55</f>
        <v>0</v>
      </c>
    </row>
    <row r="56" customFormat="false" ht="12.75" hidden="false" customHeight="false" outlineLevel="0" collapsed="false">
      <c r="A56" s="97" t="s">
        <v>63</v>
      </c>
      <c r="B56" s="19" t="s">
        <v>71</v>
      </c>
      <c r="C56" s="71" t="n">
        <v>24669</v>
      </c>
      <c r="D56" s="90" t="n">
        <v>12500</v>
      </c>
      <c r="E56" s="84" t="s">
        <v>130</v>
      </c>
      <c r="F56" s="91" t="n">
        <v>0.0567</v>
      </c>
      <c r="G56" s="91" t="n">
        <v>0.0033</v>
      </c>
      <c r="H56" s="85" t="n">
        <f aca="false">+G56+F56</f>
        <v>0.06</v>
      </c>
      <c r="I56" s="29" t="n">
        <v>35309</v>
      </c>
      <c r="J56" s="87" t="n">
        <v>38748</v>
      </c>
      <c r="K56" s="0" t="n">
        <v>366</v>
      </c>
      <c r="L56" s="0" t="n">
        <v>365</v>
      </c>
      <c r="M56" s="0" t="n">
        <v>365</v>
      </c>
      <c r="N56" s="0" t="n">
        <v>365</v>
      </c>
      <c r="O56" s="0" t="n">
        <v>366</v>
      </c>
      <c r="P56" s="0" t="n">
        <v>365</v>
      </c>
      <c r="Q56" s="0" t="n">
        <v>31</v>
      </c>
      <c r="R56" s="0" t="n">
        <v>0</v>
      </c>
      <c r="S56" s="0" t="n">
        <v>0</v>
      </c>
      <c r="T56" s="0" t="n">
        <v>0</v>
      </c>
      <c r="U56" s="0" t="n">
        <v>0</v>
      </c>
      <c r="W56" s="60" t="n">
        <f aca="false">+K56*$D56</f>
        <v>4575000</v>
      </c>
      <c r="X56" s="60" t="n">
        <f aca="false">+L56*$D56</f>
        <v>4562500</v>
      </c>
      <c r="Y56" s="60" t="n">
        <f aca="false">+M56*$D56</f>
        <v>4562500</v>
      </c>
      <c r="Z56" s="60" t="n">
        <f aca="false">+N56*$D56</f>
        <v>4562500</v>
      </c>
      <c r="AA56" s="60" t="n">
        <f aca="false">+O56*$D56</f>
        <v>4575000</v>
      </c>
      <c r="AB56" s="60" t="n">
        <f aca="false">+P56*$D56</f>
        <v>4562500</v>
      </c>
      <c r="AC56" s="60" t="n">
        <f aca="false">+Q56*$D56</f>
        <v>387500</v>
      </c>
      <c r="AD56" s="60" t="n">
        <f aca="false">+R56*$D56</f>
        <v>0</v>
      </c>
      <c r="AE56" s="60" t="n">
        <f aca="false">+S56*$D56</f>
        <v>0</v>
      </c>
      <c r="AF56" s="60" t="n">
        <f aca="false">+T56*$D56</f>
        <v>0</v>
      </c>
      <c r="AG56" s="60" t="n">
        <f aca="false">+U56*$D56</f>
        <v>0</v>
      </c>
    </row>
    <row r="57" customFormat="false" ht="12.75" hidden="false" customHeight="false" outlineLevel="0" collapsed="false">
      <c r="A57" s="97" t="s">
        <v>63</v>
      </c>
      <c r="B57" s="19" t="s">
        <v>72</v>
      </c>
      <c r="C57" s="71" t="n">
        <v>27344</v>
      </c>
      <c r="D57" s="90" t="n">
        <v>13500</v>
      </c>
      <c r="E57" s="84" t="s">
        <v>127</v>
      </c>
      <c r="F57" s="91" t="n">
        <v>0.0417</v>
      </c>
      <c r="G57" s="91" t="n">
        <v>0.0033</v>
      </c>
      <c r="H57" s="85" t="n">
        <f aca="false">+G57+F57</f>
        <v>0.045</v>
      </c>
      <c r="I57" s="23" t="n">
        <v>36892</v>
      </c>
      <c r="J57" s="87" t="n">
        <v>37621</v>
      </c>
      <c r="K57" s="0" t="n">
        <v>0</v>
      </c>
      <c r="L57" s="0" t="n">
        <v>365</v>
      </c>
      <c r="M57" s="0" t="n">
        <v>365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W57" s="60" t="n">
        <f aca="false">+K57*$D57</f>
        <v>0</v>
      </c>
      <c r="X57" s="60" t="n">
        <f aca="false">+L57*$D57</f>
        <v>4927500</v>
      </c>
      <c r="Y57" s="60" t="n">
        <f aca="false">+M57*$D57</f>
        <v>4927500</v>
      </c>
      <c r="Z57" s="60" t="n">
        <f aca="false">+N57*$D57</f>
        <v>0</v>
      </c>
      <c r="AA57" s="60" t="n">
        <f aca="false">+O57*$D57</f>
        <v>0</v>
      </c>
      <c r="AB57" s="60" t="n">
        <f aca="false">+P57*$D57</f>
        <v>0</v>
      </c>
      <c r="AC57" s="60" t="n">
        <f aca="false">+Q57*$D57</f>
        <v>0</v>
      </c>
      <c r="AD57" s="60" t="n">
        <f aca="false">+R57*$D57</f>
        <v>0</v>
      </c>
      <c r="AE57" s="60" t="n">
        <f aca="false">+S57*$D57</f>
        <v>0</v>
      </c>
      <c r="AF57" s="60" t="n">
        <f aca="false">+T57*$D57</f>
        <v>0</v>
      </c>
      <c r="AG57" s="60" t="n">
        <f aca="false">+U57*$D57</f>
        <v>0</v>
      </c>
    </row>
    <row r="58" customFormat="false" ht="12.75" hidden="false" customHeight="false" outlineLevel="0" collapsed="false">
      <c r="A58" s="97" t="s">
        <v>63</v>
      </c>
      <c r="B58" s="19" t="s">
        <v>73</v>
      </c>
      <c r="C58" s="71" t="n">
        <v>24925</v>
      </c>
      <c r="D58" s="90" t="n">
        <v>100000</v>
      </c>
      <c r="E58" s="84" t="s">
        <v>127</v>
      </c>
      <c r="F58" s="91" t="n">
        <v>0.0567</v>
      </c>
      <c r="G58" s="91" t="n">
        <v>0.0033</v>
      </c>
      <c r="H58" s="85" t="n">
        <f aca="false">+G58+F58</f>
        <v>0.06</v>
      </c>
      <c r="I58" s="29" t="n">
        <v>35309</v>
      </c>
      <c r="J58" s="87" t="n">
        <v>38017</v>
      </c>
      <c r="K58" s="0" t="n">
        <v>366</v>
      </c>
      <c r="L58" s="0" t="n">
        <v>365</v>
      </c>
      <c r="M58" s="0" t="n">
        <v>365</v>
      </c>
      <c r="N58" s="0" t="n">
        <v>365</v>
      </c>
      <c r="O58" s="0" t="n">
        <v>31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W58" s="60" t="n">
        <f aca="false">+K58*$D58</f>
        <v>36600000</v>
      </c>
      <c r="X58" s="60" t="n">
        <f aca="false">+L58*$D58</f>
        <v>36500000</v>
      </c>
      <c r="Y58" s="60" t="n">
        <f aca="false">+M58*$D58</f>
        <v>36500000</v>
      </c>
      <c r="Z58" s="60" t="n">
        <f aca="false">+N58*$D58</f>
        <v>36500000</v>
      </c>
      <c r="AA58" s="60" t="n">
        <f aca="false">+O58*$D58</f>
        <v>3100000</v>
      </c>
      <c r="AB58" s="60" t="n">
        <f aca="false">+P58*$D58</f>
        <v>0</v>
      </c>
      <c r="AC58" s="60" t="n">
        <f aca="false">+Q58*$D58</f>
        <v>0</v>
      </c>
      <c r="AD58" s="60" t="n">
        <f aca="false">+R58*$D58</f>
        <v>0</v>
      </c>
      <c r="AE58" s="60" t="n">
        <f aca="false">+S58*$D58</f>
        <v>0</v>
      </c>
      <c r="AF58" s="60" t="n">
        <f aca="false">+T58*$D58</f>
        <v>0</v>
      </c>
      <c r="AG58" s="60" t="n">
        <f aca="false">+U58*$D58</f>
        <v>0</v>
      </c>
    </row>
    <row r="59" customFormat="false" ht="12.75" hidden="false" customHeight="false" outlineLevel="0" collapsed="false">
      <c r="A59" s="102" t="s">
        <v>13</v>
      </c>
      <c r="B59" s="50" t="s">
        <v>75</v>
      </c>
      <c r="C59" s="71" t="n">
        <v>24735</v>
      </c>
      <c r="D59" s="62" t="n">
        <v>4000</v>
      </c>
      <c r="E59" s="61" t="s">
        <v>133</v>
      </c>
      <c r="F59" s="63" t="n">
        <v>0.102</v>
      </c>
      <c r="G59" s="63" t="n">
        <v>0.0011</v>
      </c>
      <c r="H59" s="85" t="n">
        <f aca="false">+G59+F59</f>
        <v>0.1031</v>
      </c>
      <c r="I59" s="86" t="n">
        <v>36525</v>
      </c>
      <c r="J59" s="87" t="n">
        <v>36616</v>
      </c>
      <c r="K59" s="0" t="n">
        <v>91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W59" s="60" t="n">
        <f aca="false">+K59*$D59</f>
        <v>364000</v>
      </c>
      <c r="X59" s="60" t="n">
        <f aca="false">+L59*$D59</f>
        <v>0</v>
      </c>
      <c r="Y59" s="60" t="n">
        <f aca="false">+M59*$D59</f>
        <v>0</v>
      </c>
      <c r="Z59" s="60" t="n">
        <f aca="false">+N59*$D59</f>
        <v>0</v>
      </c>
      <c r="AA59" s="60" t="n">
        <f aca="false">+O59*$D59</f>
        <v>0</v>
      </c>
      <c r="AB59" s="60" t="n">
        <f aca="false">+P59*$D59</f>
        <v>0</v>
      </c>
      <c r="AC59" s="60" t="n">
        <f aca="false">+Q59*$D59</f>
        <v>0</v>
      </c>
      <c r="AD59" s="60" t="n">
        <f aca="false">+R59*$D59</f>
        <v>0</v>
      </c>
      <c r="AE59" s="60" t="n">
        <f aca="false">+S59*$D59</f>
        <v>0</v>
      </c>
      <c r="AF59" s="60" t="n">
        <f aca="false">+T59*$D59</f>
        <v>0</v>
      </c>
      <c r="AG59" s="60" t="n">
        <f aca="false">+U59*$D59</f>
        <v>0</v>
      </c>
    </row>
    <row r="60" customFormat="false" ht="12.75" hidden="false" customHeight="false" outlineLevel="0" collapsed="false">
      <c r="A60" s="101" t="s">
        <v>13</v>
      </c>
      <c r="B60" s="40" t="s">
        <v>65</v>
      </c>
      <c r="C60" s="71" t="n">
        <v>25071</v>
      </c>
      <c r="D60" s="62" t="n">
        <v>90000</v>
      </c>
      <c r="E60" s="84" t="s">
        <v>127</v>
      </c>
      <c r="F60" s="63" t="n">
        <v>0.102</v>
      </c>
      <c r="G60" s="63" t="n">
        <v>0.0011</v>
      </c>
      <c r="H60" s="85" t="n">
        <f aca="false">+G60+F60</f>
        <v>0.1031</v>
      </c>
      <c r="I60" s="86" t="n">
        <v>36525</v>
      </c>
      <c r="J60" s="87" t="n">
        <v>39782</v>
      </c>
      <c r="K60" s="0" t="n">
        <v>366</v>
      </c>
      <c r="L60" s="0" t="n">
        <v>365</v>
      </c>
      <c r="M60" s="0" t="n">
        <v>365</v>
      </c>
      <c r="N60" s="0" t="n">
        <v>365</v>
      </c>
      <c r="O60" s="0" t="n">
        <v>366</v>
      </c>
      <c r="P60" s="0" t="n">
        <v>365</v>
      </c>
      <c r="Q60" s="0" t="n">
        <v>365</v>
      </c>
      <c r="R60" s="0" t="n">
        <v>335</v>
      </c>
      <c r="S60" s="0" t="n">
        <v>0</v>
      </c>
      <c r="T60" s="0" t="n">
        <v>0</v>
      </c>
      <c r="U60" s="0" t="n">
        <v>0</v>
      </c>
      <c r="W60" s="60" t="n">
        <f aca="false">+K60*$D60</f>
        <v>32940000</v>
      </c>
      <c r="X60" s="60" t="n">
        <f aca="false">+L60*$D60</f>
        <v>32850000</v>
      </c>
      <c r="Y60" s="60" t="n">
        <f aca="false">+M60*$D60</f>
        <v>32850000</v>
      </c>
      <c r="Z60" s="60" t="n">
        <f aca="false">+N60*$D60</f>
        <v>32850000</v>
      </c>
      <c r="AA60" s="60" t="n">
        <f aca="false">+O60*$D60</f>
        <v>32940000</v>
      </c>
      <c r="AB60" s="60" t="n">
        <f aca="false">+P60*$D60</f>
        <v>32850000</v>
      </c>
      <c r="AC60" s="60" t="n">
        <f aca="false">+Q60*$D60</f>
        <v>32850000</v>
      </c>
      <c r="AD60" s="60" t="n">
        <f aca="false">+R60*$D60</f>
        <v>30150000</v>
      </c>
      <c r="AE60" s="60" t="n">
        <f aca="false">+S60*$D60</f>
        <v>0</v>
      </c>
      <c r="AF60" s="60" t="n">
        <f aca="false">+T60*$D60</f>
        <v>0</v>
      </c>
      <c r="AG60" s="60" t="n">
        <f aca="false">+U60*$D60</f>
        <v>0</v>
      </c>
    </row>
    <row r="61" customFormat="false" ht="12.75" hidden="false" customHeight="false" outlineLevel="0" collapsed="false">
      <c r="A61" s="103" t="s">
        <v>13</v>
      </c>
      <c r="B61" s="40" t="s">
        <v>65</v>
      </c>
      <c r="C61" s="71" t="n">
        <v>25700</v>
      </c>
      <c r="D61" s="62" t="n">
        <v>25000</v>
      </c>
      <c r="E61" s="84" t="s">
        <v>127</v>
      </c>
      <c r="F61" s="63" t="n">
        <v>0.102</v>
      </c>
      <c r="G61" s="63" t="n">
        <v>0.0011</v>
      </c>
      <c r="H61" s="85" t="n">
        <f aca="false">+G61+F61</f>
        <v>0.1031</v>
      </c>
      <c r="I61" s="86" t="n">
        <v>36525</v>
      </c>
      <c r="J61" s="87" t="n">
        <v>37621</v>
      </c>
      <c r="K61" s="0" t="n">
        <v>366</v>
      </c>
      <c r="L61" s="0" t="n">
        <v>365</v>
      </c>
      <c r="M61" s="0" t="n">
        <v>365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W61" s="60" t="n">
        <f aca="false">+K61*$D61</f>
        <v>9150000</v>
      </c>
      <c r="X61" s="60" t="n">
        <f aca="false">+L61*$D61</f>
        <v>9125000</v>
      </c>
      <c r="Y61" s="60" t="n">
        <f aca="false">+M61*$D61</f>
        <v>9125000</v>
      </c>
      <c r="Z61" s="60" t="n">
        <f aca="false">+N61*$D61</f>
        <v>0</v>
      </c>
      <c r="AA61" s="60" t="n">
        <f aca="false">+O61*$D61</f>
        <v>0</v>
      </c>
      <c r="AB61" s="60" t="n">
        <f aca="false">+P61*$D61</f>
        <v>0</v>
      </c>
      <c r="AC61" s="60" t="n">
        <f aca="false">+Q61*$D61</f>
        <v>0</v>
      </c>
      <c r="AD61" s="60" t="n">
        <f aca="false">+R61*$D61</f>
        <v>0</v>
      </c>
      <c r="AE61" s="60" t="n">
        <f aca="false">+S61*$D61</f>
        <v>0</v>
      </c>
      <c r="AF61" s="60" t="n">
        <f aca="false">+T61*$D61</f>
        <v>0</v>
      </c>
      <c r="AG61" s="60" t="n">
        <f aca="false">+U61*$D61</f>
        <v>0</v>
      </c>
    </row>
    <row r="62" customFormat="false" ht="12.75" hidden="false" customHeight="false" outlineLevel="0" collapsed="false">
      <c r="A62" s="92" t="s">
        <v>13</v>
      </c>
      <c r="B62" s="22" t="s">
        <v>33</v>
      </c>
      <c r="C62" s="71" t="n">
        <v>25025</v>
      </c>
      <c r="D62" s="62" t="n">
        <v>80000</v>
      </c>
      <c r="E62" s="84" t="s">
        <v>127</v>
      </c>
      <c r="F62" s="63" t="n">
        <v>0.102</v>
      </c>
      <c r="G62" s="63" t="n">
        <v>0.0011</v>
      </c>
      <c r="H62" s="85" t="n">
        <f aca="false">+G62+F62</f>
        <v>0.1031</v>
      </c>
      <c r="I62" s="86" t="n">
        <v>36525</v>
      </c>
      <c r="J62" s="87" t="n">
        <v>39051</v>
      </c>
      <c r="K62" s="0" t="n">
        <v>366</v>
      </c>
      <c r="L62" s="0" t="n">
        <v>365</v>
      </c>
      <c r="M62" s="0" t="n">
        <v>365</v>
      </c>
      <c r="N62" s="0" t="n">
        <v>365</v>
      </c>
      <c r="O62" s="0" t="n">
        <v>366</v>
      </c>
      <c r="P62" s="0" t="n">
        <v>365</v>
      </c>
      <c r="Q62" s="0" t="n">
        <v>334</v>
      </c>
      <c r="R62" s="0" t="n">
        <v>0</v>
      </c>
      <c r="S62" s="0" t="n">
        <v>0</v>
      </c>
      <c r="T62" s="0" t="n">
        <v>0</v>
      </c>
      <c r="U62" s="0" t="n">
        <v>0</v>
      </c>
      <c r="W62" s="60" t="n">
        <f aca="false">+K62*$D62</f>
        <v>29280000</v>
      </c>
      <c r="X62" s="60" t="n">
        <f aca="false">+L62*$D62</f>
        <v>29200000</v>
      </c>
      <c r="Y62" s="60" t="n">
        <f aca="false">+M62*$D62</f>
        <v>29200000</v>
      </c>
      <c r="Z62" s="60" t="n">
        <f aca="false">+N62*$D62</f>
        <v>29200000</v>
      </c>
      <c r="AA62" s="60" t="n">
        <f aca="false">+O62*$D62</f>
        <v>29280000</v>
      </c>
      <c r="AB62" s="60" t="n">
        <f aca="false">+P62*$D62</f>
        <v>29200000</v>
      </c>
      <c r="AC62" s="60" t="n">
        <f aca="false">+Q62*$D62</f>
        <v>26720000</v>
      </c>
      <c r="AD62" s="60" t="n">
        <f aca="false">+R62*$D62</f>
        <v>0</v>
      </c>
      <c r="AE62" s="60" t="n">
        <f aca="false">+S62*$D62</f>
        <v>0</v>
      </c>
      <c r="AF62" s="60" t="n">
        <f aca="false">+T62*$D62</f>
        <v>0</v>
      </c>
      <c r="AG62" s="60" t="n">
        <f aca="false">+U62*$D62</f>
        <v>0</v>
      </c>
    </row>
    <row r="63" customFormat="false" ht="12.75" hidden="false" customHeight="false" outlineLevel="0" collapsed="false">
      <c r="A63" s="102" t="s">
        <v>13</v>
      </c>
      <c r="B63" s="50" t="s">
        <v>76</v>
      </c>
      <c r="C63" s="71" t="n">
        <v>24216</v>
      </c>
      <c r="D63" s="62" t="n">
        <v>55000</v>
      </c>
      <c r="E63" s="84" t="s">
        <v>127</v>
      </c>
      <c r="F63" s="63" t="n">
        <v>0.102</v>
      </c>
      <c r="G63" s="63" t="n">
        <v>0.0011</v>
      </c>
      <c r="H63" s="85" t="n">
        <f aca="false">+G63+F63</f>
        <v>0.1031</v>
      </c>
      <c r="I63" s="86" t="n">
        <v>36525</v>
      </c>
      <c r="J63" s="87" t="n">
        <v>36585</v>
      </c>
      <c r="K63" s="0" t="n">
        <v>60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W63" s="60" t="n">
        <f aca="false">+K63*$D63</f>
        <v>3300000</v>
      </c>
      <c r="X63" s="60" t="n">
        <f aca="false">+L63*$D63</f>
        <v>0</v>
      </c>
      <c r="Y63" s="60" t="n">
        <f aca="false">+M63*$D63</f>
        <v>0</v>
      </c>
      <c r="Z63" s="60" t="n">
        <f aca="false">+N63*$D63</f>
        <v>0</v>
      </c>
      <c r="AA63" s="60" t="n">
        <f aca="false">+O63*$D63</f>
        <v>0</v>
      </c>
      <c r="AB63" s="60" t="n">
        <f aca="false">+P63*$D63</f>
        <v>0</v>
      </c>
      <c r="AC63" s="60" t="n">
        <f aca="false">+Q63*$D63</f>
        <v>0</v>
      </c>
      <c r="AD63" s="60" t="n">
        <f aca="false">+R63*$D63</f>
        <v>0</v>
      </c>
      <c r="AE63" s="60" t="n">
        <f aca="false">+S63*$D63</f>
        <v>0</v>
      </c>
      <c r="AF63" s="60" t="n">
        <f aca="false">+T63*$D63</f>
        <v>0</v>
      </c>
      <c r="AG63" s="60" t="n">
        <f aca="false">+U63*$D63</f>
        <v>0</v>
      </c>
    </row>
    <row r="64" customFormat="false" ht="12.75" hidden="false" customHeight="false" outlineLevel="0" collapsed="false">
      <c r="A64" s="103" t="s">
        <v>13</v>
      </c>
      <c r="B64" s="22" t="s">
        <v>77</v>
      </c>
      <c r="C64" s="71" t="n">
        <v>27458</v>
      </c>
      <c r="D64" s="62" t="n">
        <v>14000</v>
      </c>
      <c r="E64" s="61" t="s">
        <v>132</v>
      </c>
      <c r="F64" s="63" t="n">
        <v>0.102</v>
      </c>
      <c r="G64" s="63" t="n">
        <v>0.0011</v>
      </c>
      <c r="H64" s="85" t="n">
        <f aca="false">+G64+F64</f>
        <v>0.1031</v>
      </c>
      <c r="I64" s="86" t="n">
        <v>37621</v>
      </c>
      <c r="J64" s="87" t="n">
        <v>38717</v>
      </c>
      <c r="K64" s="0" t="n">
        <v>0</v>
      </c>
      <c r="L64" s="0" t="n">
        <v>0</v>
      </c>
      <c r="M64" s="0" t="n">
        <v>0</v>
      </c>
      <c r="N64" s="0" t="n">
        <v>365</v>
      </c>
      <c r="O64" s="0" t="n">
        <v>366</v>
      </c>
      <c r="P64" s="0" t="n">
        <v>365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W64" s="60" t="n">
        <f aca="false">+K64*$D64</f>
        <v>0</v>
      </c>
      <c r="X64" s="60" t="n">
        <f aca="false">+L64*$D64</f>
        <v>0</v>
      </c>
      <c r="Y64" s="60" t="n">
        <f aca="false">+M64*$D64</f>
        <v>0</v>
      </c>
      <c r="Z64" s="60" t="n">
        <f aca="false">+N64*$D64</f>
        <v>5110000</v>
      </c>
      <c r="AA64" s="60" t="n">
        <f aca="false">+O64*$D64</f>
        <v>5124000</v>
      </c>
      <c r="AB64" s="60" t="n">
        <f aca="false">+P64*$D64</f>
        <v>5110000</v>
      </c>
      <c r="AC64" s="60" t="n">
        <f aca="false">+Q64*$D64</f>
        <v>0</v>
      </c>
      <c r="AD64" s="60" t="n">
        <f aca="false">+R64*$D64</f>
        <v>0</v>
      </c>
      <c r="AE64" s="60" t="n">
        <f aca="false">+S64*$D64</f>
        <v>0</v>
      </c>
      <c r="AF64" s="60" t="n">
        <f aca="false">+T64*$D64</f>
        <v>0</v>
      </c>
      <c r="AG64" s="60" t="n">
        <f aca="false">+U64*$D64</f>
        <v>0</v>
      </c>
    </row>
    <row r="65" customFormat="false" ht="12.75" hidden="false" customHeight="false" outlineLevel="0" collapsed="false">
      <c r="A65" s="102" t="s">
        <v>13</v>
      </c>
      <c r="B65" s="22" t="s">
        <v>78</v>
      </c>
      <c r="C65" s="71" t="n">
        <v>26519</v>
      </c>
      <c r="D65" s="62" t="n">
        <v>25000</v>
      </c>
      <c r="E65" s="61" t="s">
        <v>133</v>
      </c>
      <c r="F65" s="63" t="n">
        <v>0.1052</v>
      </c>
      <c r="G65" s="63" t="n">
        <v>0.0011</v>
      </c>
      <c r="H65" s="85" t="n">
        <f aca="false">+G65+F65</f>
        <v>0.1063</v>
      </c>
      <c r="I65" s="86" t="n">
        <v>36525</v>
      </c>
      <c r="J65" s="87" t="n">
        <v>39141</v>
      </c>
      <c r="K65" s="0" t="n">
        <v>366</v>
      </c>
      <c r="L65" s="0" t="n">
        <v>365</v>
      </c>
      <c r="M65" s="0" t="n">
        <v>365</v>
      </c>
      <c r="N65" s="0" t="n">
        <v>365</v>
      </c>
      <c r="O65" s="0" t="n">
        <v>366</v>
      </c>
      <c r="P65" s="0" t="n">
        <v>365</v>
      </c>
      <c r="Q65" s="0" t="n">
        <v>365</v>
      </c>
      <c r="R65" s="0" t="n">
        <v>59</v>
      </c>
      <c r="S65" s="0" t="n">
        <v>0</v>
      </c>
      <c r="T65" s="0" t="n">
        <v>0</v>
      </c>
      <c r="U65" s="0" t="n">
        <v>0</v>
      </c>
      <c r="W65" s="60" t="n">
        <f aca="false">+K65*$D65</f>
        <v>9150000</v>
      </c>
      <c r="X65" s="60" t="n">
        <f aca="false">+L65*$D65</f>
        <v>9125000</v>
      </c>
      <c r="Y65" s="60" t="n">
        <f aca="false">+M65*$D65</f>
        <v>9125000</v>
      </c>
      <c r="Z65" s="60" t="n">
        <f aca="false">+N65*$D65</f>
        <v>9125000</v>
      </c>
      <c r="AA65" s="60" t="n">
        <f aca="false">+O65*$D65</f>
        <v>9150000</v>
      </c>
      <c r="AB65" s="60" t="n">
        <f aca="false">+P65*$D65</f>
        <v>9125000</v>
      </c>
      <c r="AC65" s="60" t="n">
        <f aca="false">+Q65*$D65</f>
        <v>9125000</v>
      </c>
      <c r="AD65" s="60" t="n">
        <f aca="false">+R65*$D65</f>
        <v>1475000</v>
      </c>
      <c r="AE65" s="60" t="n">
        <f aca="false">+S65*$D65</f>
        <v>0</v>
      </c>
      <c r="AF65" s="60" t="n">
        <f aca="false">+T65*$D65</f>
        <v>0</v>
      </c>
      <c r="AG65" s="60" t="n">
        <f aca="false">+U65*$D65</f>
        <v>0</v>
      </c>
    </row>
    <row r="66" customFormat="false" ht="12.75" hidden="false" customHeight="false" outlineLevel="0" collapsed="false">
      <c r="A66" s="103" t="s">
        <v>13</v>
      </c>
      <c r="B66" s="22" t="s">
        <v>79</v>
      </c>
      <c r="C66" s="71" t="n">
        <v>27566</v>
      </c>
      <c r="D66" s="62" t="n">
        <v>20000</v>
      </c>
      <c r="E66" s="61" t="s">
        <v>128</v>
      </c>
      <c r="F66" s="63" t="n">
        <v>0.102</v>
      </c>
      <c r="G66" s="63" t="n">
        <v>0.0011</v>
      </c>
      <c r="H66" s="85" t="n">
        <f aca="false">+G66+F66</f>
        <v>0.1031</v>
      </c>
      <c r="I66" s="86" t="n">
        <v>37316</v>
      </c>
      <c r="J66" s="87" t="n">
        <v>39172</v>
      </c>
      <c r="K66" s="0" t="n">
        <v>0</v>
      </c>
      <c r="L66" s="0" t="n">
        <v>0</v>
      </c>
      <c r="M66" s="0" t="n">
        <v>306</v>
      </c>
      <c r="N66" s="0" t="n">
        <v>365</v>
      </c>
      <c r="O66" s="0" t="n">
        <v>366</v>
      </c>
      <c r="P66" s="0" t="n">
        <v>365</v>
      </c>
      <c r="Q66" s="0" t="n">
        <v>365</v>
      </c>
      <c r="R66" s="0" t="n">
        <v>90</v>
      </c>
      <c r="S66" s="0" t="n">
        <v>0</v>
      </c>
      <c r="T66" s="0" t="n">
        <v>0</v>
      </c>
      <c r="U66" s="0" t="n">
        <v>0</v>
      </c>
      <c r="W66" s="60" t="n">
        <f aca="false">+K66*$D66</f>
        <v>0</v>
      </c>
      <c r="X66" s="60" t="n">
        <f aca="false">+L66*$D66</f>
        <v>0</v>
      </c>
      <c r="Y66" s="60" t="n">
        <f aca="false">+M66*$D66</f>
        <v>6120000</v>
      </c>
      <c r="Z66" s="60" t="n">
        <f aca="false">+N66*$D66</f>
        <v>7300000</v>
      </c>
      <c r="AA66" s="60" t="n">
        <f aca="false">+O66*$D66</f>
        <v>7320000</v>
      </c>
      <c r="AB66" s="60" t="n">
        <f aca="false">+P66*$D66</f>
        <v>7300000</v>
      </c>
      <c r="AC66" s="60" t="n">
        <f aca="false">+Q66*$D66</f>
        <v>7300000</v>
      </c>
      <c r="AD66" s="60" t="n">
        <f aca="false">+R66*$D66</f>
        <v>1800000</v>
      </c>
      <c r="AE66" s="60" t="n">
        <f aca="false">+S66*$D66</f>
        <v>0</v>
      </c>
      <c r="AF66" s="60" t="n">
        <f aca="false">+T66*$D66</f>
        <v>0</v>
      </c>
      <c r="AG66" s="60" t="n">
        <f aca="false">+U66*$D66</f>
        <v>0</v>
      </c>
    </row>
    <row r="67" customFormat="false" ht="12.75" hidden="false" customHeight="false" outlineLevel="0" collapsed="false">
      <c r="A67" s="102" t="s">
        <v>13</v>
      </c>
      <c r="B67" s="22" t="s">
        <v>80</v>
      </c>
      <c r="C67" s="71" t="n">
        <v>20835</v>
      </c>
      <c r="D67" s="62" t="n">
        <v>20000</v>
      </c>
      <c r="E67" s="61" t="s">
        <v>133</v>
      </c>
      <c r="F67" s="63" t="n">
        <v>0.1052</v>
      </c>
      <c r="G67" s="63" t="n">
        <v>0.0011</v>
      </c>
      <c r="H67" s="85" t="n">
        <f aca="false">+G67+F67</f>
        <v>0.1063</v>
      </c>
      <c r="I67" s="86" t="n">
        <v>36525</v>
      </c>
      <c r="J67" s="87" t="n">
        <v>37315</v>
      </c>
      <c r="K67" s="0" t="n">
        <v>366</v>
      </c>
      <c r="L67" s="0" t="n">
        <v>365</v>
      </c>
      <c r="M67" s="0" t="n">
        <v>59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W67" s="60" t="n">
        <f aca="false">+K67*$D67</f>
        <v>7320000</v>
      </c>
      <c r="X67" s="60" t="n">
        <f aca="false">+L67*$D67</f>
        <v>7300000</v>
      </c>
      <c r="Y67" s="60" t="n">
        <f aca="false">+M67*$D67</f>
        <v>1180000</v>
      </c>
      <c r="Z67" s="60" t="n">
        <f aca="false">+N67*$D67</f>
        <v>0</v>
      </c>
      <c r="AA67" s="60" t="n">
        <f aca="false">+O67*$D67</f>
        <v>0</v>
      </c>
      <c r="AB67" s="60" t="n">
        <f aca="false">+P67*$D67</f>
        <v>0</v>
      </c>
      <c r="AC67" s="60" t="n">
        <f aca="false">+Q67*$D67</f>
        <v>0</v>
      </c>
      <c r="AD67" s="60" t="n">
        <f aca="false">+R67*$D67</f>
        <v>0</v>
      </c>
      <c r="AE67" s="60" t="n">
        <f aca="false">+S67*$D67</f>
        <v>0</v>
      </c>
      <c r="AF67" s="60" t="n">
        <f aca="false">+T67*$D67</f>
        <v>0</v>
      </c>
      <c r="AG67" s="60" t="n">
        <f aca="false">+U67*$D67</f>
        <v>0</v>
      </c>
    </row>
    <row r="68" customFormat="false" ht="12.75" hidden="false" customHeight="false" outlineLevel="0" collapsed="false">
      <c r="A68" s="102" t="s">
        <v>13</v>
      </c>
      <c r="B68" s="22" t="s">
        <v>81</v>
      </c>
      <c r="C68" s="71" t="n">
        <v>26371</v>
      </c>
      <c r="D68" s="62" t="n">
        <v>25000</v>
      </c>
      <c r="E68" s="61" t="s">
        <v>133</v>
      </c>
      <c r="F68" s="63" t="n">
        <v>0.1052</v>
      </c>
      <c r="G68" s="63" t="n">
        <v>0.0011</v>
      </c>
      <c r="H68" s="85" t="n">
        <f aca="false">+G68+F68</f>
        <v>0.1063</v>
      </c>
      <c r="I68" s="86" t="n">
        <v>36525</v>
      </c>
      <c r="J68" s="87" t="n">
        <v>39172</v>
      </c>
      <c r="K68" s="0" t="n">
        <v>366</v>
      </c>
      <c r="L68" s="0" t="n">
        <v>365</v>
      </c>
      <c r="M68" s="0" t="n">
        <v>365</v>
      </c>
      <c r="N68" s="0" t="n">
        <v>365</v>
      </c>
      <c r="O68" s="0" t="n">
        <v>366</v>
      </c>
      <c r="P68" s="0" t="n">
        <v>365</v>
      </c>
      <c r="Q68" s="0" t="n">
        <v>365</v>
      </c>
      <c r="R68" s="0" t="n">
        <v>90</v>
      </c>
      <c r="S68" s="0" t="n">
        <v>0</v>
      </c>
      <c r="T68" s="0" t="n">
        <v>0</v>
      </c>
      <c r="U68" s="0" t="n">
        <v>0</v>
      </c>
      <c r="W68" s="60" t="n">
        <f aca="false">+K68*$D68</f>
        <v>9150000</v>
      </c>
      <c r="X68" s="60" t="n">
        <f aca="false">+L68*$D68</f>
        <v>9125000</v>
      </c>
      <c r="Y68" s="60" t="n">
        <f aca="false">+M68*$D68</f>
        <v>9125000</v>
      </c>
      <c r="Z68" s="60" t="n">
        <f aca="false">+N68*$D68</f>
        <v>9125000</v>
      </c>
      <c r="AA68" s="60" t="n">
        <f aca="false">+O68*$D68</f>
        <v>9150000</v>
      </c>
      <c r="AB68" s="60" t="n">
        <f aca="false">+P68*$D68</f>
        <v>9125000</v>
      </c>
      <c r="AC68" s="60" t="n">
        <f aca="false">+Q68*$D68</f>
        <v>9125000</v>
      </c>
      <c r="AD68" s="60" t="n">
        <f aca="false">+R68*$D68</f>
        <v>2250000</v>
      </c>
      <c r="AE68" s="60" t="n">
        <f aca="false">+S68*$D68</f>
        <v>0</v>
      </c>
      <c r="AF68" s="60" t="n">
        <f aca="false">+T68*$D68</f>
        <v>0</v>
      </c>
      <c r="AG68" s="60" t="n">
        <f aca="false">+U68*$D68</f>
        <v>0</v>
      </c>
    </row>
    <row r="69" customFormat="false" ht="12.75" hidden="false" customHeight="false" outlineLevel="0" collapsed="false">
      <c r="A69" s="103" t="s">
        <v>13</v>
      </c>
      <c r="B69" s="22" t="s">
        <v>82</v>
      </c>
      <c r="C69" s="71" t="n">
        <v>27453</v>
      </c>
      <c r="D69" s="62" t="n">
        <v>35000</v>
      </c>
      <c r="E69" s="61" t="s">
        <v>132</v>
      </c>
      <c r="F69" s="63" t="n">
        <v>0.102</v>
      </c>
      <c r="G69" s="63" t="n">
        <v>0.0011</v>
      </c>
      <c r="H69" s="85" t="n">
        <f aca="false">+G69+F69</f>
        <v>0.1031</v>
      </c>
      <c r="I69" s="86" t="n">
        <v>37621</v>
      </c>
      <c r="J69" s="87" t="n">
        <v>37986</v>
      </c>
      <c r="K69" s="0" t="n">
        <v>0</v>
      </c>
      <c r="L69" s="0" t="n">
        <v>0</v>
      </c>
      <c r="M69" s="0" t="n">
        <v>0</v>
      </c>
      <c r="N69" s="0" t="n">
        <v>365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W69" s="60" t="n">
        <f aca="false">+K69*$D69</f>
        <v>0</v>
      </c>
      <c r="X69" s="60" t="n">
        <f aca="false">+L69*$D69</f>
        <v>0</v>
      </c>
      <c r="Y69" s="60" t="n">
        <f aca="false">+M69*$D69</f>
        <v>0</v>
      </c>
      <c r="Z69" s="60" t="n">
        <f aca="false">+N69*$D69</f>
        <v>12775000</v>
      </c>
      <c r="AA69" s="60" t="n">
        <f aca="false">+O69*$D69</f>
        <v>0</v>
      </c>
      <c r="AB69" s="60" t="n">
        <f aca="false">+P69*$D69</f>
        <v>0</v>
      </c>
      <c r="AC69" s="60" t="n">
        <f aca="false">+Q69*$D69</f>
        <v>0</v>
      </c>
      <c r="AD69" s="60" t="n">
        <f aca="false">+R69*$D69</f>
        <v>0</v>
      </c>
      <c r="AE69" s="60" t="n">
        <f aca="false">+S69*$D69</f>
        <v>0</v>
      </c>
      <c r="AF69" s="60" t="n">
        <f aca="false">+T69*$D69</f>
        <v>0</v>
      </c>
      <c r="AG69" s="60" t="n">
        <f aca="false">+U69*$D69</f>
        <v>0</v>
      </c>
    </row>
    <row r="70" customFormat="false" ht="12.75" hidden="false" customHeight="false" outlineLevel="0" collapsed="false">
      <c r="A70" s="103" t="s">
        <v>13</v>
      </c>
      <c r="B70" s="22" t="s">
        <v>82</v>
      </c>
      <c r="C70" s="71" t="n">
        <v>27456</v>
      </c>
      <c r="D70" s="62" t="n">
        <v>21500</v>
      </c>
      <c r="E70" s="61" t="s">
        <v>132</v>
      </c>
      <c r="F70" s="63" t="n">
        <v>0.102</v>
      </c>
      <c r="G70" s="63" t="n">
        <v>0.0011</v>
      </c>
      <c r="H70" s="85" t="n">
        <f aca="false">+G70+F70</f>
        <v>0.1031</v>
      </c>
      <c r="I70" s="86" t="n">
        <v>37560</v>
      </c>
      <c r="J70" s="87" t="n">
        <v>37621</v>
      </c>
      <c r="K70" s="0" t="n">
        <v>0</v>
      </c>
      <c r="L70" s="0" t="n">
        <v>0</v>
      </c>
      <c r="M70" s="0" t="n">
        <v>61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W70" s="60" t="n">
        <f aca="false">+K70*$D70</f>
        <v>0</v>
      </c>
      <c r="X70" s="60" t="n">
        <f aca="false">+L70*$D70</f>
        <v>0</v>
      </c>
      <c r="Y70" s="60" t="n">
        <f aca="false">+M70*$D70</f>
        <v>1311500</v>
      </c>
      <c r="Z70" s="60" t="n">
        <f aca="false">+N70*$D70</f>
        <v>0</v>
      </c>
      <c r="AA70" s="60" t="n">
        <f aca="false">+O70*$D70</f>
        <v>0</v>
      </c>
      <c r="AB70" s="60" t="n">
        <f aca="false">+P70*$D70</f>
        <v>0</v>
      </c>
      <c r="AC70" s="60" t="n">
        <f aca="false">+Q70*$D70</f>
        <v>0</v>
      </c>
      <c r="AD70" s="60" t="n">
        <f aca="false">+R70*$D70</f>
        <v>0</v>
      </c>
      <c r="AE70" s="60" t="n">
        <f aca="false">+S70*$D70</f>
        <v>0</v>
      </c>
      <c r="AF70" s="60" t="n">
        <f aca="false">+T70*$D70</f>
        <v>0</v>
      </c>
      <c r="AG70" s="60" t="n">
        <f aca="false">+U70*$D70</f>
        <v>0</v>
      </c>
    </row>
    <row r="71" customFormat="false" ht="12.75" hidden="false" customHeight="false" outlineLevel="0" collapsed="false">
      <c r="A71" s="103" t="s">
        <v>13</v>
      </c>
      <c r="B71" s="22" t="s">
        <v>82</v>
      </c>
      <c r="C71" s="71" t="n">
        <v>27457</v>
      </c>
      <c r="D71" s="62" t="n">
        <v>13500</v>
      </c>
      <c r="E71" s="61" t="s">
        <v>132</v>
      </c>
      <c r="F71" s="63" t="n">
        <v>0.102</v>
      </c>
      <c r="G71" s="63" t="n">
        <v>0.0011</v>
      </c>
      <c r="H71" s="85" t="n">
        <f aca="false">+G71+F71</f>
        <v>0.1031</v>
      </c>
      <c r="I71" s="86" t="n">
        <v>37225</v>
      </c>
      <c r="J71" s="87" t="n">
        <v>37256</v>
      </c>
      <c r="K71" s="0" t="n">
        <v>0</v>
      </c>
      <c r="L71" s="0" t="n">
        <v>31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W71" s="60" t="n">
        <f aca="false">+K71*$D71</f>
        <v>0</v>
      </c>
      <c r="X71" s="60" t="n">
        <f aca="false">+L71*$D71</f>
        <v>418500</v>
      </c>
      <c r="Y71" s="60" t="n">
        <f aca="false">+M71*$D71</f>
        <v>0</v>
      </c>
      <c r="Z71" s="60" t="n">
        <f aca="false">+N71*$D71</f>
        <v>0</v>
      </c>
      <c r="AA71" s="60" t="n">
        <f aca="false">+O71*$D71</f>
        <v>0</v>
      </c>
      <c r="AB71" s="60" t="n">
        <f aca="false">+P71*$D71</f>
        <v>0</v>
      </c>
      <c r="AC71" s="60" t="n">
        <f aca="false">+Q71*$D71</f>
        <v>0</v>
      </c>
      <c r="AD71" s="60" t="n">
        <f aca="false">+R71*$D71</f>
        <v>0</v>
      </c>
      <c r="AE71" s="60" t="n">
        <f aca="false">+S71*$D71</f>
        <v>0</v>
      </c>
      <c r="AF71" s="60" t="n">
        <f aca="false">+T71*$D71</f>
        <v>0</v>
      </c>
      <c r="AG71" s="60" t="n">
        <f aca="false">+U71*$D71</f>
        <v>0</v>
      </c>
    </row>
    <row r="72" customFormat="false" ht="12.75" hidden="false" customHeight="false" outlineLevel="0" collapsed="false">
      <c r="A72" s="97" t="s">
        <v>13</v>
      </c>
      <c r="B72" s="22" t="s">
        <v>38</v>
      </c>
      <c r="C72" s="71" t="n">
        <v>24654</v>
      </c>
      <c r="D72" s="62" t="n">
        <v>8000</v>
      </c>
      <c r="E72" s="84" t="s">
        <v>127</v>
      </c>
      <c r="F72" s="63" t="n">
        <v>0.102</v>
      </c>
      <c r="G72" s="63" t="n">
        <v>0.0011</v>
      </c>
      <c r="H72" s="85" t="n">
        <f aca="false">+G72+F72</f>
        <v>0.1031</v>
      </c>
      <c r="I72" s="86" t="n">
        <v>36525</v>
      </c>
      <c r="J72" s="87" t="n">
        <v>37256</v>
      </c>
      <c r="K72" s="0" t="n">
        <v>366</v>
      </c>
      <c r="L72" s="0" t="n">
        <v>365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W72" s="60" t="n">
        <f aca="false">+K72*$D72</f>
        <v>2928000</v>
      </c>
      <c r="X72" s="60" t="n">
        <f aca="false">+L72*$D72</f>
        <v>2920000</v>
      </c>
      <c r="Y72" s="60" t="n">
        <f aca="false">+M72*$D72</f>
        <v>0</v>
      </c>
      <c r="Z72" s="60" t="n">
        <f aca="false">+N72*$D72</f>
        <v>0</v>
      </c>
      <c r="AA72" s="60" t="n">
        <f aca="false">+O72*$D72</f>
        <v>0</v>
      </c>
      <c r="AB72" s="60" t="n">
        <f aca="false">+P72*$D72</f>
        <v>0</v>
      </c>
      <c r="AC72" s="60" t="n">
        <f aca="false">+Q72*$D72</f>
        <v>0</v>
      </c>
      <c r="AD72" s="60" t="n">
        <f aca="false">+R72*$D72</f>
        <v>0</v>
      </c>
      <c r="AE72" s="60" t="n">
        <f aca="false">+S72*$D72</f>
        <v>0</v>
      </c>
      <c r="AF72" s="60" t="n">
        <f aca="false">+T72*$D72</f>
        <v>0</v>
      </c>
      <c r="AG72" s="60" t="n">
        <f aca="false">+U72*$D72</f>
        <v>0</v>
      </c>
    </row>
    <row r="73" customFormat="false" ht="12.75" hidden="false" customHeight="false" outlineLevel="0" collapsed="false">
      <c r="A73" s="97" t="s">
        <v>13</v>
      </c>
      <c r="B73" s="19" t="s">
        <v>39</v>
      </c>
      <c r="C73" s="71" t="n">
        <v>24568</v>
      </c>
      <c r="D73" s="62" t="n">
        <v>32000</v>
      </c>
      <c r="E73" s="84" t="s">
        <v>127</v>
      </c>
      <c r="F73" s="63" t="n">
        <v>0.102</v>
      </c>
      <c r="G73" s="63" t="n">
        <v>0.0011</v>
      </c>
      <c r="H73" s="85" t="n">
        <f aca="false">+G73+F73</f>
        <v>0.1031</v>
      </c>
      <c r="I73" s="86" t="n">
        <v>36525</v>
      </c>
      <c r="J73" s="87" t="n">
        <v>37256</v>
      </c>
      <c r="K73" s="0" t="n">
        <v>366</v>
      </c>
      <c r="L73" s="0" t="n">
        <v>365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W73" s="60" t="n">
        <f aca="false">+K73*$D73</f>
        <v>11712000</v>
      </c>
      <c r="X73" s="60" t="n">
        <f aca="false">+L73*$D73</f>
        <v>11680000</v>
      </c>
      <c r="Y73" s="60" t="n">
        <f aca="false">+M73*$D73</f>
        <v>0</v>
      </c>
      <c r="Z73" s="60" t="n">
        <f aca="false">+N73*$D73</f>
        <v>0</v>
      </c>
      <c r="AA73" s="60" t="n">
        <f aca="false">+O73*$D73</f>
        <v>0</v>
      </c>
      <c r="AB73" s="60" t="n">
        <f aca="false">+P73*$D73</f>
        <v>0</v>
      </c>
      <c r="AC73" s="60" t="n">
        <f aca="false">+Q73*$D73</f>
        <v>0</v>
      </c>
      <c r="AD73" s="60" t="n">
        <f aca="false">+R73*$D73</f>
        <v>0</v>
      </c>
      <c r="AE73" s="60" t="n">
        <f aca="false">+S73*$D73</f>
        <v>0</v>
      </c>
      <c r="AF73" s="60" t="n">
        <f aca="false">+T73*$D73</f>
        <v>0</v>
      </c>
      <c r="AG73" s="60" t="n">
        <f aca="false">+U73*$D73</f>
        <v>0</v>
      </c>
    </row>
    <row r="74" customFormat="false" ht="12.75" hidden="false" customHeight="false" outlineLevel="0" collapsed="false">
      <c r="A74" s="103" t="s">
        <v>13</v>
      </c>
      <c r="B74" s="22" t="s">
        <v>84</v>
      </c>
      <c r="C74" s="71" t="n">
        <v>26125</v>
      </c>
      <c r="D74" s="62" t="n">
        <v>8600</v>
      </c>
      <c r="E74" s="84" t="s">
        <v>127</v>
      </c>
      <c r="F74" s="63" t="n">
        <v>0.102</v>
      </c>
      <c r="G74" s="63" t="n">
        <v>0.0011</v>
      </c>
      <c r="H74" s="85" t="n">
        <f aca="false">+G74+F74</f>
        <v>0.1031</v>
      </c>
      <c r="I74" s="86" t="n">
        <v>36525</v>
      </c>
      <c r="J74" s="87" t="n">
        <v>37772</v>
      </c>
      <c r="K74" s="0" t="n">
        <v>366</v>
      </c>
      <c r="L74" s="0" t="n">
        <v>365</v>
      </c>
      <c r="M74" s="0" t="n">
        <v>365</v>
      </c>
      <c r="N74" s="0" t="n">
        <v>151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W74" s="60" t="n">
        <f aca="false">+K74*$D74</f>
        <v>3147600</v>
      </c>
      <c r="X74" s="60" t="n">
        <f aca="false">+L74*$D74</f>
        <v>3139000</v>
      </c>
      <c r="Y74" s="60" t="n">
        <f aca="false">+M74*$D74</f>
        <v>3139000</v>
      </c>
      <c r="Z74" s="60" t="n">
        <f aca="false">+N74*$D74</f>
        <v>1298600</v>
      </c>
      <c r="AA74" s="60" t="n">
        <f aca="false">+O74*$D74</f>
        <v>0</v>
      </c>
      <c r="AB74" s="60" t="n">
        <f aca="false">+P74*$D74</f>
        <v>0</v>
      </c>
      <c r="AC74" s="60" t="n">
        <f aca="false">+Q74*$D74</f>
        <v>0</v>
      </c>
      <c r="AD74" s="60" t="n">
        <f aca="false">+R74*$D74</f>
        <v>0</v>
      </c>
      <c r="AE74" s="60" t="n">
        <f aca="false">+S74*$D74</f>
        <v>0</v>
      </c>
      <c r="AF74" s="60" t="n">
        <f aca="false">+T74*$D74</f>
        <v>0</v>
      </c>
      <c r="AG74" s="60" t="n">
        <f aca="false">+U74*$D74</f>
        <v>0</v>
      </c>
    </row>
    <row r="75" customFormat="false" ht="12.75" hidden="false" customHeight="false" outlineLevel="0" collapsed="false">
      <c r="A75" s="103" t="s">
        <v>13</v>
      </c>
      <c r="B75" s="22" t="s">
        <v>85</v>
      </c>
      <c r="C75" s="71" t="n">
        <v>26884</v>
      </c>
      <c r="D75" s="62" t="n">
        <v>40000</v>
      </c>
      <c r="E75" s="84" t="s">
        <v>127</v>
      </c>
      <c r="F75" s="63" t="n">
        <v>0.102</v>
      </c>
      <c r="G75" s="63" t="n">
        <v>0.0011</v>
      </c>
      <c r="H75" s="85" t="n">
        <f aca="false">+G75+F75</f>
        <v>0.1031</v>
      </c>
      <c r="I75" s="86" t="n">
        <v>36646</v>
      </c>
      <c r="J75" s="87" t="n">
        <v>38656</v>
      </c>
      <c r="K75" s="0" t="n">
        <v>245</v>
      </c>
      <c r="L75" s="0" t="n">
        <v>365</v>
      </c>
      <c r="M75" s="0" t="n">
        <v>365</v>
      </c>
      <c r="N75" s="0" t="n">
        <v>365</v>
      </c>
      <c r="O75" s="0" t="n">
        <v>366</v>
      </c>
      <c r="P75" s="0" t="n">
        <v>304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W75" s="60" t="n">
        <f aca="false">+K75*$D75</f>
        <v>9800000</v>
      </c>
      <c r="X75" s="60" t="n">
        <f aca="false">+L75*$D75</f>
        <v>14600000</v>
      </c>
      <c r="Y75" s="60" t="n">
        <f aca="false">+M75*$D75</f>
        <v>14600000</v>
      </c>
      <c r="Z75" s="60" t="n">
        <f aca="false">+N75*$D75</f>
        <v>14600000</v>
      </c>
      <c r="AA75" s="60" t="n">
        <f aca="false">+O75*$D75</f>
        <v>14640000</v>
      </c>
      <c r="AB75" s="60" t="n">
        <f aca="false">+P75*$D75</f>
        <v>12160000</v>
      </c>
      <c r="AC75" s="60" t="n">
        <f aca="false">+Q75*$D75</f>
        <v>0</v>
      </c>
      <c r="AD75" s="60" t="n">
        <f aca="false">+R75*$D75</f>
        <v>0</v>
      </c>
      <c r="AE75" s="60" t="n">
        <f aca="false">+S75*$D75</f>
        <v>0</v>
      </c>
      <c r="AF75" s="60" t="n">
        <f aca="false">+T75*$D75</f>
        <v>0</v>
      </c>
      <c r="AG75" s="60" t="n">
        <f aca="false">+U75*$D75</f>
        <v>0</v>
      </c>
    </row>
    <row r="76" customFormat="false" ht="12.75" hidden="false" customHeight="false" outlineLevel="0" collapsed="false">
      <c r="A76" s="102" t="s">
        <v>13</v>
      </c>
      <c r="B76" s="22" t="s">
        <v>86</v>
      </c>
      <c r="C76" s="71" t="n">
        <v>26677</v>
      </c>
      <c r="D76" s="62" t="n">
        <v>25000</v>
      </c>
      <c r="E76" s="84" t="s">
        <v>127</v>
      </c>
      <c r="F76" s="63" t="n">
        <v>0.1052</v>
      </c>
      <c r="G76" s="63" t="n">
        <v>0.0011</v>
      </c>
      <c r="H76" s="85" t="n">
        <f aca="false">+G76+F76</f>
        <v>0.1063</v>
      </c>
      <c r="I76" s="86" t="n">
        <v>36525</v>
      </c>
      <c r="J76" s="87" t="n">
        <v>39172</v>
      </c>
      <c r="K76" s="0" t="n">
        <v>366</v>
      </c>
      <c r="L76" s="0" t="n">
        <v>365</v>
      </c>
      <c r="M76" s="0" t="n">
        <v>365</v>
      </c>
      <c r="N76" s="0" t="n">
        <v>365</v>
      </c>
      <c r="O76" s="0" t="n">
        <v>366</v>
      </c>
      <c r="P76" s="0" t="n">
        <v>365</v>
      </c>
      <c r="Q76" s="0" t="n">
        <v>365</v>
      </c>
      <c r="R76" s="0" t="n">
        <v>90</v>
      </c>
      <c r="S76" s="0" t="n">
        <v>0</v>
      </c>
      <c r="T76" s="0" t="n">
        <v>0</v>
      </c>
      <c r="U76" s="0" t="n">
        <v>0</v>
      </c>
      <c r="W76" s="60" t="n">
        <f aca="false">+K76*$D76</f>
        <v>9150000</v>
      </c>
      <c r="X76" s="60" t="n">
        <f aca="false">+L76*$D76</f>
        <v>9125000</v>
      </c>
      <c r="Y76" s="60" t="n">
        <f aca="false">+M76*$D76</f>
        <v>9125000</v>
      </c>
      <c r="Z76" s="60" t="n">
        <f aca="false">+N76*$D76</f>
        <v>9125000</v>
      </c>
      <c r="AA76" s="60" t="n">
        <f aca="false">+O76*$D76</f>
        <v>9150000</v>
      </c>
      <c r="AB76" s="60" t="n">
        <f aca="false">+P76*$D76</f>
        <v>9125000</v>
      </c>
      <c r="AC76" s="60" t="n">
        <f aca="false">+Q76*$D76</f>
        <v>9125000</v>
      </c>
      <c r="AD76" s="60" t="n">
        <f aca="false">+R76*$D76</f>
        <v>2250000</v>
      </c>
      <c r="AE76" s="60" t="n">
        <f aca="false">+S76*$D76</f>
        <v>0</v>
      </c>
      <c r="AF76" s="60" t="n">
        <f aca="false">+T76*$D76</f>
        <v>0</v>
      </c>
      <c r="AG76" s="60" t="n">
        <f aca="false">+U76*$D76</f>
        <v>0</v>
      </c>
    </row>
    <row r="77" customFormat="false" ht="12.75" hidden="false" customHeight="false" outlineLevel="0" collapsed="false">
      <c r="A77" s="102" t="s">
        <v>13</v>
      </c>
      <c r="B77" s="22" t="s">
        <v>88</v>
      </c>
      <c r="C77" s="71" t="n">
        <v>21372</v>
      </c>
      <c r="D77" s="62" t="n">
        <v>1346</v>
      </c>
      <c r="E77" s="61" t="s">
        <v>134</v>
      </c>
      <c r="F77" s="63" t="n">
        <v>0</v>
      </c>
      <c r="G77" s="63" t="n">
        <v>0</v>
      </c>
      <c r="H77" s="85" t="n">
        <v>0.1328</v>
      </c>
      <c r="I77" s="86" t="n">
        <v>36525</v>
      </c>
      <c r="J77" s="87" t="n">
        <v>37986</v>
      </c>
      <c r="K77" s="0" t="n">
        <v>366</v>
      </c>
      <c r="L77" s="0" t="n">
        <v>365</v>
      </c>
      <c r="M77" s="0" t="n">
        <v>365</v>
      </c>
      <c r="N77" s="0" t="n">
        <v>365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W77" s="60" t="n">
        <f aca="false">+K77*$D77</f>
        <v>492636</v>
      </c>
      <c r="X77" s="60" t="n">
        <f aca="false">+L77*$D77</f>
        <v>491290</v>
      </c>
      <c r="Y77" s="60" t="n">
        <f aca="false">+M77*$D77</f>
        <v>491290</v>
      </c>
      <c r="Z77" s="60" t="n">
        <f aca="false">+N77*$D77</f>
        <v>491290</v>
      </c>
      <c r="AA77" s="60" t="n">
        <f aca="false">+O77*$D77</f>
        <v>0</v>
      </c>
      <c r="AB77" s="60" t="n">
        <f aca="false">+P77*$D77</f>
        <v>0</v>
      </c>
      <c r="AC77" s="60" t="n">
        <f aca="false">+Q77*$D77</f>
        <v>0</v>
      </c>
      <c r="AD77" s="60" t="n">
        <f aca="false">+R77*$D77</f>
        <v>0</v>
      </c>
      <c r="AE77" s="60" t="n">
        <f aca="false">+S77*$D77</f>
        <v>0</v>
      </c>
      <c r="AF77" s="60" t="n">
        <f aca="false">+T77*$D77</f>
        <v>0</v>
      </c>
      <c r="AG77" s="60" t="n">
        <f aca="false">+U77*$D77</f>
        <v>0</v>
      </c>
    </row>
    <row r="78" customFormat="false" ht="12.75" hidden="false" customHeight="false" outlineLevel="0" collapsed="false">
      <c r="A78" s="103" t="s">
        <v>13</v>
      </c>
      <c r="B78" s="22" t="s">
        <v>54</v>
      </c>
      <c r="C78" s="71" t="n">
        <v>26813</v>
      </c>
      <c r="D78" s="62" t="n">
        <v>3500</v>
      </c>
      <c r="E78" s="84" t="s">
        <v>127</v>
      </c>
      <c r="F78" s="63" t="n">
        <v>0.102</v>
      </c>
      <c r="G78" s="63" t="n">
        <v>0.0011</v>
      </c>
      <c r="H78" s="85" t="n">
        <f aca="false">+G78+F78</f>
        <v>0.1031</v>
      </c>
      <c r="I78" s="86" t="n">
        <v>36646</v>
      </c>
      <c r="J78" s="87" t="n">
        <v>39506</v>
      </c>
      <c r="K78" s="0" t="n">
        <v>245</v>
      </c>
      <c r="L78" s="0" t="n">
        <v>365</v>
      </c>
      <c r="M78" s="0" t="n">
        <v>365</v>
      </c>
      <c r="N78" s="0" t="n">
        <v>365</v>
      </c>
      <c r="O78" s="0" t="n">
        <v>366</v>
      </c>
      <c r="P78" s="0" t="n">
        <v>365</v>
      </c>
      <c r="Q78" s="0" t="n">
        <v>365</v>
      </c>
      <c r="R78" s="0" t="n">
        <v>59</v>
      </c>
      <c r="S78" s="0" t="n">
        <v>0</v>
      </c>
      <c r="T78" s="0" t="n">
        <v>0</v>
      </c>
      <c r="U78" s="0" t="n">
        <v>0</v>
      </c>
      <c r="W78" s="60" t="n">
        <f aca="false">+K78*$D78</f>
        <v>857500</v>
      </c>
      <c r="X78" s="60" t="n">
        <f aca="false">+L78*$D78</f>
        <v>1277500</v>
      </c>
      <c r="Y78" s="60" t="n">
        <f aca="false">+M78*$D78</f>
        <v>1277500</v>
      </c>
      <c r="Z78" s="60" t="n">
        <f aca="false">+N78*$D78</f>
        <v>1277500</v>
      </c>
      <c r="AA78" s="60" t="n">
        <f aca="false">+O78*$D78</f>
        <v>1281000</v>
      </c>
      <c r="AB78" s="60" t="n">
        <f aca="false">+P78*$D78</f>
        <v>1277500</v>
      </c>
      <c r="AC78" s="60" t="n">
        <f aca="false">+Q78*$D78</f>
        <v>1277500</v>
      </c>
      <c r="AD78" s="60" t="n">
        <f aca="false">+R78*$D78</f>
        <v>206500</v>
      </c>
      <c r="AE78" s="60" t="n">
        <f aca="false">+S78*$D78</f>
        <v>0</v>
      </c>
      <c r="AF78" s="60" t="n">
        <f aca="false">+T78*$D78</f>
        <v>0</v>
      </c>
      <c r="AG78" s="60" t="n">
        <f aca="false">+U78*$D78</f>
        <v>0</v>
      </c>
    </row>
    <row r="79" customFormat="false" ht="12.75" hidden="false" customHeight="false" outlineLevel="0" collapsed="false">
      <c r="A79" s="102" t="s">
        <v>13</v>
      </c>
      <c r="B79" s="22" t="s">
        <v>89</v>
      </c>
      <c r="C79" s="71" t="n">
        <v>21175</v>
      </c>
      <c r="D79" s="62" t="n">
        <v>150000</v>
      </c>
      <c r="E79" s="61" t="s">
        <v>137</v>
      </c>
      <c r="F79" s="63" t="n">
        <v>0.1052</v>
      </c>
      <c r="G79" s="63" t="n">
        <v>0.0011</v>
      </c>
      <c r="H79" s="85" t="n">
        <f aca="false">+G79+F79</f>
        <v>0.1063</v>
      </c>
      <c r="I79" s="86" t="n">
        <v>36525</v>
      </c>
      <c r="J79" s="87" t="n">
        <v>39172</v>
      </c>
      <c r="K79" s="0" t="n">
        <v>366</v>
      </c>
      <c r="L79" s="0" t="n">
        <v>365</v>
      </c>
      <c r="M79" s="0" t="n">
        <v>365</v>
      </c>
      <c r="N79" s="0" t="n">
        <v>365</v>
      </c>
      <c r="O79" s="0" t="n">
        <v>366</v>
      </c>
      <c r="P79" s="0" t="n">
        <v>365</v>
      </c>
      <c r="Q79" s="0" t="n">
        <v>365</v>
      </c>
      <c r="R79" s="0" t="n">
        <v>90</v>
      </c>
      <c r="S79" s="0" t="n">
        <v>0</v>
      </c>
      <c r="T79" s="0" t="n">
        <v>0</v>
      </c>
      <c r="U79" s="0" t="n">
        <v>0</v>
      </c>
      <c r="W79" s="60" t="n">
        <f aca="false">+K79*$D79</f>
        <v>54900000</v>
      </c>
      <c r="X79" s="60" t="n">
        <f aca="false">+L79*$D79</f>
        <v>54750000</v>
      </c>
      <c r="Y79" s="60" t="n">
        <f aca="false">+M79*$D79</f>
        <v>54750000</v>
      </c>
      <c r="Z79" s="60" t="n">
        <f aca="false">+N79*$D79</f>
        <v>54750000</v>
      </c>
      <c r="AA79" s="60" t="n">
        <f aca="false">+O79*$D79</f>
        <v>54900000</v>
      </c>
      <c r="AB79" s="60" t="n">
        <f aca="false">+P79*$D79</f>
        <v>54750000</v>
      </c>
      <c r="AC79" s="60" t="n">
        <f aca="false">+Q79*$D79</f>
        <v>54750000</v>
      </c>
      <c r="AD79" s="60" t="n">
        <f aca="false">+R79*$D79</f>
        <v>13500000</v>
      </c>
      <c r="AE79" s="60" t="n">
        <f aca="false">+S79*$D79</f>
        <v>0</v>
      </c>
      <c r="AF79" s="60" t="n">
        <f aca="false">+T79*$D79</f>
        <v>0</v>
      </c>
      <c r="AG79" s="60" t="n">
        <f aca="false">+U79*$D79</f>
        <v>0</v>
      </c>
    </row>
    <row r="80" customFormat="false" ht="12.75" hidden="false" customHeight="false" outlineLevel="0" collapsed="false">
      <c r="A80" s="102" t="s">
        <v>13</v>
      </c>
      <c r="B80" s="22" t="s">
        <v>90</v>
      </c>
      <c r="C80" s="71" t="n">
        <v>21172</v>
      </c>
      <c r="D80" s="62" t="n">
        <v>0</v>
      </c>
      <c r="H80" s="85" t="n">
        <f aca="false">+G80+F80</f>
        <v>0</v>
      </c>
      <c r="I80" s="86" t="n">
        <v>36525</v>
      </c>
      <c r="J80" s="87" t="n">
        <v>39172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W80" s="60" t="n">
        <f aca="false">+K80*$D80</f>
        <v>0</v>
      </c>
      <c r="X80" s="60" t="n">
        <f aca="false">+L80*$D80</f>
        <v>0</v>
      </c>
      <c r="Y80" s="60" t="n">
        <f aca="false">+M80*$D80</f>
        <v>0</v>
      </c>
      <c r="Z80" s="60" t="n">
        <f aca="false">+N80*$D80</f>
        <v>0</v>
      </c>
      <c r="AA80" s="60" t="n">
        <f aca="false">+O80*$D80</f>
        <v>0</v>
      </c>
      <c r="AB80" s="60" t="n">
        <f aca="false">+P80*$D80</f>
        <v>0</v>
      </c>
      <c r="AC80" s="60" t="n">
        <f aca="false">+Q80*$D80</f>
        <v>0</v>
      </c>
      <c r="AD80" s="60" t="n">
        <f aca="false">+R80*$D80</f>
        <v>0</v>
      </c>
      <c r="AE80" s="60" t="n">
        <f aca="false">+S80*$D80</f>
        <v>0</v>
      </c>
      <c r="AF80" s="60" t="n">
        <f aca="false">+T80*$D80</f>
        <v>0</v>
      </c>
      <c r="AG80" s="60" t="n">
        <f aca="false">+U80*$D80</f>
        <v>0</v>
      </c>
    </row>
    <row r="81" customFormat="false" ht="12.75" hidden="false" customHeight="false" outlineLevel="0" collapsed="false">
      <c r="A81" s="103" t="s">
        <v>13</v>
      </c>
      <c r="B81" s="22" t="s">
        <v>91</v>
      </c>
      <c r="C81" s="71" t="n">
        <v>27454</v>
      </c>
      <c r="D81" s="62" t="n">
        <v>27500</v>
      </c>
      <c r="E81" s="61" t="s">
        <v>132</v>
      </c>
      <c r="F81" s="63" t="n">
        <v>0.102</v>
      </c>
      <c r="G81" s="63" t="n">
        <v>0.0011</v>
      </c>
      <c r="H81" s="85" t="n">
        <f aca="false">+G81+F81</f>
        <v>0.1031</v>
      </c>
      <c r="I81" s="86" t="n">
        <v>37256</v>
      </c>
      <c r="J81" s="87" t="n">
        <v>37621</v>
      </c>
      <c r="K81" s="0" t="n">
        <v>0</v>
      </c>
      <c r="L81" s="0" t="n">
        <v>0</v>
      </c>
      <c r="M81" s="0" t="n">
        <v>365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W81" s="60" t="n">
        <f aca="false">+K81*$D81</f>
        <v>0</v>
      </c>
      <c r="X81" s="60" t="n">
        <f aca="false">+L81*$D81</f>
        <v>0</v>
      </c>
      <c r="Y81" s="60" t="n">
        <f aca="false">+M81*$D81</f>
        <v>10037500</v>
      </c>
      <c r="Z81" s="60" t="n">
        <f aca="false">+N81*$D81</f>
        <v>0</v>
      </c>
      <c r="AA81" s="60" t="n">
        <f aca="false">+O81*$D81</f>
        <v>0</v>
      </c>
      <c r="AB81" s="60" t="n">
        <f aca="false">+P81*$D81</f>
        <v>0</v>
      </c>
      <c r="AC81" s="60" t="n">
        <f aca="false">+Q81*$D81</f>
        <v>0</v>
      </c>
      <c r="AD81" s="60" t="n">
        <f aca="false">+R81*$D81</f>
        <v>0</v>
      </c>
      <c r="AE81" s="60" t="n">
        <f aca="false">+S81*$D81</f>
        <v>0</v>
      </c>
      <c r="AF81" s="60" t="n">
        <f aca="false">+T81*$D81</f>
        <v>0</v>
      </c>
      <c r="AG81" s="60" t="n">
        <f aca="false">+U81*$D81</f>
        <v>0</v>
      </c>
    </row>
    <row r="82" customFormat="false" ht="12.75" hidden="false" customHeight="false" outlineLevel="0" collapsed="false">
      <c r="A82" s="102" t="s">
        <v>13</v>
      </c>
      <c r="B82" s="22" t="s">
        <v>92</v>
      </c>
      <c r="C82" s="71" t="n">
        <v>21375</v>
      </c>
      <c r="D82" s="62" t="n">
        <v>20000</v>
      </c>
      <c r="E82" s="61" t="s">
        <v>133</v>
      </c>
      <c r="F82" s="63" t="n">
        <v>0.1052</v>
      </c>
      <c r="G82" s="63" t="n">
        <v>0.0011</v>
      </c>
      <c r="H82" s="85" t="n">
        <f aca="false">+G82+F82</f>
        <v>0.1063</v>
      </c>
      <c r="I82" s="86" t="n">
        <v>36525</v>
      </c>
      <c r="J82" s="87" t="n">
        <v>39141</v>
      </c>
      <c r="K82" s="0" t="n">
        <v>366</v>
      </c>
      <c r="L82" s="0" t="n">
        <v>365</v>
      </c>
      <c r="M82" s="0" t="n">
        <v>365</v>
      </c>
      <c r="N82" s="0" t="n">
        <v>365</v>
      </c>
      <c r="O82" s="0" t="n">
        <v>366</v>
      </c>
      <c r="P82" s="0" t="n">
        <v>365</v>
      </c>
      <c r="Q82" s="0" t="n">
        <v>365</v>
      </c>
      <c r="R82" s="0" t="n">
        <v>59</v>
      </c>
      <c r="S82" s="0" t="n">
        <v>0</v>
      </c>
      <c r="T82" s="0" t="n">
        <v>0</v>
      </c>
      <c r="U82" s="0" t="n">
        <v>0</v>
      </c>
      <c r="W82" s="60" t="n">
        <f aca="false">+K82*$D82</f>
        <v>7320000</v>
      </c>
      <c r="X82" s="60" t="n">
        <f aca="false">+L82*$D82</f>
        <v>7300000</v>
      </c>
      <c r="Y82" s="60" t="n">
        <f aca="false">+M82*$D82</f>
        <v>7300000</v>
      </c>
      <c r="Z82" s="60" t="n">
        <f aca="false">+N82*$D82</f>
        <v>7300000</v>
      </c>
      <c r="AA82" s="60" t="n">
        <f aca="false">+O82*$D82</f>
        <v>7320000</v>
      </c>
      <c r="AB82" s="60" t="n">
        <f aca="false">+P82*$D82</f>
        <v>7300000</v>
      </c>
      <c r="AC82" s="60" t="n">
        <f aca="false">+Q82*$D82</f>
        <v>7300000</v>
      </c>
      <c r="AD82" s="60" t="n">
        <f aca="false">+R82*$D82</f>
        <v>1180000</v>
      </c>
      <c r="AE82" s="60" t="n">
        <f aca="false">+S82*$D82</f>
        <v>0</v>
      </c>
      <c r="AF82" s="60" t="n">
        <f aca="false">+T82*$D82</f>
        <v>0</v>
      </c>
      <c r="AG82" s="60" t="n">
        <f aca="false">+U82*$D82</f>
        <v>0</v>
      </c>
    </row>
    <row r="83" customFormat="false" ht="12.75" hidden="false" customHeight="false" outlineLevel="0" collapsed="false">
      <c r="A83" s="103" t="s">
        <v>13</v>
      </c>
      <c r="B83" s="22" t="s">
        <v>58</v>
      </c>
      <c r="C83" s="71" t="n">
        <v>26816</v>
      </c>
      <c r="D83" s="62" t="n">
        <v>21500</v>
      </c>
      <c r="E83" s="84" t="s">
        <v>127</v>
      </c>
      <c r="F83" s="63" t="n">
        <v>0.102</v>
      </c>
      <c r="G83" s="63" t="n">
        <v>0.0011</v>
      </c>
      <c r="H83" s="85" t="n">
        <f aca="false">+G83+F83</f>
        <v>0.1031</v>
      </c>
      <c r="I83" s="86" t="n">
        <v>36646</v>
      </c>
      <c r="J83" s="87" t="n">
        <v>38472</v>
      </c>
      <c r="K83" s="0" t="n">
        <v>245</v>
      </c>
      <c r="L83" s="0" t="n">
        <v>365</v>
      </c>
      <c r="M83" s="0" t="n">
        <v>365</v>
      </c>
      <c r="N83" s="0" t="n">
        <v>365</v>
      </c>
      <c r="O83" s="0" t="n">
        <v>366</v>
      </c>
      <c r="P83" s="0" t="n">
        <v>120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W83" s="60" t="n">
        <f aca="false">+K83*$D83</f>
        <v>5267500</v>
      </c>
      <c r="X83" s="60" t="n">
        <f aca="false">+L83*$D83</f>
        <v>7847500</v>
      </c>
      <c r="Y83" s="60" t="n">
        <f aca="false">+M83*$D83</f>
        <v>7847500</v>
      </c>
      <c r="Z83" s="60" t="n">
        <f aca="false">+N83*$D83</f>
        <v>7847500</v>
      </c>
      <c r="AA83" s="60" t="n">
        <f aca="false">+O83*$D83</f>
        <v>7869000</v>
      </c>
      <c r="AB83" s="60" t="n">
        <f aca="false">+P83*$D83</f>
        <v>2580000</v>
      </c>
      <c r="AC83" s="60" t="n">
        <f aca="false">+Q83*$D83</f>
        <v>0</v>
      </c>
      <c r="AD83" s="60" t="n">
        <f aca="false">+R83*$D83</f>
        <v>0</v>
      </c>
      <c r="AE83" s="60" t="n">
        <f aca="false">+S83*$D83</f>
        <v>0</v>
      </c>
      <c r="AF83" s="60" t="n">
        <f aca="false">+T83*$D83</f>
        <v>0</v>
      </c>
      <c r="AG83" s="60" t="n">
        <f aca="false">+U83*$D83</f>
        <v>0</v>
      </c>
    </row>
    <row r="84" customFormat="false" ht="12.75" hidden="false" customHeight="false" outlineLevel="0" collapsed="false">
      <c r="A84" s="103" t="s">
        <v>13</v>
      </c>
      <c r="B84" s="22" t="s">
        <v>58</v>
      </c>
      <c r="C84" s="71" t="n">
        <v>27504</v>
      </c>
      <c r="D84" s="62" t="n">
        <v>35000</v>
      </c>
      <c r="E84" s="61" t="s">
        <v>132</v>
      </c>
      <c r="F84" s="63" t="n">
        <v>0.102</v>
      </c>
      <c r="G84" s="63" t="n">
        <v>0.0011</v>
      </c>
      <c r="H84" s="85" t="n">
        <f aca="false">+G84+F84</f>
        <v>0.1031</v>
      </c>
      <c r="I84" s="86" t="n">
        <v>37986</v>
      </c>
      <c r="J84" s="87" t="n">
        <v>38717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366</v>
      </c>
      <c r="P84" s="0" t="n">
        <v>365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W84" s="60" t="n">
        <f aca="false">+K84*$D84</f>
        <v>0</v>
      </c>
      <c r="X84" s="60" t="n">
        <f aca="false">+L84*$D84</f>
        <v>0</v>
      </c>
      <c r="Y84" s="60" t="n">
        <f aca="false">+M84*$D84</f>
        <v>0</v>
      </c>
      <c r="Z84" s="60" t="n">
        <f aca="false">+N84*$D84</f>
        <v>0</v>
      </c>
      <c r="AA84" s="60" t="n">
        <f aca="false">+O84*$D84</f>
        <v>12810000</v>
      </c>
      <c r="AB84" s="60" t="n">
        <f aca="false">+P84*$D84</f>
        <v>12775000</v>
      </c>
      <c r="AC84" s="60" t="n">
        <f aca="false">+Q84*$D84</f>
        <v>0</v>
      </c>
      <c r="AD84" s="60" t="n">
        <f aca="false">+R84*$D84</f>
        <v>0</v>
      </c>
      <c r="AE84" s="60" t="n">
        <f aca="false">+S84*$D84</f>
        <v>0</v>
      </c>
      <c r="AF84" s="60" t="n">
        <f aca="false">+T84*$D84</f>
        <v>0</v>
      </c>
      <c r="AG84" s="60" t="n">
        <f aca="false">+U84*$D84</f>
        <v>0</v>
      </c>
    </row>
    <row r="85" customFormat="false" ht="12.75" hidden="false" customHeight="false" outlineLevel="0" collapsed="false">
      <c r="A85" s="103" t="s">
        <v>13</v>
      </c>
      <c r="B85" s="22" t="s">
        <v>93</v>
      </c>
      <c r="C85" s="71" t="n">
        <v>24670</v>
      </c>
      <c r="D85" s="62" t="n">
        <v>10000</v>
      </c>
      <c r="E85" s="61" t="s">
        <v>138</v>
      </c>
      <c r="F85" s="63" t="n">
        <v>0.102</v>
      </c>
      <c r="G85" s="63" t="n">
        <v>0.0011</v>
      </c>
      <c r="H85" s="85" t="n">
        <f aca="false">+G85+F85</f>
        <v>0.1031</v>
      </c>
      <c r="I85" s="86" t="n">
        <v>36525</v>
      </c>
      <c r="J85" s="87" t="n">
        <v>39202</v>
      </c>
      <c r="K85" s="0" t="n">
        <v>366</v>
      </c>
      <c r="L85" s="0" t="n">
        <v>365</v>
      </c>
      <c r="M85" s="0" t="n">
        <v>365</v>
      </c>
      <c r="N85" s="0" t="n">
        <v>365</v>
      </c>
      <c r="O85" s="0" t="n">
        <v>366</v>
      </c>
      <c r="P85" s="0" t="n">
        <v>365</v>
      </c>
      <c r="Q85" s="0" t="n">
        <v>365</v>
      </c>
      <c r="R85" s="0" t="n">
        <v>120</v>
      </c>
      <c r="S85" s="0" t="n">
        <v>0</v>
      </c>
      <c r="T85" s="0" t="n">
        <v>0</v>
      </c>
      <c r="U85" s="0" t="n">
        <v>0</v>
      </c>
      <c r="W85" s="60" t="n">
        <f aca="false">+K85*$D85</f>
        <v>3660000</v>
      </c>
      <c r="X85" s="60" t="n">
        <f aca="false">+L85*$D85</f>
        <v>3650000</v>
      </c>
      <c r="Y85" s="60" t="n">
        <f aca="false">+M85*$D85</f>
        <v>3650000</v>
      </c>
      <c r="Z85" s="60" t="n">
        <f aca="false">+N85*$D85</f>
        <v>3650000</v>
      </c>
      <c r="AA85" s="60" t="n">
        <f aca="false">+O85*$D85</f>
        <v>3660000</v>
      </c>
      <c r="AB85" s="60" t="n">
        <f aca="false">+P85*$D85</f>
        <v>3650000</v>
      </c>
      <c r="AC85" s="60" t="n">
        <f aca="false">+Q85*$D85</f>
        <v>3650000</v>
      </c>
      <c r="AD85" s="60" t="n">
        <f aca="false">+R85*$D85</f>
        <v>1200000</v>
      </c>
      <c r="AE85" s="60" t="n">
        <f aca="false">+S85*$D85</f>
        <v>0</v>
      </c>
      <c r="AF85" s="60" t="n">
        <f aca="false">+T85*$D85</f>
        <v>0</v>
      </c>
      <c r="AG85" s="60" t="n">
        <f aca="false">+U85*$D85</f>
        <v>0</v>
      </c>
    </row>
    <row r="86" customFormat="false" ht="12.75" hidden="false" customHeight="false" outlineLevel="0" collapsed="false">
      <c r="A86" s="102" t="s">
        <v>13</v>
      </c>
      <c r="B86" s="22" t="s">
        <v>94</v>
      </c>
      <c r="C86" s="71" t="n">
        <v>20715</v>
      </c>
      <c r="D86" s="62" t="n">
        <v>200000</v>
      </c>
      <c r="E86" s="61" t="s">
        <v>133</v>
      </c>
      <c r="F86" s="63" t="n">
        <v>0.1052</v>
      </c>
      <c r="G86" s="63" t="n">
        <v>0.0011</v>
      </c>
      <c r="H86" s="85" t="n">
        <f aca="false">+G86+F86</f>
        <v>0.1063</v>
      </c>
      <c r="I86" s="86" t="n">
        <v>36525</v>
      </c>
      <c r="J86" s="87" t="n">
        <v>38656</v>
      </c>
      <c r="K86" s="0" t="n">
        <v>366</v>
      </c>
      <c r="L86" s="0" t="n">
        <v>365</v>
      </c>
      <c r="M86" s="0" t="n">
        <v>365</v>
      </c>
      <c r="N86" s="0" t="n">
        <v>365</v>
      </c>
      <c r="O86" s="0" t="n">
        <v>366</v>
      </c>
      <c r="P86" s="0" t="n">
        <v>304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W86" s="60" t="n">
        <f aca="false">+K86*$D86</f>
        <v>73200000</v>
      </c>
      <c r="X86" s="60" t="n">
        <f aca="false">+L86*$D86</f>
        <v>73000000</v>
      </c>
      <c r="Y86" s="60" t="n">
        <f aca="false">+M86*$D86</f>
        <v>73000000</v>
      </c>
      <c r="Z86" s="60" t="n">
        <f aca="false">+N86*$D86</f>
        <v>73000000</v>
      </c>
      <c r="AA86" s="60" t="n">
        <f aca="false">+O86*$D86</f>
        <v>73200000</v>
      </c>
      <c r="AB86" s="60" t="n">
        <f aca="false">+P86*$D86</f>
        <v>60800000</v>
      </c>
      <c r="AC86" s="60" t="n">
        <f aca="false">+Q86*$D86</f>
        <v>0</v>
      </c>
      <c r="AD86" s="60" t="n">
        <f aca="false">+R86*$D86</f>
        <v>0</v>
      </c>
      <c r="AE86" s="60" t="n">
        <f aca="false">+S86*$D86</f>
        <v>0</v>
      </c>
      <c r="AF86" s="60" t="n">
        <f aca="false">+T86*$D86</f>
        <v>0</v>
      </c>
      <c r="AG86" s="60" t="n">
        <f aca="false">+U86*$D86</f>
        <v>0</v>
      </c>
    </row>
    <row r="87" customFormat="false" ht="12.75" hidden="false" customHeight="false" outlineLevel="0" collapsed="false">
      <c r="A87" s="103" t="s">
        <v>13</v>
      </c>
      <c r="B87" s="22" t="s">
        <v>95</v>
      </c>
      <c r="C87" s="71" t="n">
        <v>26719</v>
      </c>
      <c r="D87" s="62" t="n">
        <v>25000</v>
      </c>
      <c r="E87" s="84" t="s">
        <v>127</v>
      </c>
      <c r="F87" s="63" t="n">
        <v>0.102</v>
      </c>
      <c r="G87" s="63" t="n">
        <v>0.0011</v>
      </c>
      <c r="H87" s="85" t="n">
        <f aca="false">+G87+F87</f>
        <v>0.1031</v>
      </c>
      <c r="I87" s="86" t="n">
        <v>36646</v>
      </c>
      <c r="J87" s="87" t="n">
        <v>38472</v>
      </c>
      <c r="K87" s="0" t="n">
        <v>245</v>
      </c>
      <c r="L87" s="0" t="n">
        <v>365</v>
      </c>
      <c r="M87" s="0" t="n">
        <v>365</v>
      </c>
      <c r="N87" s="0" t="n">
        <v>365</v>
      </c>
      <c r="O87" s="0" t="n">
        <v>366</v>
      </c>
      <c r="P87" s="0" t="n">
        <v>120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W87" s="60" t="n">
        <f aca="false">+K87*$D87</f>
        <v>6125000</v>
      </c>
      <c r="X87" s="60" t="n">
        <f aca="false">+L87*$D87</f>
        <v>9125000</v>
      </c>
      <c r="Y87" s="60" t="n">
        <f aca="false">+M87*$D87</f>
        <v>9125000</v>
      </c>
      <c r="Z87" s="60" t="n">
        <f aca="false">+N87*$D87</f>
        <v>9125000</v>
      </c>
      <c r="AA87" s="60" t="n">
        <f aca="false">+O87*$D87</f>
        <v>9150000</v>
      </c>
      <c r="AB87" s="60" t="n">
        <f aca="false">+P87*$D87</f>
        <v>3000000</v>
      </c>
      <c r="AC87" s="60" t="n">
        <f aca="false">+Q87*$D87</f>
        <v>0</v>
      </c>
      <c r="AD87" s="60" t="n">
        <f aca="false">+R87*$D87</f>
        <v>0</v>
      </c>
      <c r="AE87" s="60" t="n">
        <f aca="false">+S87*$D87</f>
        <v>0</v>
      </c>
      <c r="AF87" s="60" t="n">
        <f aca="false">+T87*$D87</f>
        <v>0</v>
      </c>
      <c r="AG87" s="60" t="n">
        <f aca="false">+U87*$D87</f>
        <v>0</v>
      </c>
    </row>
    <row r="88" customFormat="false" ht="12.75" hidden="false" customHeight="false" outlineLevel="0" collapsed="false">
      <c r="A88" s="103" t="s">
        <v>13</v>
      </c>
      <c r="B88" s="22" t="s">
        <v>96</v>
      </c>
      <c r="C88" s="71" t="n">
        <v>26960</v>
      </c>
      <c r="D88" s="62" t="n">
        <v>20000</v>
      </c>
      <c r="E88" s="84" t="s">
        <v>127</v>
      </c>
      <c r="F88" s="63" t="n">
        <v>0.102</v>
      </c>
      <c r="G88" s="63" t="n">
        <v>0.0011</v>
      </c>
      <c r="H88" s="85" t="n">
        <f aca="false">+G88+F88</f>
        <v>0.1031</v>
      </c>
      <c r="I88" s="86" t="n">
        <v>36525</v>
      </c>
      <c r="J88" s="87" t="n">
        <v>38077</v>
      </c>
      <c r="K88" s="0" t="n">
        <v>366</v>
      </c>
      <c r="L88" s="0" t="n">
        <v>365</v>
      </c>
      <c r="M88" s="0" t="n">
        <v>365</v>
      </c>
      <c r="N88" s="0" t="n">
        <v>365</v>
      </c>
      <c r="O88" s="0" t="n">
        <v>91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W88" s="60" t="n">
        <f aca="false">+K88*$D88</f>
        <v>7320000</v>
      </c>
      <c r="X88" s="60" t="n">
        <f aca="false">+L88*$D88</f>
        <v>7300000</v>
      </c>
      <c r="Y88" s="60" t="n">
        <f aca="false">+M88*$D88</f>
        <v>7300000</v>
      </c>
      <c r="Z88" s="60" t="n">
        <f aca="false">+N88*$D88</f>
        <v>7300000</v>
      </c>
      <c r="AA88" s="60" t="n">
        <f aca="false">+O88*$D88</f>
        <v>1820000</v>
      </c>
      <c r="AB88" s="60" t="n">
        <f aca="false">+P88*$D88</f>
        <v>0</v>
      </c>
      <c r="AC88" s="60" t="n">
        <f aca="false">+Q88*$D88</f>
        <v>0</v>
      </c>
      <c r="AD88" s="60" t="n">
        <f aca="false">+R88*$D88</f>
        <v>0</v>
      </c>
      <c r="AE88" s="60" t="n">
        <f aca="false">+S88*$D88</f>
        <v>0</v>
      </c>
      <c r="AF88" s="60" t="n">
        <f aca="false">+T88*$D88</f>
        <v>0</v>
      </c>
      <c r="AG88" s="60" t="n">
        <f aca="false">+U88*$D88</f>
        <v>0</v>
      </c>
    </row>
    <row r="89" customFormat="false" ht="12.75" hidden="false" customHeight="false" outlineLevel="0" collapsed="false">
      <c r="A89" s="92" t="s">
        <v>13</v>
      </c>
      <c r="B89" s="22" t="s">
        <v>47</v>
      </c>
      <c r="C89" s="71" t="n">
        <v>24809</v>
      </c>
      <c r="D89" s="62" t="n">
        <v>20000</v>
      </c>
      <c r="E89" s="61" t="s">
        <v>128</v>
      </c>
      <c r="F89" s="63" t="n">
        <v>0.102</v>
      </c>
      <c r="G89" s="63" t="n">
        <v>0.0011</v>
      </c>
      <c r="H89" s="85" t="n">
        <f aca="false">+G89+F89</f>
        <v>0.1031</v>
      </c>
      <c r="I89" s="86" t="n">
        <v>36525</v>
      </c>
      <c r="J89" s="87" t="n">
        <v>37225</v>
      </c>
      <c r="K89" s="0" t="n">
        <v>366</v>
      </c>
      <c r="L89" s="0" t="n">
        <v>334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W89" s="60" t="n">
        <f aca="false">+K89*$D89</f>
        <v>7320000</v>
      </c>
      <c r="X89" s="60" t="n">
        <f aca="false">+L89*$D89</f>
        <v>6680000</v>
      </c>
      <c r="Y89" s="60" t="n">
        <f aca="false">+M89*$D89</f>
        <v>0</v>
      </c>
      <c r="Z89" s="60" t="n">
        <f aca="false">+N89*$D89</f>
        <v>0</v>
      </c>
      <c r="AA89" s="60" t="n">
        <f aca="false">+O89*$D89</f>
        <v>0</v>
      </c>
      <c r="AB89" s="60" t="n">
        <f aca="false">+P89*$D89</f>
        <v>0</v>
      </c>
      <c r="AC89" s="60" t="n">
        <f aca="false">+Q89*$D89</f>
        <v>0</v>
      </c>
      <c r="AD89" s="60" t="n">
        <f aca="false">+R89*$D89</f>
        <v>0</v>
      </c>
      <c r="AE89" s="60" t="n">
        <f aca="false">+S89*$D89</f>
        <v>0</v>
      </c>
      <c r="AF89" s="60" t="n">
        <f aca="false">+T89*$D89</f>
        <v>0</v>
      </c>
      <c r="AG89" s="60" t="n">
        <f aca="false">+U89*$D89</f>
        <v>0</v>
      </c>
    </row>
    <row r="90" customFormat="false" ht="12.75" hidden="false" customHeight="false" outlineLevel="0" collapsed="false">
      <c r="A90" s="83" t="s">
        <v>97</v>
      </c>
      <c r="B90" s="22" t="s">
        <v>29</v>
      </c>
      <c r="C90" s="71" t="n">
        <v>26490</v>
      </c>
      <c r="D90" s="62" t="n">
        <v>70000</v>
      </c>
      <c r="E90" s="84" t="s">
        <v>127</v>
      </c>
      <c r="F90" s="63" t="n">
        <f aca="false">0.09-0.0153</f>
        <v>0.0747</v>
      </c>
      <c r="G90" s="63" t="n">
        <v>0.0153</v>
      </c>
      <c r="H90" s="85" t="n">
        <f aca="false">+G90+F90</f>
        <v>0.09</v>
      </c>
      <c r="I90" s="86" t="n">
        <v>36100</v>
      </c>
      <c r="J90" s="87" t="n">
        <v>37925</v>
      </c>
      <c r="K90" s="0" t="n">
        <v>366</v>
      </c>
      <c r="L90" s="0" t="n">
        <v>365</v>
      </c>
      <c r="M90" s="0" t="n">
        <v>365</v>
      </c>
      <c r="N90" s="0" t="n">
        <v>304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W90" s="60" t="n">
        <f aca="false">+K90*$D90</f>
        <v>25620000</v>
      </c>
      <c r="X90" s="60" t="n">
        <f aca="false">+L90*$D90</f>
        <v>25550000</v>
      </c>
      <c r="Y90" s="60" t="n">
        <f aca="false">+M90*$D90</f>
        <v>25550000</v>
      </c>
      <c r="Z90" s="60" t="n">
        <f aca="false">+N90*$D90</f>
        <v>21280000</v>
      </c>
      <c r="AA90" s="60" t="n">
        <f aca="false">+O90*$D90</f>
        <v>0</v>
      </c>
      <c r="AB90" s="60" t="n">
        <f aca="false">+P90*$D90</f>
        <v>0</v>
      </c>
      <c r="AC90" s="60" t="n">
        <f aca="false">+Q90*$D90</f>
        <v>0</v>
      </c>
      <c r="AD90" s="60" t="n">
        <f aca="false">+R90*$D90</f>
        <v>0</v>
      </c>
      <c r="AE90" s="60" t="n">
        <f aca="false">+S90*$D90</f>
        <v>0</v>
      </c>
      <c r="AF90" s="60" t="n">
        <f aca="false">+T90*$D90</f>
        <v>0</v>
      </c>
      <c r="AG90" s="60" t="n">
        <f aca="false">+U90*$D90</f>
        <v>0</v>
      </c>
    </row>
    <row r="91" customFormat="false" ht="12.75" hidden="false" customHeight="false" outlineLevel="0" collapsed="false">
      <c r="A91" s="83" t="s">
        <v>97</v>
      </c>
      <c r="B91" s="22" t="s">
        <v>51</v>
      </c>
      <c r="C91" s="71" t="n">
        <v>26683</v>
      </c>
      <c r="D91" s="62" t="n">
        <v>8000</v>
      </c>
      <c r="E91" s="61" t="s">
        <v>128</v>
      </c>
      <c r="F91" s="63" t="n">
        <f aca="false">0.3729-0.102-0.0011-0.0131</f>
        <v>0.2567</v>
      </c>
      <c r="G91" s="63" t="n">
        <v>0.0131</v>
      </c>
      <c r="H91" s="85" t="n">
        <f aca="false">+G91+F91</f>
        <v>0.2698</v>
      </c>
      <c r="I91" s="86" t="n">
        <v>36220</v>
      </c>
      <c r="J91" s="87" t="n">
        <v>37711</v>
      </c>
      <c r="K91" s="0" t="n">
        <v>366</v>
      </c>
      <c r="L91" s="0" t="n">
        <v>365</v>
      </c>
      <c r="M91" s="0" t="n">
        <v>365</v>
      </c>
      <c r="N91" s="0" t="n">
        <v>90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W91" s="60" t="n">
        <f aca="false">+K91*$D91</f>
        <v>2928000</v>
      </c>
      <c r="X91" s="60" t="n">
        <f aca="false">+L91*$D91</f>
        <v>2920000</v>
      </c>
      <c r="Y91" s="60" t="n">
        <f aca="false">+M91*$D91</f>
        <v>2920000</v>
      </c>
      <c r="Z91" s="60" t="n">
        <f aca="false">+N91*$D91</f>
        <v>720000</v>
      </c>
      <c r="AA91" s="60" t="n">
        <f aca="false">+O91*$D91</f>
        <v>0</v>
      </c>
      <c r="AB91" s="60" t="n">
        <f aca="false">+P91*$D91</f>
        <v>0</v>
      </c>
      <c r="AC91" s="60" t="n">
        <f aca="false">+Q91*$D91</f>
        <v>0</v>
      </c>
      <c r="AD91" s="60" t="n">
        <f aca="false">+R91*$D91</f>
        <v>0</v>
      </c>
      <c r="AE91" s="60" t="n">
        <f aca="false">+S91*$D91</f>
        <v>0</v>
      </c>
      <c r="AF91" s="60" t="n">
        <f aca="false">+T91*$D91</f>
        <v>0</v>
      </c>
      <c r="AG91" s="60" t="n">
        <f aca="false">+U91*$D91</f>
        <v>0</v>
      </c>
    </row>
    <row r="92" customFormat="false" ht="12.75" hidden="false" customHeight="false" outlineLevel="0" collapsed="false">
      <c r="A92" s="83" t="s">
        <v>97</v>
      </c>
      <c r="B92" s="22" t="s">
        <v>51</v>
      </c>
      <c r="C92" s="71" t="n">
        <v>27334</v>
      </c>
      <c r="D92" s="62" t="n">
        <v>14000</v>
      </c>
      <c r="E92" s="84" t="s">
        <v>127</v>
      </c>
      <c r="F92" s="63" t="n">
        <f aca="false">0.18-0.0153</f>
        <v>0.1647</v>
      </c>
      <c r="G92" s="63" t="n">
        <v>0.0153</v>
      </c>
      <c r="H92" s="85" t="n">
        <f aca="false">+G92+F92</f>
        <v>0.18</v>
      </c>
      <c r="I92" s="86" t="n">
        <v>36982</v>
      </c>
      <c r="J92" s="87" t="n">
        <v>37195</v>
      </c>
      <c r="K92" s="0" t="n">
        <v>0</v>
      </c>
      <c r="L92" s="0" t="n">
        <v>214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W92" s="60" t="n">
        <f aca="false">+K92*$D92</f>
        <v>0</v>
      </c>
      <c r="X92" s="60" t="n">
        <f aca="false">+L92*$D92</f>
        <v>2996000</v>
      </c>
      <c r="Y92" s="60" t="n">
        <f aca="false">+M92*$D92</f>
        <v>0</v>
      </c>
      <c r="Z92" s="60" t="n">
        <f aca="false">+N92*$D92</f>
        <v>0</v>
      </c>
      <c r="AA92" s="60" t="n">
        <f aca="false">+O92*$D92</f>
        <v>0</v>
      </c>
      <c r="AB92" s="60" t="n">
        <f aca="false">+P92*$D92</f>
        <v>0</v>
      </c>
      <c r="AC92" s="60" t="n">
        <f aca="false">+Q92*$D92</f>
        <v>0</v>
      </c>
      <c r="AD92" s="60" t="n">
        <f aca="false">+R92*$D92</f>
        <v>0</v>
      </c>
      <c r="AE92" s="60" t="n">
        <f aca="false">+S92*$D92</f>
        <v>0</v>
      </c>
      <c r="AF92" s="60" t="n">
        <f aca="false">+T92*$D92</f>
        <v>0</v>
      </c>
      <c r="AG92" s="60" t="n">
        <f aca="false">+U92*$D92</f>
        <v>0</v>
      </c>
    </row>
    <row r="93" customFormat="false" ht="12.75" hidden="false" customHeight="false" outlineLevel="0" collapsed="false">
      <c r="A93" s="83" t="s">
        <v>97</v>
      </c>
      <c r="B93" s="19" t="s">
        <v>31</v>
      </c>
      <c r="C93" s="71" t="n">
        <v>27495</v>
      </c>
      <c r="D93" s="90" t="n">
        <v>0</v>
      </c>
      <c r="E93" s="84"/>
      <c r="F93" s="91" t="n">
        <v>0</v>
      </c>
      <c r="G93" s="91" t="n">
        <v>0.0246</v>
      </c>
      <c r="H93" s="85" t="n">
        <f aca="false">+G93+F93</f>
        <v>0.0246</v>
      </c>
      <c r="I93" s="23" t="n">
        <v>36951</v>
      </c>
      <c r="J93" s="87" t="n">
        <v>37711</v>
      </c>
      <c r="K93" s="0" t="n">
        <v>0</v>
      </c>
      <c r="L93" s="0" t="n">
        <v>306</v>
      </c>
      <c r="M93" s="0" t="n">
        <v>365</v>
      </c>
      <c r="N93" s="0" t="n">
        <v>90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W93" s="60" t="n">
        <f aca="false">+K93*$D93</f>
        <v>0</v>
      </c>
      <c r="X93" s="60" t="n">
        <f aca="false">+L93*$D93</f>
        <v>0</v>
      </c>
      <c r="Y93" s="60" t="n">
        <f aca="false">+M93*$D93</f>
        <v>0</v>
      </c>
      <c r="Z93" s="60" t="n">
        <f aca="false">+N93*$D93</f>
        <v>0</v>
      </c>
      <c r="AA93" s="60" t="n">
        <f aca="false">+O93*$D93</f>
        <v>0</v>
      </c>
      <c r="AB93" s="60" t="n">
        <f aca="false">+P93*$D93</f>
        <v>0</v>
      </c>
      <c r="AC93" s="60" t="n">
        <f aca="false">+Q93*$D93</f>
        <v>0</v>
      </c>
      <c r="AD93" s="60" t="n">
        <f aca="false">+R93*$D93</f>
        <v>0</v>
      </c>
      <c r="AE93" s="60" t="n">
        <f aca="false">+S93*$D93</f>
        <v>0</v>
      </c>
      <c r="AF93" s="60" t="n">
        <f aca="false">+T93*$D93</f>
        <v>0</v>
      </c>
      <c r="AG93" s="60" t="n">
        <f aca="false">+U93*$D93</f>
        <v>0</v>
      </c>
    </row>
    <row r="94" customFormat="false" ht="12.75" hidden="false" customHeight="false" outlineLevel="0" collapsed="false">
      <c r="A94" s="104" t="s">
        <v>97</v>
      </c>
      <c r="B94" s="22" t="s">
        <v>99</v>
      </c>
      <c r="C94" s="71" t="n">
        <v>24736</v>
      </c>
      <c r="D94" s="62" t="n">
        <v>4000</v>
      </c>
      <c r="E94" s="61" t="s">
        <v>133</v>
      </c>
      <c r="F94" s="63" t="n">
        <v>0.2639</v>
      </c>
      <c r="G94" s="63" t="n">
        <v>0.0153</v>
      </c>
      <c r="H94" s="85" t="n">
        <f aca="false">+G94+F94</f>
        <v>0.2792</v>
      </c>
      <c r="I94" s="7"/>
      <c r="J94" s="87" t="n">
        <v>36616</v>
      </c>
      <c r="K94" s="0" t="n">
        <v>91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W94" s="60" t="n">
        <f aca="false">+K94*$D94</f>
        <v>364000</v>
      </c>
      <c r="X94" s="60" t="n">
        <f aca="false">+L94*$D94</f>
        <v>0</v>
      </c>
      <c r="Y94" s="60" t="n">
        <f aca="false">+M94*$D94</f>
        <v>0</v>
      </c>
      <c r="Z94" s="60" t="n">
        <f aca="false">+N94*$D94</f>
        <v>0</v>
      </c>
      <c r="AA94" s="60" t="n">
        <f aca="false">+O94*$D94</f>
        <v>0</v>
      </c>
      <c r="AB94" s="60" t="n">
        <f aca="false">+P94*$D94</f>
        <v>0</v>
      </c>
      <c r="AC94" s="60" t="n">
        <f aca="false">+Q94*$D94</f>
        <v>0</v>
      </c>
      <c r="AD94" s="60" t="n">
        <f aca="false">+R94*$D94</f>
        <v>0</v>
      </c>
      <c r="AE94" s="60" t="n">
        <f aca="false">+S94*$D94</f>
        <v>0</v>
      </c>
      <c r="AF94" s="60" t="n">
        <f aca="false">+T94*$D94</f>
        <v>0</v>
      </c>
      <c r="AG94" s="60" t="n">
        <f aca="false">+U94*$D94</f>
        <v>0</v>
      </c>
    </row>
    <row r="95" customFormat="false" ht="12.75" hidden="false" customHeight="false" outlineLevel="0" collapsed="false">
      <c r="A95" s="101" t="s">
        <v>97</v>
      </c>
      <c r="B95" s="40" t="s">
        <v>65</v>
      </c>
      <c r="C95" s="71" t="n">
        <v>25071</v>
      </c>
      <c r="D95" s="62" t="n">
        <v>90000</v>
      </c>
      <c r="E95" s="84" t="s">
        <v>127</v>
      </c>
      <c r="F95" s="63" t="n">
        <f aca="false">0.1564-0.102-0.0467</f>
        <v>0.00770000000000002</v>
      </c>
      <c r="G95" s="63" t="n">
        <f aca="false">0.0186-0.0011-0.0033</f>
        <v>0.0142</v>
      </c>
      <c r="H95" s="85" t="n">
        <f aca="false">+G95+F95</f>
        <v>0.0219</v>
      </c>
      <c r="I95" s="86" t="n">
        <v>35400</v>
      </c>
      <c r="J95" s="87" t="n">
        <v>39782</v>
      </c>
      <c r="K95" s="0" t="n">
        <v>366</v>
      </c>
      <c r="L95" s="0" t="n">
        <v>365</v>
      </c>
      <c r="M95" s="0" t="n">
        <v>365</v>
      </c>
      <c r="N95" s="0" t="n">
        <v>365</v>
      </c>
      <c r="O95" s="0" t="n">
        <v>366</v>
      </c>
      <c r="P95" s="0" t="n">
        <v>365</v>
      </c>
      <c r="Q95" s="0" t="n">
        <v>365</v>
      </c>
      <c r="R95" s="0" t="n">
        <v>365</v>
      </c>
      <c r="S95" s="0" t="n">
        <v>335</v>
      </c>
      <c r="T95" s="0" t="n">
        <v>0</v>
      </c>
      <c r="U95" s="0" t="n">
        <v>0</v>
      </c>
      <c r="W95" s="60" t="n">
        <f aca="false">+K95*$D95</f>
        <v>32940000</v>
      </c>
      <c r="X95" s="60" t="n">
        <f aca="false">+L95*$D95</f>
        <v>32850000</v>
      </c>
      <c r="Y95" s="60" t="n">
        <f aca="false">+M95*$D95</f>
        <v>32850000</v>
      </c>
      <c r="Z95" s="60" t="n">
        <f aca="false">+N95*$D95</f>
        <v>32850000</v>
      </c>
      <c r="AA95" s="60" t="n">
        <f aca="false">+O95*$D95</f>
        <v>32940000</v>
      </c>
      <c r="AB95" s="60" t="n">
        <f aca="false">+P95*$D95</f>
        <v>32850000</v>
      </c>
      <c r="AC95" s="60" t="n">
        <f aca="false">+Q95*$D95</f>
        <v>32850000</v>
      </c>
      <c r="AD95" s="60" t="n">
        <f aca="false">+R95*$D95</f>
        <v>32850000</v>
      </c>
      <c r="AE95" s="60" t="n">
        <f aca="false">+S95*$D95</f>
        <v>30150000</v>
      </c>
      <c r="AF95" s="60" t="n">
        <f aca="false">+T95*$D95</f>
        <v>0</v>
      </c>
      <c r="AG95" s="60" t="n">
        <f aca="false">+U95*$D95</f>
        <v>0</v>
      </c>
    </row>
    <row r="96" customFormat="false" ht="12.75" hidden="false" customHeight="false" outlineLevel="0" collapsed="false">
      <c r="A96" s="103" t="s">
        <v>97</v>
      </c>
      <c r="B96" s="40" t="s">
        <v>65</v>
      </c>
      <c r="C96" s="71" t="n">
        <v>25700</v>
      </c>
      <c r="D96" s="62" t="n">
        <v>25000</v>
      </c>
      <c r="E96" s="84" t="s">
        <v>127</v>
      </c>
      <c r="F96" s="63" t="n">
        <f aca="false">0.1714-0.102</f>
        <v>0.0694</v>
      </c>
      <c r="G96" s="63" t="n">
        <f aca="false">0.0186-0.0011</f>
        <v>0.0175</v>
      </c>
      <c r="H96" s="85" t="n">
        <f aca="false">+G96+F96</f>
        <v>0.0869</v>
      </c>
      <c r="I96" s="86" t="n">
        <v>36525</v>
      </c>
      <c r="J96" s="87" t="n">
        <v>37621</v>
      </c>
      <c r="K96" s="0" t="n">
        <v>366</v>
      </c>
      <c r="L96" s="0" t="n">
        <v>365</v>
      </c>
      <c r="M96" s="0" t="n">
        <v>365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W96" s="60" t="n">
        <f aca="false">+K96*$D96</f>
        <v>9150000</v>
      </c>
      <c r="X96" s="60" t="n">
        <f aca="false">+L96*$D96</f>
        <v>9125000</v>
      </c>
      <c r="Y96" s="60" t="n">
        <f aca="false">+M96*$D96</f>
        <v>9125000</v>
      </c>
      <c r="Z96" s="60" t="n">
        <f aca="false">+N96*$D96</f>
        <v>0</v>
      </c>
      <c r="AA96" s="60" t="n">
        <f aca="false">+O96*$D96</f>
        <v>0</v>
      </c>
      <c r="AB96" s="60" t="n">
        <f aca="false">+P96*$D96</f>
        <v>0</v>
      </c>
      <c r="AC96" s="60" t="n">
        <f aca="false">+Q96*$D96</f>
        <v>0</v>
      </c>
      <c r="AD96" s="60" t="n">
        <f aca="false">+R96*$D96</f>
        <v>0</v>
      </c>
      <c r="AE96" s="60" t="n">
        <f aca="false">+S96*$D96</f>
        <v>0</v>
      </c>
      <c r="AF96" s="60" t="n">
        <f aca="false">+T96*$D96</f>
        <v>0</v>
      </c>
      <c r="AG96" s="60" t="n">
        <f aca="false">+U96*$D96</f>
        <v>0</v>
      </c>
    </row>
    <row r="97" customFormat="false" ht="12.75" hidden="false" customHeight="false" outlineLevel="0" collapsed="false">
      <c r="A97" s="103" t="s">
        <v>97</v>
      </c>
      <c r="B97" s="22" t="s">
        <v>77</v>
      </c>
      <c r="C97" s="71" t="n">
        <v>27458</v>
      </c>
      <c r="D97" s="62" t="n">
        <v>14000</v>
      </c>
      <c r="E97" s="61" t="s">
        <v>132</v>
      </c>
      <c r="F97" s="63" t="n">
        <f aca="false">1.28-0.102-0.0011-0.0153</f>
        <v>1.1616</v>
      </c>
      <c r="G97" s="63" t="n">
        <v>0.0153</v>
      </c>
      <c r="H97" s="85" t="n">
        <f aca="false">+G97+F97</f>
        <v>1.1769</v>
      </c>
      <c r="I97" s="86" t="n">
        <v>37621</v>
      </c>
      <c r="J97" s="87" t="n">
        <v>38717</v>
      </c>
      <c r="K97" s="0" t="n">
        <v>0</v>
      </c>
      <c r="L97" s="0" t="n">
        <v>0</v>
      </c>
      <c r="M97" s="0" t="n">
        <v>0</v>
      </c>
      <c r="N97" s="0" t="n">
        <v>365</v>
      </c>
      <c r="O97" s="0" t="n">
        <v>366</v>
      </c>
      <c r="P97" s="0" t="n">
        <v>365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W97" s="60" t="n">
        <f aca="false">+K97*$D97</f>
        <v>0</v>
      </c>
      <c r="X97" s="60" t="n">
        <f aca="false">+L97*$D97</f>
        <v>0</v>
      </c>
      <c r="Y97" s="60" t="n">
        <f aca="false">+M97*$D97</f>
        <v>0</v>
      </c>
      <c r="Z97" s="60" t="n">
        <f aca="false">+N97*$D97</f>
        <v>5110000</v>
      </c>
      <c r="AA97" s="60" t="n">
        <f aca="false">+O97*$D97</f>
        <v>5124000</v>
      </c>
      <c r="AB97" s="60" t="n">
        <f aca="false">+P97*$D97</f>
        <v>5110000</v>
      </c>
      <c r="AC97" s="60" t="n">
        <f aca="false">+Q97*$D97</f>
        <v>0</v>
      </c>
      <c r="AD97" s="60" t="n">
        <f aca="false">+R97*$D97</f>
        <v>0</v>
      </c>
      <c r="AE97" s="60" t="n">
        <f aca="false">+S97*$D97</f>
        <v>0</v>
      </c>
      <c r="AF97" s="60" t="n">
        <f aca="false">+T97*$D97</f>
        <v>0</v>
      </c>
      <c r="AG97" s="60" t="n">
        <f aca="false">+U97*$D97</f>
        <v>0</v>
      </c>
    </row>
    <row r="98" customFormat="false" ht="12.75" hidden="false" customHeight="false" outlineLevel="0" collapsed="false">
      <c r="A98" s="104" t="s">
        <v>97</v>
      </c>
      <c r="B98" s="22" t="s">
        <v>100</v>
      </c>
      <c r="C98" s="71" t="n">
        <v>26520</v>
      </c>
      <c r="D98" s="62" t="n">
        <v>25000</v>
      </c>
      <c r="E98" s="61" t="s">
        <v>133</v>
      </c>
      <c r="F98" s="63" t="n">
        <v>0.2096</v>
      </c>
      <c r="G98" s="63" t="n">
        <v>0.0254</v>
      </c>
      <c r="H98" s="85" t="n">
        <f aca="false">+G98+F98</f>
        <v>0.235</v>
      </c>
      <c r="I98" s="86" t="n">
        <v>33664</v>
      </c>
      <c r="J98" s="87" t="n">
        <v>39141</v>
      </c>
      <c r="K98" s="0" t="n">
        <v>366</v>
      </c>
      <c r="L98" s="0" t="n">
        <v>365</v>
      </c>
      <c r="M98" s="0" t="n">
        <v>365</v>
      </c>
      <c r="N98" s="0" t="n">
        <v>365</v>
      </c>
      <c r="O98" s="0" t="n">
        <v>366</v>
      </c>
      <c r="P98" s="0" t="n">
        <v>365</v>
      </c>
      <c r="Q98" s="0" t="n">
        <v>365</v>
      </c>
      <c r="R98" s="0" t="n">
        <v>59</v>
      </c>
      <c r="S98" s="0" t="n">
        <v>0</v>
      </c>
      <c r="T98" s="0" t="n">
        <v>0</v>
      </c>
      <c r="U98" s="0" t="n">
        <v>0</v>
      </c>
      <c r="W98" s="60" t="n">
        <f aca="false">+K98*$D98</f>
        <v>9150000</v>
      </c>
      <c r="X98" s="60" t="n">
        <f aca="false">+L98*$D98</f>
        <v>9125000</v>
      </c>
      <c r="Y98" s="60" t="n">
        <f aca="false">+M98*$D98</f>
        <v>9125000</v>
      </c>
      <c r="Z98" s="60" t="n">
        <f aca="false">+N98*$D98</f>
        <v>9125000</v>
      </c>
      <c r="AA98" s="60" t="n">
        <f aca="false">+O98*$D98</f>
        <v>9150000</v>
      </c>
      <c r="AB98" s="60" t="n">
        <f aca="false">+P98*$D98</f>
        <v>9125000</v>
      </c>
      <c r="AC98" s="60" t="n">
        <f aca="false">+Q98*$D98</f>
        <v>9125000</v>
      </c>
      <c r="AD98" s="60" t="n">
        <f aca="false">+R98*$D98</f>
        <v>1475000</v>
      </c>
      <c r="AE98" s="60" t="n">
        <f aca="false">+S98*$D98</f>
        <v>0</v>
      </c>
      <c r="AF98" s="60" t="n">
        <f aca="false">+T98*$D98</f>
        <v>0</v>
      </c>
      <c r="AG98" s="60" t="n">
        <f aca="false">+U98*$D98</f>
        <v>0</v>
      </c>
    </row>
    <row r="99" customFormat="false" ht="12.75" hidden="false" customHeight="false" outlineLevel="0" collapsed="false">
      <c r="A99" s="104" t="s">
        <v>97</v>
      </c>
      <c r="B99" s="22" t="s">
        <v>79</v>
      </c>
      <c r="C99" s="71" t="n">
        <v>20747</v>
      </c>
      <c r="D99" s="62" t="n">
        <v>10000</v>
      </c>
      <c r="E99" s="61" t="s">
        <v>133</v>
      </c>
      <c r="F99" s="63" t="n">
        <v>0.3062</v>
      </c>
      <c r="G99" s="63" t="n">
        <v>0.0254</v>
      </c>
      <c r="H99" s="85" t="n">
        <f aca="false">+G99+F99</f>
        <v>0.3316</v>
      </c>
      <c r="I99" s="86" t="n">
        <v>33664</v>
      </c>
      <c r="J99" s="87" t="n">
        <v>37315</v>
      </c>
      <c r="K99" s="0" t="n">
        <v>366</v>
      </c>
      <c r="L99" s="0" t="n">
        <v>365</v>
      </c>
      <c r="M99" s="0" t="n">
        <v>59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W99" s="60" t="n">
        <f aca="false">+K99*$D99</f>
        <v>3660000</v>
      </c>
      <c r="X99" s="60" t="n">
        <f aca="false">+L99*$D99</f>
        <v>3650000</v>
      </c>
      <c r="Y99" s="60" t="n">
        <f aca="false">+M99*$D99</f>
        <v>590000</v>
      </c>
      <c r="Z99" s="60" t="n">
        <f aca="false">+N99*$D99</f>
        <v>0</v>
      </c>
      <c r="AA99" s="60" t="n">
        <f aca="false">+O99*$D99</f>
        <v>0</v>
      </c>
      <c r="AB99" s="60" t="n">
        <f aca="false">+P99*$D99</f>
        <v>0</v>
      </c>
      <c r="AC99" s="60" t="n">
        <f aca="false">+Q99*$D99</f>
        <v>0</v>
      </c>
      <c r="AD99" s="60" t="n">
        <f aca="false">+R99*$D99</f>
        <v>0</v>
      </c>
      <c r="AE99" s="60" t="n">
        <f aca="false">+S99*$D99</f>
        <v>0</v>
      </c>
      <c r="AF99" s="60" t="n">
        <f aca="false">+T99*$D99</f>
        <v>0</v>
      </c>
      <c r="AG99" s="60" t="n">
        <f aca="false">+U99*$D99</f>
        <v>0</v>
      </c>
    </row>
    <row r="100" customFormat="false" ht="12.75" hidden="false" customHeight="false" outlineLevel="0" collapsed="false">
      <c r="A100" s="104" t="s">
        <v>97</v>
      </c>
      <c r="B100" s="22" t="s">
        <v>79</v>
      </c>
      <c r="C100" s="71" t="n">
        <v>20748</v>
      </c>
      <c r="D100" s="62" t="n">
        <v>10000</v>
      </c>
      <c r="E100" s="61" t="s">
        <v>133</v>
      </c>
      <c r="F100" s="63" t="n">
        <v>0.305</v>
      </c>
      <c r="G100" s="63" t="n">
        <v>0.0254</v>
      </c>
      <c r="H100" s="85" t="n">
        <f aca="false">+G100+F100</f>
        <v>0.3304</v>
      </c>
      <c r="I100" s="86" t="n">
        <v>33664</v>
      </c>
      <c r="J100" s="87" t="n">
        <v>37315</v>
      </c>
      <c r="K100" s="0" t="n">
        <v>366</v>
      </c>
      <c r="L100" s="0" t="n">
        <v>365</v>
      </c>
      <c r="M100" s="0" t="n">
        <v>59</v>
      </c>
      <c r="N100" s="0" t="n">
        <v>0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W100" s="60" t="n">
        <f aca="false">+K100*$D100</f>
        <v>3660000</v>
      </c>
      <c r="X100" s="60" t="n">
        <f aca="false">+L100*$D100</f>
        <v>3650000</v>
      </c>
      <c r="Y100" s="60" t="n">
        <f aca="false">+M100*$D100</f>
        <v>590000</v>
      </c>
      <c r="Z100" s="60" t="n">
        <f aca="false">+N100*$D100</f>
        <v>0</v>
      </c>
      <c r="AA100" s="60" t="n">
        <f aca="false">+O100*$D100</f>
        <v>0</v>
      </c>
      <c r="AB100" s="60" t="n">
        <f aca="false">+P100*$D100</f>
        <v>0</v>
      </c>
      <c r="AC100" s="60" t="n">
        <f aca="false">+Q100*$D100</f>
        <v>0</v>
      </c>
      <c r="AD100" s="60" t="n">
        <f aca="false">+R100*$D100</f>
        <v>0</v>
      </c>
      <c r="AE100" s="60" t="n">
        <f aca="false">+S100*$D100</f>
        <v>0</v>
      </c>
      <c r="AF100" s="60" t="n">
        <f aca="false">+T100*$D100</f>
        <v>0</v>
      </c>
      <c r="AG100" s="60" t="n">
        <f aca="false">+U100*$D100</f>
        <v>0</v>
      </c>
    </row>
    <row r="101" customFormat="false" ht="12.75" hidden="false" customHeight="false" outlineLevel="0" collapsed="false">
      <c r="A101" s="103" t="s">
        <v>97</v>
      </c>
      <c r="B101" s="22" t="s">
        <v>79</v>
      </c>
      <c r="C101" s="71" t="n">
        <v>27566</v>
      </c>
      <c r="D101" s="62" t="n">
        <v>20000</v>
      </c>
      <c r="E101" s="61" t="s">
        <v>128</v>
      </c>
      <c r="F101" s="63" t="n">
        <v>0.2639</v>
      </c>
      <c r="G101" s="63" t="n">
        <v>0.0153</v>
      </c>
      <c r="H101" s="85" t="n">
        <f aca="false">+G101+F101</f>
        <v>0.2792</v>
      </c>
      <c r="I101" s="86" t="n">
        <v>37316</v>
      </c>
      <c r="J101" s="87" t="n">
        <v>39172</v>
      </c>
      <c r="K101" s="0" t="n">
        <v>0</v>
      </c>
      <c r="L101" s="0" t="n">
        <v>0</v>
      </c>
      <c r="M101" s="0" t="n">
        <v>306</v>
      </c>
      <c r="N101" s="0" t="n">
        <v>365</v>
      </c>
      <c r="O101" s="0" t="n">
        <v>366</v>
      </c>
      <c r="P101" s="0" t="n">
        <v>365</v>
      </c>
      <c r="Q101" s="0" t="n">
        <v>365</v>
      </c>
      <c r="R101" s="0" t="n">
        <v>90</v>
      </c>
      <c r="S101" s="0" t="n">
        <v>0</v>
      </c>
      <c r="T101" s="0" t="n">
        <v>0</v>
      </c>
      <c r="U101" s="0" t="n">
        <v>0</v>
      </c>
      <c r="W101" s="60" t="n">
        <f aca="false">+K101*$D101</f>
        <v>0</v>
      </c>
      <c r="X101" s="60" t="n">
        <f aca="false">+L101*$D101</f>
        <v>0</v>
      </c>
      <c r="Y101" s="60" t="n">
        <f aca="false">+M101*$D101</f>
        <v>6120000</v>
      </c>
      <c r="Z101" s="60" t="n">
        <f aca="false">+N101*$D101</f>
        <v>7300000</v>
      </c>
      <c r="AA101" s="60" t="n">
        <f aca="false">+O101*$D101</f>
        <v>7320000</v>
      </c>
      <c r="AB101" s="60" t="n">
        <f aca="false">+P101*$D101</f>
        <v>7300000</v>
      </c>
      <c r="AC101" s="60" t="n">
        <f aca="false">+Q101*$D101</f>
        <v>7300000</v>
      </c>
      <c r="AD101" s="60" t="n">
        <f aca="false">+R101*$D101</f>
        <v>1800000</v>
      </c>
      <c r="AE101" s="60" t="n">
        <f aca="false">+S101*$D101</f>
        <v>0</v>
      </c>
      <c r="AF101" s="60" t="n">
        <f aca="false">+T101*$D101</f>
        <v>0</v>
      </c>
      <c r="AG101" s="60" t="n">
        <f aca="false">+U101*$D101</f>
        <v>0</v>
      </c>
    </row>
    <row r="102" customFormat="false" ht="12.75" hidden="false" customHeight="false" outlineLevel="0" collapsed="false">
      <c r="A102" s="83" t="s">
        <v>97</v>
      </c>
      <c r="B102" s="22" t="s">
        <v>35</v>
      </c>
      <c r="C102" s="71" t="n">
        <v>25838</v>
      </c>
      <c r="D102" s="62" t="n">
        <v>10475</v>
      </c>
      <c r="E102" s="84" t="s">
        <v>127</v>
      </c>
      <c r="F102" s="63" t="n">
        <v>0.0396</v>
      </c>
      <c r="G102" s="63" t="n">
        <v>0.0254</v>
      </c>
      <c r="H102" s="85" t="n">
        <f aca="false">+G102+F102</f>
        <v>0.065</v>
      </c>
      <c r="I102" s="86"/>
      <c r="J102" s="87" t="n">
        <v>36556</v>
      </c>
      <c r="K102" s="0" t="n">
        <v>31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W102" s="60" t="n">
        <f aca="false">+K102*$D102</f>
        <v>324725</v>
      </c>
      <c r="X102" s="60" t="n">
        <f aca="false">+L102*$D102</f>
        <v>0</v>
      </c>
      <c r="Y102" s="60" t="n">
        <f aca="false">+M102*$D102</f>
        <v>0</v>
      </c>
      <c r="Z102" s="60" t="n">
        <f aca="false">+N102*$D102</f>
        <v>0</v>
      </c>
      <c r="AA102" s="60" t="n">
        <f aca="false">+O102*$D102</f>
        <v>0</v>
      </c>
      <c r="AB102" s="60" t="n">
        <f aca="false">+P102*$D102</f>
        <v>0</v>
      </c>
      <c r="AC102" s="60" t="n">
        <f aca="false">+Q102*$D102</f>
        <v>0</v>
      </c>
      <c r="AD102" s="60" t="n">
        <f aca="false">+R102*$D102</f>
        <v>0</v>
      </c>
      <c r="AE102" s="60" t="n">
        <f aca="false">+S102*$D102</f>
        <v>0</v>
      </c>
      <c r="AF102" s="60" t="n">
        <f aca="false">+T102*$D102</f>
        <v>0</v>
      </c>
      <c r="AG102" s="60" t="n">
        <f aca="false">+U102*$D102</f>
        <v>0</v>
      </c>
    </row>
    <row r="103" customFormat="false" ht="12.75" hidden="false" customHeight="false" outlineLevel="0" collapsed="false">
      <c r="A103" s="83" t="s">
        <v>97</v>
      </c>
      <c r="B103" s="22" t="s">
        <v>35</v>
      </c>
      <c r="C103" s="71" t="n">
        <v>26758</v>
      </c>
      <c r="D103" s="62" t="n">
        <v>40000</v>
      </c>
      <c r="E103" s="84" t="s">
        <v>127</v>
      </c>
      <c r="F103" s="63" t="n">
        <v>0.0658</v>
      </c>
      <c r="G103" s="63" t="n">
        <v>0.0254</v>
      </c>
      <c r="H103" s="85" t="n">
        <f aca="false">+G103+F103</f>
        <v>0.0912</v>
      </c>
      <c r="I103" s="86" t="n">
        <v>36647</v>
      </c>
      <c r="J103" s="87" t="n">
        <v>38472</v>
      </c>
      <c r="K103" s="0" t="n">
        <v>245</v>
      </c>
      <c r="L103" s="0" t="n">
        <v>365</v>
      </c>
      <c r="M103" s="0" t="n">
        <v>365</v>
      </c>
      <c r="N103" s="0" t="n">
        <v>365</v>
      </c>
      <c r="O103" s="0" t="n">
        <v>366</v>
      </c>
      <c r="P103" s="0" t="n">
        <v>120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W103" s="60" t="n">
        <f aca="false">+K103*$D103</f>
        <v>9800000</v>
      </c>
      <c r="X103" s="60" t="n">
        <f aca="false">+L103*$D103</f>
        <v>14600000</v>
      </c>
      <c r="Y103" s="60" t="n">
        <f aca="false">+M103*$D103</f>
        <v>14600000</v>
      </c>
      <c r="Z103" s="60" t="n">
        <f aca="false">+N103*$D103</f>
        <v>14600000</v>
      </c>
      <c r="AA103" s="60" t="n">
        <f aca="false">+O103*$D103</f>
        <v>14640000</v>
      </c>
      <c r="AB103" s="60" t="n">
        <f aca="false">+P103*$D103</f>
        <v>4800000</v>
      </c>
      <c r="AC103" s="60" t="n">
        <f aca="false">+Q103*$D103</f>
        <v>0</v>
      </c>
      <c r="AD103" s="60" t="n">
        <f aca="false">+R103*$D103</f>
        <v>0</v>
      </c>
      <c r="AE103" s="60" t="n">
        <f aca="false">+S103*$D103</f>
        <v>0</v>
      </c>
      <c r="AF103" s="60" t="n">
        <f aca="false">+T103*$D103</f>
        <v>0</v>
      </c>
      <c r="AG103" s="60" t="n">
        <f aca="false">+U103*$D103</f>
        <v>0</v>
      </c>
    </row>
    <row r="104" customFormat="false" ht="12.75" hidden="false" customHeight="false" outlineLevel="0" collapsed="false">
      <c r="A104" s="104" t="s">
        <v>97</v>
      </c>
      <c r="B104" s="22" t="s">
        <v>81</v>
      </c>
      <c r="C104" s="71" t="n">
        <v>26372</v>
      </c>
      <c r="D104" s="62" t="n">
        <v>25000</v>
      </c>
      <c r="E104" s="61" t="s">
        <v>133</v>
      </c>
      <c r="F104" s="63" t="n">
        <v>0.3137</v>
      </c>
      <c r="G104" s="63" t="n">
        <v>0.0254</v>
      </c>
      <c r="H104" s="85" t="n">
        <f aca="false">+G104+F104</f>
        <v>0.3391</v>
      </c>
      <c r="I104" s="86" t="n">
        <v>36525</v>
      </c>
      <c r="J104" s="87" t="n">
        <v>39172</v>
      </c>
      <c r="K104" s="0" t="n">
        <v>366</v>
      </c>
      <c r="L104" s="0" t="n">
        <v>365</v>
      </c>
      <c r="M104" s="0" t="n">
        <v>365</v>
      </c>
      <c r="N104" s="0" t="n">
        <v>365</v>
      </c>
      <c r="O104" s="0" t="n">
        <v>366</v>
      </c>
      <c r="P104" s="0" t="n">
        <v>365</v>
      </c>
      <c r="Q104" s="0" t="n">
        <v>365</v>
      </c>
      <c r="R104" s="0" t="n">
        <v>90</v>
      </c>
      <c r="S104" s="0" t="n">
        <v>0</v>
      </c>
      <c r="T104" s="0" t="n">
        <v>0</v>
      </c>
      <c r="U104" s="0" t="n">
        <v>0</v>
      </c>
      <c r="W104" s="60" t="n">
        <f aca="false">+K104*$D104</f>
        <v>9150000</v>
      </c>
      <c r="X104" s="60" t="n">
        <f aca="false">+L104*$D104</f>
        <v>9125000</v>
      </c>
      <c r="Y104" s="60" t="n">
        <f aca="false">+M104*$D104</f>
        <v>9125000</v>
      </c>
      <c r="Z104" s="60" t="n">
        <f aca="false">+N104*$D104</f>
        <v>9125000</v>
      </c>
      <c r="AA104" s="60" t="n">
        <f aca="false">+O104*$D104</f>
        <v>9150000</v>
      </c>
      <c r="AB104" s="60" t="n">
        <f aca="false">+P104*$D104</f>
        <v>9125000</v>
      </c>
      <c r="AC104" s="60" t="n">
        <f aca="false">+Q104*$D104</f>
        <v>9125000</v>
      </c>
      <c r="AD104" s="60" t="n">
        <f aca="false">+R104*$D104</f>
        <v>2250000</v>
      </c>
      <c r="AE104" s="60" t="n">
        <f aca="false">+S104*$D104</f>
        <v>0</v>
      </c>
      <c r="AF104" s="60" t="n">
        <f aca="false">+T104*$D104</f>
        <v>0</v>
      </c>
      <c r="AG104" s="60" t="n">
        <f aca="false">+U104*$D104</f>
        <v>0</v>
      </c>
    </row>
    <row r="105" customFormat="false" ht="12.75" hidden="false" customHeight="false" outlineLevel="0" collapsed="false">
      <c r="A105" s="103" t="s">
        <v>97</v>
      </c>
      <c r="B105" s="22" t="s">
        <v>82</v>
      </c>
      <c r="C105" s="71" t="n">
        <v>27453</v>
      </c>
      <c r="D105" s="62" t="n">
        <v>35000</v>
      </c>
      <c r="E105" s="61" t="s">
        <v>132</v>
      </c>
      <c r="F105" s="63" t="n">
        <f aca="false">1.18-0.102-0.0011-0.0153</f>
        <v>1.0616</v>
      </c>
      <c r="G105" s="63" t="n">
        <v>0.0153</v>
      </c>
      <c r="H105" s="85" t="n">
        <f aca="false">+G105+F105</f>
        <v>1.0769</v>
      </c>
      <c r="I105" s="86" t="n">
        <v>37621</v>
      </c>
      <c r="J105" s="87" t="n">
        <v>37986</v>
      </c>
      <c r="K105" s="0" t="n">
        <v>0</v>
      </c>
      <c r="L105" s="0" t="n">
        <v>0</v>
      </c>
      <c r="M105" s="0" t="n">
        <v>0</v>
      </c>
      <c r="N105" s="0" t="n">
        <v>365</v>
      </c>
      <c r="O105" s="0" t="n">
        <v>0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W105" s="60" t="n">
        <f aca="false">+K105*$D105</f>
        <v>0</v>
      </c>
      <c r="X105" s="60" t="n">
        <f aca="false">+L105*$D105</f>
        <v>0</v>
      </c>
      <c r="Y105" s="60" t="n">
        <f aca="false">+M105*$D105</f>
        <v>0</v>
      </c>
      <c r="Z105" s="60" t="n">
        <f aca="false">+N105*$D105</f>
        <v>12775000</v>
      </c>
      <c r="AA105" s="60" t="n">
        <f aca="false">+O105*$D105</f>
        <v>0</v>
      </c>
      <c r="AB105" s="60" t="n">
        <f aca="false">+P105*$D105</f>
        <v>0</v>
      </c>
      <c r="AC105" s="60" t="n">
        <f aca="false">+Q105*$D105</f>
        <v>0</v>
      </c>
      <c r="AD105" s="60" t="n">
        <f aca="false">+R105*$D105</f>
        <v>0</v>
      </c>
      <c r="AE105" s="60" t="n">
        <f aca="false">+S105*$D105</f>
        <v>0</v>
      </c>
      <c r="AF105" s="60" t="n">
        <f aca="false">+T105*$D105</f>
        <v>0</v>
      </c>
      <c r="AG105" s="60" t="n">
        <f aca="false">+U105*$D105</f>
        <v>0</v>
      </c>
    </row>
    <row r="106" customFormat="false" ht="12.75" hidden="false" customHeight="false" outlineLevel="0" collapsed="false">
      <c r="A106" s="103" t="s">
        <v>97</v>
      </c>
      <c r="B106" s="22" t="s">
        <v>82</v>
      </c>
      <c r="C106" s="71" t="n">
        <v>27456</v>
      </c>
      <c r="D106" s="62" t="n">
        <v>21500</v>
      </c>
      <c r="E106" s="61" t="s">
        <v>132</v>
      </c>
      <c r="F106" s="63" t="n">
        <f aca="false">1-0.102-0.0011-0.0153</f>
        <v>0.8816</v>
      </c>
      <c r="G106" s="63" t="n">
        <v>0.0153</v>
      </c>
      <c r="H106" s="85" t="n">
        <f aca="false">+G106+F106</f>
        <v>0.8969</v>
      </c>
      <c r="I106" s="86" t="n">
        <v>37560</v>
      </c>
      <c r="J106" s="87" t="n">
        <v>37621</v>
      </c>
      <c r="K106" s="0" t="n">
        <v>0</v>
      </c>
      <c r="L106" s="0" t="n">
        <v>0</v>
      </c>
      <c r="M106" s="0" t="n">
        <v>61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W106" s="60" t="n">
        <f aca="false">+K106*$D106</f>
        <v>0</v>
      </c>
      <c r="X106" s="60" t="n">
        <f aca="false">+L106*$D106</f>
        <v>0</v>
      </c>
      <c r="Y106" s="60" t="n">
        <f aca="false">+M106*$D106</f>
        <v>1311500</v>
      </c>
      <c r="Z106" s="60" t="n">
        <f aca="false">+N106*$D106</f>
        <v>0</v>
      </c>
      <c r="AA106" s="60" t="n">
        <f aca="false">+O106*$D106</f>
        <v>0</v>
      </c>
      <c r="AB106" s="60" t="n">
        <f aca="false">+P106*$D106</f>
        <v>0</v>
      </c>
      <c r="AC106" s="60" t="n">
        <f aca="false">+Q106*$D106</f>
        <v>0</v>
      </c>
      <c r="AD106" s="60" t="n">
        <f aca="false">+R106*$D106</f>
        <v>0</v>
      </c>
      <c r="AE106" s="60" t="n">
        <f aca="false">+S106*$D106</f>
        <v>0</v>
      </c>
      <c r="AF106" s="60" t="n">
        <f aca="false">+T106*$D106</f>
        <v>0</v>
      </c>
      <c r="AG106" s="60" t="n">
        <f aca="false">+U106*$D106</f>
        <v>0</v>
      </c>
    </row>
    <row r="107" customFormat="false" ht="12.75" hidden="false" customHeight="false" outlineLevel="0" collapsed="false">
      <c r="A107" s="103" t="s">
        <v>97</v>
      </c>
      <c r="B107" s="22" t="s">
        <v>82</v>
      </c>
      <c r="C107" s="71" t="n">
        <v>27457</v>
      </c>
      <c r="D107" s="62" t="n">
        <v>13500</v>
      </c>
      <c r="E107" s="61" t="s">
        <v>132</v>
      </c>
      <c r="F107" s="63" t="n">
        <f aca="false">1.11-0.102-0.0011-0.0153</f>
        <v>0.9916</v>
      </c>
      <c r="G107" s="63" t="n">
        <v>0.0153</v>
      </c>
      <c r="H107" s="85" t="n">
        <f aca="false">+G107+F107</f>
        <v>1.0069</v>
      </c>
      <c r="I107" s="86" t="n">
        <v>37225</v>
      </c>
      <c r="J107" s="87" t="n">
        <v>37256</v>
      </c>
      <c r="K107" s="0" t="n">
        <v>0</v>
      </c>
      <c r="L107" s="0" t="n">
        <v>31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W107" s="60" t="n">
        <f aca="false">+K107*$D107</f>
        <v>0</v>
      </c>
      <c r="X107" s="60" t="n">
        <f aca="false">+L107*$D107</f>
        <v>418500</v>
      </c>
      <c r="Y107" s="60" t="n">
        <f aca="false">+M107*$D107</f>
        <v>0</v>
      </c>
      <c r="Z107" s="60" t="n">
        <f aca="false">+N107*$D107</f>
        <v>0</v>
      </c>
      <c r="AA107" s="60" t="n">
        <f aca="false">+O107*$D107</f>
        <v>0</v>
      </c>
      <c r="AB107" s="60" t="n">
        <f aca="false">+P107*$D107</f>
        <v>0</v>
      </c>
      <c r="AC107" s="60" t="n">
        <f aca="false">+Q107*$D107</f>
        <v>0</v>
      </c>
      <c r="AD107" s="60" t="n">
        <f aca="false">+R107*$D107</f>
        <v>0</v>
      </c>
      <c r="AE107" s="60" t="n">
        <f aca="false">+S107*$D107</f>
        <v>0</v>
      </c>
      <c r="AF107" s="60" t="n">
        <f aca="false">+T107*$D107</f>
        <v>0</v>
      </c>
      <c r="AG107" s="60" t="n">
        <f aca="false">+U107*$D107</f>
        <v>0</v>
      </c>
    </row>
    <row r="108" customFormat="false" ht="12.75" hidden="false" customHeight="false" outlineLevel="0" collapsed="false">
      <c r="A108" s="103" t="s">
        <v>97</v>
      </c>
      <c r="B108" s="22" t="s">
        <v>84</v>
      </c>
      <c r="C108" s="71" t="n">
        <v>26125</v>
      </c>
      <c r="D108" s="62" t="n">
        <v>8600</v>
      </c>
      <c r="E108" s="84" t="s">
        <v>127</v>
      </c>
      <c r="F108" s="63" t="n">
        <f aca="false">0.13-0.102-0.0011-0.0254</f>
        <v>0.00150000000000001</v>
      </c>
      <c r="G108" s="63" t="n">
        <v>0.0254</v>
      </c>
      <c r="H108" s="85" t="n">
        <f aca="false">+G108+F108</f>
        <v>0.0269</v>
      </c>
      <c r="I108" s="86" t="n">
        <v>35947</v>
      </c>
      <c r="J108" s="87" t="n">
        <v>37772</v>
      </c>
      <c r="K108" s="0" t="n">
        <v>366</v>
      </c>
      <c r="L108" s="0" t="n">
        <v>365</v>
      </c>
      <c r="M108" s="0" t="n">
        <v>365</v>
      </c>
      <c r="N108" s="0" t="n">
        <v>151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W108" s="60" t="n">
        <f aca="false">+K108*$D108</f>
        <v>3147600</v>
      </c>
      <c r="X108" s="60" t="n">
        <f aca="false">+L108*$D108</f>
        <v>3139000</v>
      </c>
      <c r="Y108" s="60" t="n">
        <f aca="false">+M108*$D108</f>
        <v>3139000</v>
      </c>
      <c r="Z108" s="60" t="n">
        <f aca="false">+N108*$D108</f>
        <v>1298600</v>
      </c>
      <c r="AA108" s="60" t="n">
        <f aca="false">+O108*$D108</f>
        <v>0</v>
      </c>
      <c r="AB108" s="60" t="n">
        <f aca="false">+P108*$D108</f>
        <v>0</v>
      </c>
      <c r="AC108" s="60" t="n">
        <f aca="false">+Q108*$D108</f>
        <v>0</v>
      </c>
      <c r="AD108" s="60" t="n">
        <f aca="false">+R108*$D108</f>
        <v>0</v>
      </c>
      <c r="AE108" s="60" t="n">
        <f aca="false">+S108*$D108</f>
        <v>0</v>
      </c>
      <c r="AF108" s="60" t="n">
        <f aca="false">+T108*$D108</f>
        <v>0</v>
      </c>
      <c r="AG108" s="60" t="n">
        <f aca="false">+U108*$D108</f>
        <v>0</v>
      </c>
    </row>
    <row r="109" customFormat="false" ht="12.75" hidden="false" customHeight="false" outlineLevel="0" collapsed="false">
      <c r="A109" s="103" t="s">
        <v>97</v>
      </c>
      <c r="B109" s="22" t="s">
        <v>85</v>
      </c>
      <c r="C109" s="71" t="n">
        <v>26884</v>
      </c>
      <c r="D109" s="62" t="n">
        <v>40000</v>
      </c>
      <c r="E109" s="84" t="s">
        <v>127</v>
      </c>
      <c r="F109" s="63" t="n">
        <f aca="false">0.2025-0.102-0.0011-0.0254</f>
        <v>0.074</v>
      </c>
      <c r="G109" s="63" t="n">
        <v>0.0254</v>
      </c>
      <c r="H109" s="85" t="n">
        <f aca="false">+G109+F109</f>
        <v>0.0994</v>
      </c>
      <c r="I109" s="86" t="n">
        <v>36646</v>
      </c>
      <c r="J109" s="87" t="n">
        <v>38656</v>
      </c>
      <c r="K109" s="0" t="n">
        <v>245</v>
      </c>
      <c r="L109" s="0" t="n">
        <v>365</v>
      </c>
      <c r="M109" s="0" t="n">
        <v>365</v>
      </c>
      <c r="N109" s="0" t="n">
        <v>365</v>
      </c>
      <c r="O109" s="0" t="n">
        <v>366</v>
      </c>
      <c r="P109" s="0" t="n">
        <v>304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W109" s="60" t="n">
        <f aca="false">+K109*$D109</f>
        <v>9800000</v>
      </c>
      <c r="X109" s="60" t="n">
        <f aca="false">+L109*$D109</f>
        <v>14600000</v>
      </c>
      <c r="Y109" s="60" t="n">
        <f aca="false">+M109*$D109</f>
        <v>14600000</v>
      </c>
      <c r="Z109" s="60" t="n">
        <f aca="false">+N109*$D109</f>
        <v>14600000</v>
      </c>
      <c r="AA109" s="60" t="n">
        <f aca="false">+O109*$D109</f>
        <v>14640000</v>
      </c>
      <c r="AB109" s="60" t="n">
        <f aca="false">+P109*$D109</f>
        <v>12160000</v>
      </c>
      <c r="AC109" s="60" t="n">
        <f aca="false">+Q109*$D109</f>
        <v>0</v>
      </c>
      <c r="AD109" s="60" t="n">
        <f aca="false">+R109*$D109</f>
        <v>0</v>
      </c>
      <c r="AE109" s="60" t="n">
        <f aca="false">+S109*$D109</f>
        <v>0</v>
      </c>
      <c r="AF109" s="60" t="n">
        <f aca="false">+T109*$D109</f>
        <v>0</v>
      </c>
      <c r="AG109" s="60" t="n">
        <f aca="false">+U109*$D109</f>
        <v>0</v>
      </c>
    </row>
    <row r="110" customFormat="false" ht="12.75" hidden="false" customHeight="false" outlineLevel="0" collapsed="false">
      <c r="A110" s="104" t="s">
        <v>97</v>
      </c>
      <c r="B110" s="22" t="s">
        <v>86</v>
      </c>
      <c r="C110" s="71" t="n">
        <v>26678</v>
      </c>
      <c r="D110" s="62" t="n">
        <v>25000</v>
      </c>
      <c r="E110" s="84" t="s">
        <v>127</v>
      </c>
      <c r="F110" s="63" t="n">
        <v>0.3124</v>
      </c>
      <c r="G110" s="63" t="n">
        <v>0.0254</v>
      </c>
      <c r="H110" s="85" t="n">
        <f aca="false">+G110+F110</f>
        <v>0.3378</v>
      </c>
      <c r="I110" s="86" t="n">
        <v>36525</v>
      </c>
      <c r="J110" s="87" t="n">
        <v>39172</v>
      </c>
      <c r="K110" s="0" t="n">
        <v>366</v>
      </c>
      <c r="L110" s="0" t="n">
        <v>365</v>
      </c>
      <c r="M110" s="0" t="n">
        <v>365</v>
      </c>
      <c r="N110" s="0" t="n">
        <v>365</v>
      </c>
      <c r="O110" s="0" t="n">
        <v>366</v>
      </c>
      <c r="P110" s="0" t="n">
        <v>365</v>
      </c>
      <c r="Q110" s="0" t="n">
        <v>90</v>
      </c>
      <c r="R110" s="0" t="n">
        <v>0</v>
      </c>
      <c r="S110" s="0" t="n">
        <v>0</v>
      </c>
      <c r="T110" s="0" t="n">
        <v>0</v>
      </c>
      <c r="U110" s="0" t="n">
        <v>0</v>
      </c>
      <c r="W110" s="60" t="n">
        <f aca="false">+K110*$D110</f>
        <v>9150000</v>
      </c>
      <c r="X110" s="60" t="n">
        <f aca="false">+L110*$D110</f>
        <v>9125000</v>
      </c>
      <c r="Y110" s="60" t="n">
        <f aca="false">+M110*$D110</f>
        <v>9125000</v>
      </c>
      <c r="Z110" s="60" t="n">
        <f aca="false">+N110*$D110</f>
        <v>9125000</v>
      </c>
      <c r="AA110" s="60" t="n">
        <f aca="false">+O110*$D110</f>
        <v>9150000</v>
      </c>
      <c r="AB110" s="60" t="n">
        <f aca="false">+P110*$D110</f>
        <v>9125000</v>
      </c>
      <c r="AC110" s="60" t="n">
        <f aca="false">+Q110*$D110</f>
        <v>2250000</v>
      </c>
      <c r="AD110" s="60" t="n">
        <f aca="false">+R110*$D110</f>
        <v>0</v>
      </c>
      <c r="AE110" s="60" t="n">
        <f aca="false">+S110*$D110</f>
        <v>0</v>
      </c>
      <c r="AF110" s="60" t="n">
        <f aca="false">+T110*$D110</f>
        <v>0</v>
      </c>
      <c r="AG110" s="60" t="n">
        <f aca="false">+U110*$D110</f>
        <v>0</v>
      </c>
    </row>
    <row r="111" customFormat="false" ht="12.75" hidden="false" customHeight="false" outlineLevel="0" collapsed="false">
      <c r="A111" s="83" t="s">
        <v>97</v>
      </c>
      <c r="B111" s="22" t="s">
        <v>52</v>
      </c>
      <c r="C111" s="71" t="n">
        <v>25847</v>
      </c>
      <c r="D111" s="62" t="n">
        <v>20000</v>
      </c>
      <c r="E111" s="84" t="s">
        <v>127</v>
      </c>
      <c r="F111" s="63" t="n">
        <f aca="false">0.126-0.0407-0.0093-0.0254</f>
        <v>0.0506</v>
      </c>
      <c r="G111" s="63" t="n">
        <v>0.0254</v>
      </c>
      <c r="H111" s="85" t="n">
        <f aca="false">+G111+F111</f>
        <v>0.076</v>
      </c>
      <c r="I111" s="86"/>
      <c r="J111" s="87" t="n">
        <v>36556</v>
      </c>
      <c r="K111" s="0" t="n">
        <v>31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W111" s="60" t="n">
        <f aca="false">+K111*$D111</f>
        <v>620000</v>
      </c>
      <c r="X111" s="60" t="n">
        <f aca="false">+L111*$D111</f>
        <v>0</v>
      </c>
      <c r="Y111" s="60" t="n">
        <f aca="false">+M111*$D111</f>
        <v>0</v>
      </c>
      <c r="Z111" s="60" t="n">
        <f aca="false">+N111*$D111</f>
        <v>0</v>
      </c>
      <c r="AA111" s="60" t="n">
        <f aca="false">+O111*$D111</f>
        <v>0</v>
      </c>
      <c r="AB111" s="60" t="n">
        <f aca="false">+P111*$D111</f>
        <v>0</v>
      </c>
      <c r="AC111" s="60" t="n">
        <f aca="false">+Q111*$D111</f>
        <v>0</v>
      </c>
      <c r="AD111" s="60" t="n">
        <f aca="false">+R111*$D111</f>
        <v>0</v>
      </c>
      <c r="AE111" s="60" t="n">
        <f aca="false">+S111*$D111</f>
        <v>0</v>
      </c>
      <c r="AF111" s="60" t="n">
        <f aca="false">+T111*$D111</f>
        <v>0</v>
      </c>
      <c r="AG111" s="60" t="n">
        <f aca="false">+U111*$D111</f>
        <v>0</v>
      </c>
    </row>
    <row r="112" customFormat="false" ht="12.75" hidden="false" customHeight="false" outlineLevel="0" collapsed="false">
      <c r="A112" s="83" t="s">
        <v>97</v>
      </c>
      <c r="B112" s="22" t="s">
        <v>53</v>
      </c>
      <c r="C112" s="71" t="n">
        <v>26635</v>
      </c>
      <c r="D112" s="62" t="n">
        <v>500</v>
      </c>
      <c r="E112" s="61" t="s">
        <v>128</v>
      </c>
      <c r="F112" s="63" t="n">
        <f aca="false">0.3799-0.102-0.0071-0.0153</f>
        <v>0.2555</v>
      </c>
      <c r="G112" s="63" t="n">
        <v>0.0153</v>
      </c>
      <c r="H112" s="85" t="n">
        <f aca="false">+G112+F112</f>
        <v>0.2708</v>
      </c>
      <c r="I112" s="86" t="n">
        <v>36192</v>
      </c>
      <c r="J112" s="87" t="n">
        <v>37256</v>
      </c>
      <c r="K112" s="0" t="n">
        <v>345</v>
      </c>
      <c r="L112" s="0" t="n">
        <v>365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W112" s="60" t="n">
        <f aca="false">+K112*$D112</f>
        <v>172500</v>
      </c>
      <c r="X112" s="60" t="n">
        <f aca="false">+L112*$D112</f>
        <v>182500</v>
      </c>
      <c r="Y112" s="60" t="n">
        <f aca="false">+M112*$D112</f>
        <v>0</v>
      </c>
      <c r="Z112" s="60" t="n">
        <f aca="false">+N112*$D112</f>
        <v>0</v>
      </c>
      <c r="AA112" s="60" t="n">
        <f aca="false">+O112*$D112</f>
        <v>0</v>
      </c>
      <c r="AB112" s="60" t="n">
        <f aca="false">+P112*$D112</f>
        <v>0</v>
      </c>
      <c r="AC112" s="60" t="n">
        <f aca="false">+Q112*$D112</f>
        <v>0</v>
      </c>
      <c r="AD112" s="60" t="n">
        <f aca="false">+R112*$D112</f>
        <v>0</v>
      </c>
      <c r="AE112" s="60" t="n">
        <f aca="false">+S112*$D112</f>
        <v>0</v>
      </c>
      <c r="AF112" s="60" t="n">
        <f aca="false">+T112*$D112</f>
        <v>0</v>
      </c>
      <c r="AG112" s="60" t="n">
        <f aca="false">+U112*$D112</f>
        <v>0</v>
      </c>
    </row>
    <row r="113" customFormat="false" ht="12.75" hidden="false" customHeight="false" outlineLevel="0" collapsed="false">
      <c r="A113" s="83" t="s">
        <v>97</v>
      </c>
      <c r="B113" s="22" t="s">
        <v>54</v>
      </c>
      <c r="C113" s="71" t="n">
        <v>26123</v>
      </c>
      <c r="D113" s="62" t="n">
        <v>2900</v>
      </c>
      <c r="E113" s="84" t="s">
        <v>127</v>
      </c>
      <c r="F113" s="63" t="n">
        <v>0.0847</v>
      </c>
      <c r="G113" s="63" t="n">
        <v>0.0153</v>
      </c>
      <c r="H113" s="85" t="n">
        <f aca="false">+G113+F113</f>
        <v>0.1</v>
      </c>
      <c r="I113" s="86"/>
      <c r="J113" s="87" t="n">
        <v>36616</v>
      </c>
      <c r="K113" s="0" t="n">
        <v>91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W113" s="60" t="n">
        <f aca="false">+K113*$D113</f>
        <v>263900</v>
      </c>
      <c r="X113" s="60" t="n">
        <f aca="false">+L113*$D113</f>
        <v>0</v>
      </c>
      <c r="Y113" s="60" t="n">
        <f aca="false">+M113*$D113</f>
        <v>0</v>
      </c>
      <c r="Z113" s="60" t="n">
        <f aca="false">+N113*$D113</f>
        <v>0</v>
      </c>
      <c r="AA113" s="60" t="n">
        <f aca="false">+O113*$D113</f>
        <v>0</v>
      </c>
      <c r="AB113" s="60" t="n">
        <f aca="false">+P113*$D113</f>
        <v>0</v>
      </c>
      <c r="AC113" s="60" t="n">
        <f aca="false">+Q113*$D113</f>
        <v>0</v>
      </c>
      <c r="AD113" s="60" t="n">
        <f aca="false">+R113*$D113</f>
        <v>0</v>
      </c>
      <c r="AE113" s="60" t="n">
        <f aca="false">+S113*$D113</f>
        <v>0</v>
      </c>
      <c r="AF113" s="60" t="n">
        <f aca="false">+T113*$D113</f>
        <v>0</v>
      </c>
      <c r="AG113" s="60" t="n">
        <f aca="false">+U113*$D113</f>
        <v>0</v>
      </c>
    </row>
    <row r="114" customFormat="false" ht="12.75" hidden="false" customHeight="false" outlineLevel="0" collapsed="false">
      <c r="A114" s="103" t="s">
        <v>97</v>
      </c>
      <c r="B114" s="22" t="s">
        <v>54</v>
      </c>
      <c r="C114" s="71" t="n">
        <v>26813</v>
      </c>
      <c r="D114" s="62" t="n">
        <v>3500</v>
      </c>
      <c r="E114" s="84" t="s">
        <v>127</v>
      </c>
      <c r="F114" s="63" t="n">
        <f aca="false">0.1925-0.102-0.0011-0.0175</f>
        <v>0.0719</v>
      </c>
      <c r="G114" s="63" t="n">
        <f aca="false">0.0186-0.0011</f>
        <v>0.0175</v>
      </c>
      <c r="H114" s="85" t="n">
        <f aca="false">+G114+F114</f>
        <v>0.0894</v>
      </c>
      <c r="I114" s="86" t="n">
        <v>36646</v>
      </c>
      <c r="J114" s="87" t="n">
        <v>39506</v>
      </c>
      <c r="K114" s="0" t="n">
        <v>245</v>
      </c>
      <c r="L114" s="0" t="n">
        <v>365</v>
      </c>
      <c r="M114" s="0" t="n">
        <v>365</v>
      </c>
      <c r="N114" s="0" t="n">
        <v>365</v>
      </c>
      <c r="O114" s="0" t="n">
        <v>366</v>
      </c>
      <c r="P114" s="0" t="n">
        <v>365</v>
      </c>
      <c r="Q114" s="0" t="n">
        <v>365</v>
      </c>
      <c r="R114" s="0" t="n">
        <v>365</v>
      </c>
      <c r="S114" s="0" t="n">
        <v>59</v>
      </c>
      <c r="T114" s="0" t="n">
        <v>0</v>
      </c>
      <c r="U114" s="0" t="n">
        <v>0</v>
      </c>
      <c r="W114" s="60" t="n">
        <f aca="false">+K114*$D114</f>
        <v>857500</v>
      </c>
      <c r="X114" s="60" t="n">
        <f aca="false">+L114*$D114</f>
        <v>1277500</v>
      </c>
      <c r="Y114" s="60" t="n">
        <f aca="false">+M114*$D114</f>
        <v>1277500</v>
      </c>
      <c r="Z114" s="60" t="n">
        <f aca="false">+N114*$D114</f>
        <v>1277500</v>
      </c>
      <c r="AA114" s="60" t="n">
        <f aca="false">+O114*$D114</f>
        <v>1281000</v>
      </c>
      <c r="AB114" s="60" t="n">
        <f aca="false">+P114*$D114</f>
        <v>1277500</v>
      </c>
      <c r="AC114" s="60" t="n">
        <f aca="false">+Q114*$D114</f>
        <v>1277500</v>
      </c>
      <c r="AD114" s="60" t="n">
        <f aca="false">+R114*$D114</f>
        <v>1277500</v>
      </c>
      <c r="AE114" s="60" t="n">
        <f aca="false">+S114*$D114</f>
        <v>206500</v>
      </c>
      <c r="AF114" s="60" t="n">
        <f aca="false">+T114*$D114</f>
        <v>0</v>
      </c>
      <c r="AG114" s="60" t="n">
        <f aca="false">+U114*$D114</f>
        <v>0</v>
      </c>
    </row>
    <row r="115" customFormat="false" ht="12.75" hidden="false" customHeight="false" outlineLevel="0" collapsed="false">
      <c r="A115" s="104" t="s">
        <v>97</v>
      </c>
      <c r="B115" s="22" t="s">
        <v>54</v>
      </c>
      <c r="C115" s="71" t="n">
        <v>27583</v>
      </c>
      <c r="D115" s="62" t="n">
        <v>1300</v>
      </c>
      <c r="E115" s="61" t="s">
        <v>129</v>
      </c>
      <c r="F115" s="63" t="n">
        <v>0.2289</v>
      </c>
      <c r="G115" s="63" t="n">
        <v>0.0153</v>
      </c>
      <c r="H115" s="85" t="n">
        <f aca="false">+G115+F115</f>
        <v>0.2442</v>
      </c>
      <c r="I115" s="86" t="n">
        <v>37012</v>
      </c>
      <c r="J115" s="87" t="n">
        <v>37407</v>
      </c>
      <c r="K115" s="0" t="n">
        <v>0</v>
      </c>
      <c r="L115" s="0" t="n">
        <v>245</v>
      </c>
      <c r="M115" s="0" t="n">
        <v>151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W115" s="60" t="n">
        <f aca="false">+K115*$D115</f>
        <v>0</v>
      </c>
      <c r="X115" s="60" t="n">
        <f aca="false">+L115*$D115</f>
        <v>318500</v>
      </c>
      <c r="Y115" s="60" t="n">
        <f aca="false">+M115*$D115</f>
        <v>196300</v>
      </c>
      <c r="Z115" s="60" t="n">
        <f aca="false">+N115*$D115</f>
        <v>0</v>
      </c>
      <c r="AA115" s="60" t="n">
        <f aca="false">+O115*$D115</f>
        <v>0</v>
      </c>
      <c r="AB115" s="60" t="n">
        <f aca="false">+P115*$D115</f>
        <v>0</v>
      </c>
      <c r="AC115" s="60" t="n">
        <f aca="false">+Q115*$D115</f>
        <v>0</v>
      </c>
      <c r="AD115" s="60" t="n">
        <f aca="false">+R115*$D115</f>
        <v>0</v>
      </c>
      <c r="AE115" s="60" t="n">
        <f aca="false">+S115*$D115</f>
        <v>0</v>
      </c>
      <c r="AF115" s="60" t="n">
        <f aca="false">+T115*$D115</f>
        <v>0</v>
      </c>
      <c r="AG115" s="60" t="n">
        <f aca="false">+U115*$D115</f>
        <v>0</v>
      </c>
    </row>
    <row r="116" customFormat="false" ht="12.75" hidden="false" customHeight="false" outlineLevel="0" collapsed="false">
      <c r="A116" s="83" t="s">
        <v>97</v>
      </c>
      <c r="B116" s="22" t="s">
        <v>55</v>
      </c>
      <c r="C116" s="71" t="n">
        <v>27340</v>
      </c>
      <c r="D116" s="62" t="n">
        <v>20000</v>
      </c>
      <c r="E116" s="61" t="s">
        <v>128</v>
      </c>
      <c r="F116" s="63" t="n">
        <f aca="false">0.3769-0.102-0.0071-0.0223</f>
        <v>0.2455</v>
      </c>
      <c r="G116" s="63" t="n">
        <f aca="false">0.0316-0.0093</f>
        <v>0.0223</v>
      </c>
      <c r="H116" s="85" t="n">
        <f aca="false">+G116+F116</f>
        <v>0.2678</v>
      </c>
      <c r="I116" s="86" t="n">
        <v>36923</v>
      </c>
      <c r="J116" s="87" t="n">
        <v>37287</v>
      </c>
      <c r="K116" s="0" t="n">
        <v>0</v>
      </c>
      <c r="L116" s="0" t="n">
        <v>334</v>
      </c>
      <c r="M116" s="0" t="n">
        <v>31</v>
      </c>
      <c r="N116" s="0" t="n">
        <v>0</v>
      </c>
      <c r="O116" s="0" t="n">
        <v>0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W116" s="60" t="n">
        <f aca="false">+K116*$D116</f>
        <v>0</v>
      </c>
      <c r="X116" s="60" t="n">
        <f aca="false">+L116*$D116</f>
        <v>6680000</v>
      </c>
      <c r="Y116" s="60" t="n">
        <f aca="false">+M116*$D116</f>
        <v>620000</v>
      </c>
      <c r="Z116" s="60" t="n">
        <f aca="false">+N116*$D116</f>
        <v>0</v>
      </c>
      <c r="AA116" s="60" t="n">
        <f aca="false">+O116*$D116</f>
        <v>0</v>
      </c>
      <c r="AB116" s="60" t="n">
        <f aca="false">+P116*$D116</f>
        <v>0</v>
      </c>
      <c r="AC116" s="60" t="n">
        <f aca="false">+Q116*$D116</f>
        <v>0</v>
      </c>
      <c r="AD116" s="60" t="n">
        <f aca="false">+R116*$D116</f>
        <v>0</v>
      </c>
      <c r="AE116" s="60" t="n">
        <f aca="false">+S116*$D116</f>
        <v>0</v>
      </c>
      <c r="AF116" s="60" t="n">
        <f aca="false">+T116*$D116</f>
        <v>0</v>
      </c>
      <c r="AG116" s="60" t="n">
        <f aca="false">+U116*$D116</f>
        <v>0</v>
      </c>
    </row>
    <row r="117" customFormat="false" ht="12.75" hidden="false" customHeight="false" outlineLevel="0" collapsed="false">
      <c r="A117" s="104" t="s">
        <v>97</v>
      </c>
      <c r="B117" s="22" t="s">
        <v>102</v>
      </c>
      <c r="C117" s="71" t="n">
        <v>21165</v>
      </c>
      <c r="D117" s="62" t="n">
        <v>150000</v>
      </c>
      <c r="E117" s="61" t="s">
        <v>133</v>
      </c>
      <c r="F117" s="63" t="n">
        <v>0.3138</v>
      </c>
      <c r="G117" s="63" t="n">
        <v>0.0254</v>
      </c>
      <c r="H117" s="85" t="n">
        <f aca="false">+G117+F117</f>
        <v>0.3392</v>
      </c>
      <c r="I117" s="86" t="n">
        <v>33679</v>
      </c>
      <c r="J117" s="87" t="n">
        <v>39172</v>
      </c>
      <c r="K117" s="0" t="n">
        <v>366</v>
      </c>
      <c r="L117" s="0" t="n">
        <v>365</v>
      </c>
      <c r="M117" s="0" t="n">
        <v>365</v>
      </c>
      <c r="N117" s="0" t="n">
        <v>365</v>
      </c>
      <c r="O117" s="0" t="n">
        <v>366</v>
      </c>
      <c r="P117" s="0" t="n">
        <v>365</v>
      </c>
      <c r="Q117" s="0" t="n">
        <v>365</v>
      </c>
      <c r="R117" s="0" t="n">
        <v>90</v>
      </c>
      <c r="S117" s="0" t="n">
        <v>0</v>
      </c>
      <c r="T117" s="0" t="n">
        <v>0</v>
      </c>
      <c r="U117" s="0" t="n">
        <v>0</v>
      </c>
      <c r="W117" s="60" t="n">
        <f aca="false">+K117*$D117</f>
        <v>54900000</v>
      </c>
      <c r="X117" s="60" t="n">
        <f aca="false">+L117*$D117</f>
        <v>54750000</v>
      </c>
      <c r="Y117" s="60" t="n">
        <f aca="false">+M117*$D117</f>
        <v>54750000</v>
      </c>
      <c r="Z117" s="60" t="n">
        <f aca="false">+N117*$D117</f>
        <v>54750000</v>
      </c>
      <c r="AA117" s="60" t="n">
        <f aca="false">+O117*$D117</f>
        <v>54900000</v>
      </c>
      <c r="AB117" s="60" t="n">
        <f aca="false">+P117*$D117</f>
        <v>54750000</v>
      </c>
      <c r="AC117" s="60" t="n">
        <f aca="false">+Q117*$D117</f>
        <v>54750000</v>
      </c>
      <c r="AD117" s="60" t="n">
        <f aca="false">+R117*$D117</f>
        <v>13500000</v>
      </c>
      <c r="AE117" s="60" t="n">
        <f aca="false">+S117*$D117</f>
        <v>0</v>
      </c>
      <c r="AF117" s="60" t="n">
        <f aca="false">+T117*$D117</f>
        <v>0</v>
      </c>
      <c r="AG117" s="60" t="n">
        <f aca="false">+U117*$D117</f>
        <v>0</v>
      </c>
    </row>
    <row r="118" customFormat="false" ht="12.75" hidden="false" customHeight="false" outlineLevel="0" collapsed="false">
      <c r="A118" s="103" t="s">
        <v>97</v>
      </c>
      <c r="B118" s="22" t="s">
        <v>103</v>
      </c>
      <c r="C118" s="71" t="n">
        <v>21162</v>
      </c>
      <c r="D118" s="62" t="n">
        <v>0</v>
      </c>
      <c r="H118" s="85" t="n">
        <f aca="false">+G118+F118</f>
        <v>0</v>
      </c>
      <c r="I118" s="86"/>
      <c r="J118" s="87" t="n">
        <v>39156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W118" s="60" t="n">
        <f aca="false">+K118*$D118</f>
        <v>0</v>
      </c>
      <c r="X118" s="60" t="n">
        <f aca="false">+L118*$D118</f>
        <v>0</v>
      </c>
      <c r="Y118" s="60" t="n">
        <f aca="false">+M118*$D118</f>
        <v>0</v>
      </c>
      <c r="Z118" s="60" t="n">
        <f aca="false">+N118*$D118</f>
        <v>0</v>
      </c>
      <c r="AA118" s="60" t="n">
        <f aca="false">+O118*$D118</f>
        <v>0</v>
      </c>
      <c r="AB118" s="60" t="n">
        <f aca="false">+P118*$D118</f>
        <v>0</v>
      </c>
      <c r="AC118" s="60" t="n">
        <f aca="false">+Q118*$D118</f>
        <v>0</v>
      </c>
      <c r="AD118" s="60" t="n">
        <f aca="false">+R118*$D118</f>
        <v>0</v>
      </c>
      <c r="AE118" s="60" t="n">
        <f aca="false">+S118*$D118</f>
        <v>0</v>
      </c>
      <c r="AF118" s="60" t="n">
        <f aca="false">+T118*$D118</f>
        <v>0</v>
      </c>
      <c r="AG118" s="60" t="n">
        <f aca="false">+U118*$D118</f>
        <v>0</v>
      </c>
    </row>
    <row r="119" customFormat="false" ht="12.75" hidden="false" customHeight="false" outlineLevel="0" collapsed="false">
      <c r="A119" s="83" t="s">
        <v>97</v>
      </c>
      <c r="B119" s="22" t="s">
        <v>56</v>
      </c>
      <c r="C119" s="71" t="n">
        <v>25841</v>
      </c>
      <c r="D119" s="62" t="n">
        <v>40000</v>
      </c>
      <c r="E119" s="61" t="s">
        <v>127</v>
      </c>
      <c r="F119" s="63" t="n">
        <f aca="false">0.1075-0.0407-0.0093-0.0153</f>
        <v>0.0422</v>
      </c>
      <c r="G119" s="63" t="n">
        <f aca="false">0.0246-0.0093</f>
        <v>0.0153</v>
      </c>
      <c r="H119" s="85" t="n">
        <f aca="false">+G119+F119</f>
        <v>0.0575</v>
      </c>
      <c r="I119" s="86" t="n">
        <v>35827</v>
      </c>
      <c r="J119" s="87" t="n">
        <v>37560</v>
      </c>
      <c r="K119" s="0" t="n">
        <v>366</v>
      </c>
      <c r="L119" s="0" t="n">
        <v>365</v>
      </c>
      <c r="M119" s="0" t="n">
        <v>304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W119" s="60" t="n">
        <f aca="false">+K119*$D119</f>
        <v>14640000</v>
      </c>
      <c r="X119" s="60" t="n">
        <f aca="false">+L119*$D119</f>
        <v>14600000</v>
      </c>
      <c r="Y119" s="60" t="n">
        <f aca="false">+M119*$D119</f>
        <v>12160000</v>
      </c>
      <c r="Z119" s="60" t="n">
        <f aca="false">+N119*$D119</f>
        <v>0</v>
      </c>
      <c r="AA119" s="60" t="n">
        <f aca="false">+O119*$D119</f>
        <v>0</v>
      </c>
      <c r="AB119" s="60" t="n">
        <f aca="false">+P119*$D119</f>
        <v>0</v>
      </c>
      <c r="AC119" s="60" t="n">
        <f aca="false">+Q119*$D119</f>
        <v>0</v>
      </c>
      <c r="AD119" s="60" t="n">
        <f aca="false">+R119*$D119</f>
        <v>0</v>
      </c>
      <c r="AE119" s="60" t="n">
        <f aca="false">+S119*$D119</f>
        <v>0</v>
      </c>
      <c r="AF119" s="60" t="n">
        <f aca="false">+T119*$D119</f>
        <v>0</v>
      </c>
      <c r="AG119" s="60" t="n">
        <f aca="false">+U119*$D119</f>
        <v>0</v>
      </c>
    </row>
    <row r="120" customFormat="false" ht="12.75" hidden="false" customHeight="false" outlineLevel="0" collapsed="false">
      <c r="A120" s="83" t="s">
        <v>97</v>
      </c>
      <c r="B120" s="22" t="s">
        <v>56</v>
      </c>
      <c r="C120" s="71" t="n">
        <v>26511</v>
      </c>
      <c r="D120" s="62" t="n">
        <v>21000</v>
      </c>
      <c r="E120" s="61" t="s">
        <v>127</v>
      </c>
      <c r="F120" s="63" t="n">
        <f aca="false">0.1075-0.0407-0.0093-0.0153</f>
        <v>0.0422</v>
      </c>
      <c r="G120" s="63" t="n">
        <f aca="false">0.0246-0.0093</f>
        <v>0.0153</v>
      </c>
      <c r="H120" s="85" t="n">
        <f aca="false">+G120+F120</f>
        <v>0.0575</v>
      </c>
      <c r="I120" s="86" t="n">
        <v>36100</v>
      </c>
      <c r="J120" s="87" t="n">
        <v>37560</v>
      </c>
      <c r="K120" s="0" t="n">
        <v>366</v>
      </c>
      <c r="L120" s="0" t="n">
        <v>365</v>
      </c>
      <c r="M120" s="0" t="n">
        <v>304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W120" s="60" t="n">
        <f aca="false">+K120*$D120</f>
        <v>7686000</v>
      </c>
      <c r="X120" s="60" t="n">
        <f aca="false">+L120*$D120</f>
        <v>7665000</v>
      </c>
      <c r="Y120" s="60" t="n">
        <f aca="false">+M120*$D120</f>
        <v>6384000</v>
      </c>
      <c r="Z120" s="60" t="n">
        <f aca="false">+N120*$D120</f>
        <v>0</v>
      </c>
      <c r="AA120" s="60" t="n">
        <f aca="false">+O120*$D120</f>
        <v>0</v>
      </c>
      <c r="AB120" s="60" t="n">
        <f aca="false">+P120*$D120</f>
        <v>0</v>
      </c>
      <c r="AC120" s="60" t="n">
        <f aca="false">+Q120*$D120</f>
        <v>0</v>
      </c>
      <c r="AD120" s="60" t="n">
        <f aca="false">+R120*$D120</f>
        <v>0</v>
      </c>
      <c r="AE120" s="60" t="n">
        <f aca="false">+S120*$D120</f>
        <v>0</v>
      </c>
      <c r="AF120" s="60" t="n">
        <f aca="false">+T120*$D120</f>
        <v>0</v>
      </c>
      <c r="AG120" s="60" t="n">
        <f aca="false">+U120*$D120</f>
        <v>0</v>
      </c>
    </row>
    <row r="121" customFormat="false" ht="12.75" hidden="false" customHeight="false" outlineLevel="0" collapsed="false">
      <c r="A121" s="83" t="s">
        <v>97</v>
      </c>
      <c r="B121" s="22" t="s">
        <v>57</v>
      </c>
      <c r="C121" s="71" t="n">
        <v>26819</v>
      </c>
      <c r="D121" s="62" t="n">
        <v>10000</v>
      </c>
      <c r="E121" s="95" t="s">
        <v>127</v>
      </c>
      <c r="F121" s="63" t="n">
        <f aca="false">0.12-0.0407-0.0093-0.0153</f>
        <v>0.0547</v>
      </c>
      <c r="G121" s="63" t="n">
        <v>0.0153</v>
      </c>
      <c r="H121" s="85" t="n">
        <f aca="false">+G121+F121</f>
        <v>0.07</v>
      </c>
      <c r="I121" s="86" t="n">
        <v>36647</v>
      </c>
      <c r="J121" s="87" t="n">
        <v>38472</v>
      </c>
      <c r="K121" s="0" t="n">
        <v>245</v>
      </c>
      <c r="L121" s="0" t="n">
        <v>365</v>
      </c>
      <c r="M121" s="0" t="n">
        <v>365</v>
      </c>
      <c r="N121" s="0" t="n">
        <v>365</v>
      </c>
      <c r="O121" s="0" t="n">
        <v>366</v>
      </c>
      <c r="P121" s="0" t="n">
        <v>120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W121" s="60" t="n">
        <f aca="false">+K121*$D121</f>
        <v>2450000</v>
      </c>
      <c r="X121" s="60" t="n">
        <f aca="false">+L121*$D121</f>
        <v>3650000</v>
      </c>
      <c r="Y121" s="60" t="n">
        <f aca="false">+M121*$D121</f>
        <v>3650000</v>
      </c>
      <c r="Z121" s="60" t="n">
        <f aca="false">+N121*$D121</f>
        <v>3650000</v>
      </c>
      <c r="AA121" s="60" t="n">
        <f aca="false">+O121*$D121</f>
        <v>3660000</v>
      </c>
      <c r="AB121" s="60" t="n">
        <f aca="false">+P121*$D121</f>
        <v>1200000</v>
      </c>
      <c r="AC121" s="60" t="n">
        <f aca="false">+Q121*$D121</f>
        <v>0</v>
      </c>
      <c r="AD121" s="60" t="n">
        <f aca="false">+R121*$D121</f>
        <v>0</v>
      </c>
      <c r="AE121" s="60" t="n">
        <f aca="false">+S121*$D121</f>
        <v>0</v>
      </c>
      <c r="AF121" s="60" t="n">
        <f aca="false">+T121*$D121</f>
        <v>0</v>
      </c>
      <c r="AG121" s="60" t="n">
        <f aca="false">+U121*$D121</f>
        <v>0</v>
      </c>
    </row>
    <row r="122" customFormat="false" ht="12.75" hidden="false" customHeight="false" outlineLevel="0" collapsed="false">
      <c r="A122" s="103" t="s">
        <v>97</v>
      </c>
      <c r="B122" s="22" t="s">
        <v>91</v>
      </c>
      <c r="C122" s="71" t="n">
        <v>27454</v>
      </c>
      <c r="D122" s="62" t="n">
        <v>27500</v>
      </c>
      <c r="E122" s="61" t="s">
        <v>132</v>
      </c>
      <c r="F122" s="63" t="n">
        <f aca="false">1.32-0.102-0.0011-0.0153</f>
        <v>1.2016</v>
      </c>
      <c r="G122" s="63" t="n">
        <v>0.0153</v>
      </c>
      <c r="H122" s="85" t="n">
        <f aca="false">+G122+F122</f>
        <v>1.2169</v>
      </c>
      <c r="I122" s="86" t="n">
        <v>37256</v>
      </c>
      <c r="J122" s="87" t="n">
        <v>37621</v>
      </c>
      <c r="K122" s="0" t="n">
        <v>0</v>
      </c>
      <c r="L122" s="0" t="n">
        <v>0</v>
      </c>
      <c r="M122" s="0" t="n">
        <v>365</v>
      </c>
      <c r="N122" s="0" t="n">
        <v>0</v>
      </c>
      <c r="O122" s="0" t="n">
        <v>0</v>
      </c>
      <c r="P122" s="0" t="n">
        <v>0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W122" s="60" t="n">
        <f aca="false">+K122*$D122</f>
        <v>0</v>
      </c>
      <c r="X122" s="60" t="n">
        <f aca="false">+L122*$D122</f>
        <v>0</v>
      </c>
      <c r="Y122" s="60" t="n">
        <f aca="false">+M122*$D122</f>
        <v>10037500</v>
      </c>
      <c r="Z122" s="60" t="n">
        <f aca="false">+N122*$D122</f>
        <v>0</v>
      </c>
      <c r="AA122" s="60" t="n">
        <f aca="false">+O122*$D122</f>
        <v>0</v>
      </c>
      <c r="AB122" s="60" t="n">
        <f aca="false">+P122*$D122</f>
        <v>0</v>
      </c>
      <c r="AC122" s="60" t="n">
        <f aca="false">+Q122*$D122</f>
        <v>0</v>
      </c>
      <c r="AD122" s="60" t="n">
        <f aca="false">+R122*$D122</f>
        <v>0</v>
      </c>
      <c r="AE122" s="60" t="n">
        <f aca="false">+S122*$D122</f>
        <v>0</v>
      </c>
      <c r="AF122" s="60" t="n">
        <f aca="false">+T122*$D122</f>
        <v>0</v>
      </c>
      <c r="AG122" s="60" t="n">
        <f aca="false">+U122*$D122</f>
        <v>0</v>
      </c>
    </row>
    <row r="123" customFormat="false" ht="12.75" hidden="false" customHeight="false" outlineLevel="0" collapsed="false">
      <c r="A123" s="104" t="s">
        <v>97</v>
      </c>
      <c r="B123" s="22" t="s">
        <v>92</v>
      </c>
      <c r="C123" s="71" t="n">
        <v>20746</v>
      </c>
      <c r="D123" s="62" t="n">
        <v>20000</v>
      </c>
      <c r="E123" s="61" t="s">
        <v>133</v>
      </c>
      <c r="F123" s="63" t="n">
        <v>0.3109</v>
      </c>
      <c r="G123" s="63" t="n">
        <v>0.0184</v>
      </c>
      <c r="H123" s="85" t="n">
        <f aca="false">+G123+F123</f>
        <v>0.3293</v>
      </c>
      <c r="I123" s="86" t="n">
        <v>35855</v>
      </c>
      <c r="J123" s="87" t="n">
        <v>39141</v>
      </c>
      <c r="K123" s="0" t="n">
        <v>366</v>
      </c>
      <c r="L123" s="0" t="n">
        <v>365</v>
      </c>
      <c r="M123" s="0" t="n">
        <v>365</v>
      </c>
      <c r="N123" s="0" t="n">
        <v>365</v>
      </c>
      <c r="O123" s="0" t="n">
        <v>366</v>
      </c>
      <c r="P123" s="0" t="n">
        <v>365</v>
      </c>
      <c r="Q123" s="0" t="n">
        <v>365</v>
      </c>
      <c r="R123" s="0" t="n">
        <v>59</v>
      </c>
      <c r="S123" s="0" t="n">
        <v>0</v>
      </c>
      <c r="T123" s="0" t="n">
        <v>0</v>
      </c>
      <c r="U123" s="0" t="n">
        <v>0</v>
      </c>
      <c r="W123" s="60" t="n">
        <f aca="false">+K123*$D123</f>
        <v>7320000</v>
      </c>
      <c r="X123" s="60" t="n">
        <f aca="false">+L123*$D123</f>
        <v>7300000</v>
      </c>
      <c r="Y123" s="60" t="n">
        <f aca="false">+M123*$D123</f>
        <v>7300000</v>
      </c>
      <c r="Z123" s="60" t="n">
        <f aca="false">+N123*$D123</f>
        <v>7300000</v>
      </c>
      <c r="AA123" s="60" t="n">
        <f aca="false">+O123*$D123</f>
        <v>7320000</v>
      </c>
      <c r="AB123" s="60" t="n">
        <f aca="false">+P123*$D123</f>
        <v>7300000</v>
      </c>
      <c r="AC123" s="60" t="n">
        <f aca="false">+Q123*$D123</f>
        <v>7300000</v>
      </c>
      <c r="AD123" s="60" t="n">
        <f aca="false">+R123*$D123</f>
        <v>1180000</v>
      </c>
      <c r="AE123" s="60" t="n">
        <f aca="false">+S123*$D123</f>
        <v>0</v>
      </c>
      <c r="AF123" s="60" t="n">
        <f aca="false">+T123*$D123</f>
        <v>0</v>
      </c>
      <c r="AG123" s="60" t="n">
        <f aca="false">+U123*$D123</f>
        <v>0</v>
      </c>
    </row>
    <row r="124" customFormat="false" ht="12.75" hidden="false" customHeight="false" outlineLevel="0" collapsed="false">
      <c r="A124" s="103" t="s">
        <v>97</v>
      </c>
      <c r="B124" s="22" t="s">
        <v>58</v>
      </c>
      <c r="C124" s="71" t="n">
        <v>26816</v>
      </c>
      <c r="D124" s="62" t="n">
        <v>21500</v>
      </c>
      <c r="E124" s="84" t="s">
        <v>127</v>
      </c>
      <c r="F124" s="63" t="n">
        <f aca="false">0.17-0.102-0.0011-0.0153</f>
        <v>0.0516</v>
      </c>
      <c r="G124" s="63" t="n">
        <v>0.0153</v>
      </c>
      <c r="H124" s="85" t="n">
        <f aca="false">+G124+F124</f>
        <v>0.0669</v>
      </c>
      <c r="I124" s="86" t="n">
        <v>36646</v>
      </c>
      <c r="J124" s="87" t="n">
        <v>38472</v>
      </c>
      <c r="K124" s="0" t="n">
        <v>245</v>
      </c>
      <c r="L124" s="0" t="n">
        <v>365</v>
      </c>
      <c r="M124" s="0" t="n">
        <v>365</v>
      </c>
      <c r="N124" s="0" t="n">
        <v>365</v>
      </c>
      <c r="O124" s="0" t="n">
        <v>366</v>
      </c>
      <c r="P124" s="0" t="n">
        <v>120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W124" s="60" t="n">
        <f aca="false">+K124*$D124</f>
        <v>5267500</v>
      </c>
      <c r="X124" s="60" t="n">
        <f aca="false">+L124*$D124</f>
        <v>7847500</v>
      </c>
      <c r="Y124" s="60" t="n">
        <f aca="false">+M124*$D124</f>
        <v>7847500</v>
      </c>
      <c r="Z124" s="60" t="n">
        <f aca="false">+N124*$D124</f>
        <v>7847500</v>
      </c>
      <c r="AA124" s="60" t="n">
        <f aca="false">+O124*$D124</f>
        <v>7869000</v>
      </c>
      <c r="AB124" s="60" t="n">
        <f aca="false">+P124*$D124</f>
        <v>2580000</v>
      </c>
      <c r="AC124" s="60" t="n">
        <f aca="false">+Q124*$D124</f>
        <v>0</v>
      </c>
      <c r="AD124" s="60" t="n">
        <f aca="false">+R124*$D124</f>
        <v>0</v>
      </c>
      <c r="AE124" s="60" t="n">
        <f aca="false">+S124*$D124</f>
        <v>0</v>
      </c>
      <c r="AF124" s="60" t="n">
        <f aca="false">+T124*$D124</f>
        <v>0</v>
      </c>
      <c r="AG124" s="60" t="n">
        <f aca="false">+U124*$D124</f>
        <v>0</v>
      </c>
    </row>
    <row r="125" customFormat="false" ht="12.75" hidden="false" customHeight="false" outlineLevel="0" collapsed="false">
      <c r="A125" s="83" t="s">
        <v>97</v>
      </c>
      <c r="B125" s="22" t="s">
        <v>58</v>
      </c>
      <c r="C125" s="71" t="n">
        <v>27293</v>
      </c>
      <c r="D125" s="62" t="n">
        <v>49000</v>
      </c>
      <c r="E125" s="84" t="s">
        <v>127</v>
      </c>
      <c r="F125" s="63" t="n">
        <f aca="false">0.285-0.102-0.0071-0.0153</f>
        <v>0.1606</v>
      </c>
      <c r="G125" s="63" t="n">
        <f aca="false">0.0224-0.0071</f>
        <v>0.0153</v>
      </c>
      <c r="H125" s="85" t="n">
        <f aca="false">+G125+F125</f>
        <v>0.1759</v>
      </c>
      <c r="I125" s="86" t="n">
        <v>36831</v>
      </c>
      <c r="J125" s="87" t="n">
        <v>37195</v>
      </c>
      <c r="K125" s="0" t="n">
        <v>61</v>
      </c>
      <c r="L125" s="0" t="n">
        <v>304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W125" s="60" t="n">
        <f aca="false">+K125*$D125</f>
        <v>2989000</v>
      </c>
      <c r="X125" s="60" t="n">
        <f aca="false">+L125*$D125</f>
        <v>14896000</v>
      </c>
      <c r="Y125" s="60" t="n">
        <f aca="false">+M125*$D125</f>
        <v>0</v>
      </c>
      <c r="Z125" s="60" t="n">
        <f aca="false">+N125*$D125</f>
        <v>0</v>
      </c>
      <c r="AA125" s="60" t="n">
        <f aca="false">+O125*$D125</f>
        <v>0</v>
      </c>
      <c r="AB125" s="60" t="n">
        <f aca="false">+P125*$D125</f>
        <v>0</v>
      </c>
      <c r="AC125" s="60" t="n">
        <f aca="false">+Q125*$D125</f>
        <v>0</v>
      </c>
      <c r="AD125" s="60" t="n">
        <f aca="false">+R125*$D125</f>
        <v>0</v>
      </c>
      <c r="AE125" s="60" t="n">
        <f aca="false">+S125*$D125</f>
        <v>0</v>
      </c>
      <c r="AF125" s="60" t="n">
        <f aca="false">+T125*$D125</f>
        <v>0</v>
      </c>
      <c r="AG125" s="60" t="n">
        <f aca="false">+U125*$D125</f>
        <v>0</v>
      </c>
    </row>
    <row r="126" customFormat="false" ht="12.75" hidden="false" customHeight="false" outlineLevel="0" collapsed="false">
      <c r="A126" s="83" t="s">
        <v>97</v>
      </c>
      <c r="B126" s="22" t="s">
        <v>58</v>
      </c>
      <c r="C126" s="71" t="n">
        <v>27352</v>
      </c>
      <c r="D126" s="62" t="n">
        <v>21500</v>
      </c>
      <c r="E126" s="61" t="s">
        <v>132</v>
      </c>
      <c r="F126" s="63" t="n">
        <f aca="false">0.3-0.0407-0.0093-0.0153</f>
        <v>0.2347</v>
      </c>
      <c r="G126" s="63" t="n">
        <v>0.0153</v>
      </c>
      <c r="H126" s="85" t="n">
        <f aca="false">+G126+F126</f>
        <v>0.25</v>
      </c>
      <c r="I126" s="86" t="n">
        <v>37196</v>
      </c>
      <c r="J126" s="87" t="n">
        <v>37560</v>
      </c>
      <c r="K126" s="0" t="n">
        <v>0</v>
      </c>
      <c r="L126" s="0" t="n">
        <v>61</v>
      </c>
      <c r="M126" s="0" t="n">
        <v>304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W126" s="60" t="n">
        <f aca="false">+K126*$D126</f>
        <v>0</v>
      </c>
      <c r="X126" s="60" t="n">
        <f aca="false">+L126*$D126</f>
        <v>1311500</v>
      </c>
      <c r="Y126" s="60" t="n">
        <f aca="false">+M126*$D126</f>
        <v>6536000</v>
      </c>
      <c r="Z126" s="60" t="n">
        <f aca="false">+N126*$D126</f>
        <v>0</v>
      </c>
      <c r="AA126" s="60" t="n">
        <f aca="false">+O126*$D126</f>
        <v>0</v>
      </c>
      <c r="AB126" s="60" t="n">
        <f aca="false">+P126*$D126</f>
        <v>0</v>
      </c>
      <c r="AC126" s="60" t="n">
        <f aca="false">+Q126*$D126</f>
        <v>0</v>
      </c>
      <c r="AD126" s="60" t="n">
        <f aca="false">+R126*$D126</f>
        <v>0</v>
      </c>
      <c r="AE126" s="60" t="n">
        <f aca="false">+S126*$D126</f>
        <v>0</v>
      </c>
      <c r="AF126" s="60" t="n">
        <f aca="false">+T126*$D126</f>
        <v>0</v>
      </c>
      <c r="AG126" s="60" t="n">
        <f aca="false">+U126*$D126</f>
        <v>0</v>
      </c>
    </row>
    <row r="127" customFormat="false" ht="12.75" hidden="false" customHeight="false" outlineLevel="0" collapsed="false">
      <c r="A127" s="103" t="s">
        <v>97</v>
      </c>
      <c r="B127" s="22" t="s">
        <v>58</v>
      </c>
      <c r="C127" s="71" t="n">
        <v>27504</v>
      </c>
      <c r="D127" s="62" t="n">
        <v>35000</v>
      </c>
      <c r="E127" s="61" t="s">
        <v>132</v>
      </c>
      <c r="F127" s="105" t="n">
        <f aca="false">0.3823-0.102-0.0011-0.0153</f>
        <v>0.2639</v>
      </c>
      <c r="G127" s="63" t="n">
        <v>0.0153</v>
      </c>
      <c r="H127" s="85" t="n">
        <f aca="false">+G127+F127</f>
        <v>0.2792</v>
      </c>
      <c r="I127" s="86" t="n">
        <v>37986</v>
      </c>
      <c r="J127" s="87" t="n">
        <v>38717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366</v>
      </c>
      <c r="P127" s="0" t="n">
        <v>365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W127" s="60" t="n">
        <f aca="false">+K127*$D127</f>
        <v>0</v>
      </c>
      <c r="X127" s="60" t="n">
        <f aca="false">+L127*$D127</f>
        <v>0</v>
      </c>
      <c r="Y127" s="60" t="n">
        <f aca="false">+M127*$D127</f>
        <v>0</v>
      </c>
      <c r="Z127" s="60" t="n">
        <f aca="false">+N127*$D127</f>
        <v>0</v>
      </c>
      <c r="AA127" s="60" t="n">
        <f aca="false">+O127*$D127</f>
        <v>12810000</v>
      </c>
      <c r="AB127" s="60" t="n">
        <f aca="false">+P127*$D127</f>
        <v>12775000</v>
      </c>
      <c r="AC127" s="60" t="n">
        <f aca="false">+Q127*$D127</f>
        <v>0</v>
      </c>
      <c r="AD127" s="60" t="n">
        <f aca="false">+R127*$D127</f>
        <v>0</v>
      </c>
      <c r="AE127" s="60" t="n">
        <f aca="false">+S127*$D127</f>
        <v>0</v>
      </c>
      <c r="AF127" s="60" t="n">
        <f aca="false">+T127*$D127</f>
        <v>0</v>
      </c>
      <c r="AG127" s="60" t="n">
        <f aca="false">+U127*$D127</f>
        <v>0</v>
      </c>
    </row>
    <row r="128" customFormat="false" ht="12.75" hidden="false" customHeight="false" outlineLevel="0" collapsed="false">
      <c r="A128" s="103" t="s">
        <v>97</v>
      </c>
      <c r="B128" s="22" t="s">
        <v>93</v>
      </c>
      <c r="C128" s="71" t="n">
        <v>24670</v>
      </c>
      <c r="D128" s="62" t="n">
        <v>10000</v>
      </c>
      <c r="E128" s="61" t="s">
        <v>138</v>
      </c>
      <c r="F128" s="63" t="n">
        <f aca="false">0.17-0.102-0.0153-0.0011</f>
        <v>0.0516</v>
      </c>
      <c r="G128" s="63" t="n">
        <v>0.0153</v>
      </c>
      <c r="H128" s="85" t="n">
        <f aca="false">+G128+F128</f>
        <v>0.0669</v>
      </c>
      <c r="I128" s="86" t="n">
        <v>35490</v>
      </c>
      <c r="J128" s="87" t="n">
        <v>39172</v>
      </c>
      <c r="K128" s="0" t="n">
        <v>366</v>
      </c>
      <c r="L128" s="0" t="n">
        <v>365</v>
      </c>
      <c r="M128" s="0" t="n">
        <v>365</v>
      </c>
      <c r="N128" s="0" t="n">
        <v>365</v>
      </c>
      <c r="O128" s="0" t="n">
        <v>366</v>
      </c>
      <c r="P128" s="0" t="n">
        <v>365</v>
      </c>
      <c r="Q128" s="0" t="n">
        <v>365</v>
      </c>
      <c r="R128" s="0" t="n">
        <v>90</v>
      </c>
      <c r="S128" s="0" t="n">
        <v>0</v>
      </c>
      <c r="T128" s="0" t="n">
        <v>0</v>
      </c>
      <c r="U128" s="0" t="n">
        <v>0</v>
      </c>
      <c r="W128" s="60" t="n">
        <f aca="false">+K128*$D128</f>
        <v>3660000</v>
      </c>
      <c r="X128" s="60" t="n">
        <f aca="false">+L128*$D128</f>
        <v>3650000</v>
      </c>
      <c r="Y128" s="60" t="n">
        <f aca="false">+M128*$D128</f>
        <v>3650000</v>
      </c>
      <c r="Z128" s="60" t="n">
        <f aca="false">+N128*$D128</f>
        <v>3650000</v>
      </c>
      <c r="AA128" s="60" t="n">
        <f aca="false">+O128*$D128</f>
        <v>3660000</v>
      </c>
      <c r="AB128" s="60" t="n">
        <f aca="false">+P128*$D128</f>
        <v>3650000</v>
      </c>
      <c r="AC128" s="60" t="n">
        <f aca="false">+Q128*$D128</f>
        <v>3650000</v>
      </c>
      <c r="AD128" s="60" t="n">
        <f aca="false">+R128*$D128</f>
        <v>900000</v>
      </c>
      <c r="AE128" s="60" t="n">
        <f aca="false">+S128*$D128</f>
        <v>0</v>
      </c>
      <c r="AF128" s="60" t="n">
        <f aca="false">+T128*$D128</f>
        <v>0</v>
      </c>
      <c r="AG128" s="60" t="n">
        <f aca="false">+U128*$D128</f>
        <v>0</v>
      </c>
    </row>
    <row r="129" customFormat="false" ht="12.75" hidden="false" customHeight="false" outlineLevel="0" collapsed="false">
      <c r="A129" s="83" t="s">
        <v>97</v>
      </c>
      <c r="B129" s="22" t="s">
        <v>59</v>
      </c>
      <c r="C129" s="71" t="n">
        <v>8255</v>
      </c>
      <c r="D129" s="62" t="n">
        <v>306000</v>
      </c>
      <c r="E129" s="61" t="s">
        <v>133</v>
      </c>
      <c r="F129" s="63" t="n">
        <f aca="false">0.4336-0.102-0.0071-0.0153</f>
        <v>0.3092</v>
      </c>
      <c r="G129" s="63" t="n">
        <f aca="false">0.0224-0.0071</f>
        <v>0.0153</v>
      </c>
      <c r="H129" s="85" t="n">
        <f aca="false">+G129+F129</f>
        <v>0.3245</v>
      </c>
      <c r="I129" s="86" t="n">
        <v>32782</v>
      </c>
      <c r="J129" s="87" t="n">
        <v>38656</v>
      </c>
      <c r="K129" s="0" t="n">
        <v>366</v>
      </c>
      <c r="L129" s="0" t="n">
        <v>365</v>
      </c>
      <c r="M129" s="0" t="n">
        <v>365</v>
      </c>
      <c r="N129" s="0" t="n">
        <v>365</v>
      </c>
      <c r="O129" s="0" t="n">
        <v>366</v>
      </c>
      <c r="P129" s="0" t="n">
        <v>304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W129" s="60" t="n">
        <f aca="false">+K129*$D129</f>
        <v>111996000</v>
      </c>
      <c r="X129" s="60" t="n">
        <f aca="false">+L129*$D129</f>
        <v>111690000</v>
      </c>
      <c r="Y129" s="60" t="n">
        <f aca="false">+M129*$D129</f>
        <v>111690000</v>
      </c>
      <c r="Z129" s="60" t="n">
        <f aca="false">+N129*$D129</f>
        <v>111690000</v>
      </c>
      <c r="AA129" s="60" t="n">
        <f aca="false">+O129*$D129</f>
        <v>111996000</v>
      </c>
      <c r="AB129" s="60" t="n">
        <f aca="false">+P129*$D129</f>
        <v>93024000</v>
      </c>
      <c r="AC129" s="60" t="n">
        <f aca="false">+Q129*$D129</f>
        <v>0</v>
      </c>
      <c r="AD129" s="60" t="n">
        <f aca="false">+R129*$D129</f>
        <v>0</v>
      </c>
      <c r="AE129" s="60" t="n">
        <f aca="false">+S129*$D129</f>
        <v>0</v>
      </c>
      <c r="AF129" s="60" t="n">
        <f aca="false">+T129*$D129</f>
        <v>0</v>
      </c>
      <c r="AG129" s="60" t="n">
        <f aca="false">+U129*$D129</f>
        <v>0</v>
      </c>
    </row>
    <row r="130" customFormat="false" ht="12.75" hidden="false" customHeight="false" outlineLevel="0" collapsed="false">
      <c r="A130" s="103" t="s">
        <v>97</v>
      </c>
      <c r="B130" s="22" t="s">
        <v>95</v>
      </c>
      <c r="C130" s="71" t="n">
        <v>26719</v>
      </c>
      <c r="D130" s="62" t="n">
        <v>25000</v>
      </c>
      <c r="E130" s="84" t="s">
        <v>127</v>
      </c>
      <c r="F130" s="63" t="n">
        <f aca="false">0.205-0.102-0.0011-0.0142</f>
        <v>0.0877</v>
      </c>
      <c r="G130" s="63" t="n">
        <f aca="false">0.0153-0.0011</f>
        <v>0.0142</v>
      </c>
      <c r="H130" s="85" t="n">
        <f aca="false">+G130+F130</f>
        <v>0.1019</v>
      </c>
      <c r="I130" s="86" t="n">
        <v>36646</v>
      </c>
      <c r="J130" s="87" t="n">
        <v>38472</v>
      </c>
      <c r="K130" s="0" t="n">
        <v>245</v>
      </c>
      <c r="L130" s="0" t="n">
        <v>365</v>
      </c>
      <c r="M130" s="0" t="n">
        <v>365</v>
      </c>
      <c r="N130" s="0" t="n">
        <v>365</v>
      </c>
      <c r="O130" s="0" t="n">
        <v>366</v>
      </c>
      <c r="P130" s="0" t="n">
        <v>120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W130" s="60" t="n">
        <f aca="false">+K130*$D130</f>
        <v>6125000</v>
      </c>
      <c r="X130" s="60" t="n">
        <f aca="false">+L130*$D130</f>
        <v>9125000</v>
      </c>
      <c r="Y130" s="60" t="n">
        <f aca="false">+M130*$D130</f>
        <v>9125000</v>
      </c>
      <c r="Z130" s="60" t="n">
        <f aca="false">+N130*$D130</f>
        <v>9125000</v>
      </c>
      <c r="AA130" s="60" t="n">
        <f aca="false">+O130*$D130</f>
        <v>9150000</v>
      </c>
      <c r="AB130" s="60" t="n">
        <f aca="false">+P130*$D130</f>
        <v>3000000</v>
      </c>
      <c r="AC130" s="60" t="n">
        <f aca="false">+Q130*$D130</f>
        <v>0</v>
      </c>
      <c r="AD130" s="60" t="n">
        <f aca="false">+R130*$D130</f>
        <v>0</v>
      </c>
      <c r="AE130" s="60" t="n">
        <f aca="false">+S130*$D130</f>
        <v>0</v>
      </c>
      <c r="AF130" s="60" t="n">
        <f aca="false">+T130*$D130</f>
        <v>0</v>
      </c>
      <c r="AG130" s="60" t="n">
        <f aca="false">+U130*$D130</f>
        <v>0</v>
      </c>
    </row>
    <row r="131" customFormat="false" ht="12.75" hidden="false" customHeight="false" outlineLevel="0" collapsed="false">
      <c r="A131" s="83" t="s">
        <v>97</v>
      </c>
      <c r="B131" s="22" t="s">
        <v>61</v>
      </c>
      <c r="C131" s="71" t="n">
        <v>22037</v>
      </c>
      <c r="D131" s="62" t="n">
        <v>3000</v>
      </c>
      <c r="E131" s="84" t="s">
        <v>134</v>
      </c>
      <c r="F131" s="63" t="n">
        <v>0</v>
      </c>
      <c r="G131" s="63" t="n">
        <v>0</v>
      </c>
      <c r="H131" s="85" t="n">
        <f aca="false">0.1328-0.05</f>
        <v>0.0828</v>
      </c>
      <c r="I131" s="86"/>
      <c r="J131" s="87"/>
      <c r="K131" s="0" t="n">
        <v>366</v>
      </c>
      <c r="L131" s="0" t="n">
        <v>365</v>
      </c>
      <c r="M131" s="0" t="n">
        <v>365</v>
      </c>
      <c r="N131" s="0" t="n">
        <v>365</v>
      </c>
      <c r="O131" s="0" t="n">
        <v>366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W131" s="60" t="n">
        <f aca="false">+K131*$D131</f>
        <v>1098000</v>
      </c>
      <c r="X131" s="60" t="n">
        <f aca="false">+L131*$D131</f>
        <v>1095000</v>
      </c>
      <c r="Y131" s="60" t="n">
        <f aca="false">+M131*$D131</f>
        <v>1095000</v>
      </c>
      <c r="Z131" s="60" t="n">
        <f aca="false">+N131*$D131</f>
        <v>1095000</v>
      </c>
      <c r="AA131" s="60" t="n">
        <f aca="false">+O131*$D131</f>
        <v>1098000</v>
      </c>
      <c r="AB131" s="60" t="n">
        <f aca="false">+P131*$D131</f>
        <v>0</v>
      </c>
      <c r="AC131" s="60" t="n">
        <f aca="false">+Q131*$D131</f>
        <v>0</v>
      </c>
      <c r="AD131" s="60" t="n">
        <f aca="false">+R131*$D131</f>
        <v>0</v>
      </c>
      <c r="AE131" s="60" t="n">
        <f aca="false">+S131*$D131</f>
        <v>0</v>
      </c>
      <c r="AF131" s="60" t="n">
        <f aca="false">+T131*$D131</f>
        <v>0</v>
      </c>
      <c r="AG131" s="60" t="n">
        <f aca="false">+U131*$D131</f>
        <v>0</v>
      </c>
    </row>
    <row r="132" customFormat="false" ht="12.75" hidden="false" customHeight="false" outlineLevel="0" collapsed="false">
      <c r="A132" s="83" t="s">
        <v>97</v>
      </c>
      <c r="B132" s="22" t="s">
        <v>61</v>
      </c>
      <c r="C132" s="71" t="n">
        <v>27252</v>
      </c>
      <c r="D132" s="62" t="n">
        <v>14000</v>
      </c>
      <c r="E132" s="84" t="s">
        <v>127</v>
      </c>
      <c r="F132" s="63" t="n">
        <f aca="false">0.15-0.0407-0.0093-0.0153</f>
        <v>0.0847</v>
      </c>
      <c r="G132" s="63" t="n">
        <f aca="false">0.0246-0.0093</f>
        <v>0.0153</v>
      </c>
      <c r="H132" s="85" t="n">
        <f aca="false">+G132+F132</f>
        <v>0.1</v>
      </c>
      <c r="I132" s="86" t="n">
        <v>36831</v>
      </c>
      <c r="J132" s="87" t="n">
        <v>40482</v>
      </c>
      <c r="K132" s="0" t="n">
        <v>61</v>
      </c>
      <c r="L132" s="0" t="n">
        <v>151</v>
      </c>
      <c r="M132" s="0" t="n">
        <v>151</v>
      </c>
      <c r="N132" s="0" t="n">
        <v>151</v>
      </c>
      <c r="O132" s="0" t="n">
        <v>152</v>
      </c>
      <c r="P132" s="0" t="n">
        <v>151</v>
      </c>
      <c r="Q132" s="0" t="n">
        <v>151</v>
      </c>
      <c r="R132" s="0" t="n">
        <v>151</v>
      </c>
      <c r="S132" s="0" t="n">
        <v>152</v>
      </c>
      <c r="T132" s="0" t="n">
        <v>151</v>
      </c>
      <c r="U132" s="0" t="n">
        <v>151</v>
      </c>
      <c r="W132" s="60" t="n">
        <f aca="false">+K132*$D132</f>
        <v>854000</v>
      </c>
      <c r="X132" s="60" t="n">
        <f aca="false">+L132*$D132</f>
        <v>2114000</v>
      </c>
      <c r="Y132" s="60" t="n">
        <f aca="false">+M132*$D132</f>
        <v>2114000</v>
      </c>
      <c r="Z132" s="60" t="n">
        <f aca="false">+N132*$D132</f>
        <v>2114000</v>
      </c>
      <c r="AA132" s="60" t="n">
        <f aca="false">+O132*$D132</f>
        <v>2128000</v>
      </c>
      <c r="AB132" s="60" t="n">
        <f aca="false">+P132*$D132</f>
        <v>2114000</v>
      </c>
      <c r="AC132" s="60" t="n">
        <f aca="false">+Q132*$D132</f>
        <v>2114000</v>
      </c>
      <c r="AD132" s="60" t="n">
        <f aca="false">+R132*$D132</f>
        <v>2114000</v>
      </c>
      <c r="AE132" s="60" t="n">
        <f aca="false">+S132*$D132</f>
        <v>2128000</v>
      </c>
      <c r="AF132" s="60" t="n">
        <f aca="false">+T132*$D132</f>
        <v>2114000</v>
      </c>
      <c r="AG132" s="60" t="n">
        <f aca="false">+U132*$D132</f>
        <v>2114000</v>
      </c>
    </row>
    <row r="133" customFormat="false" ht="12.75" hidden="false" customHeight="false" outlineLevel="0" collapsed="false">
      <c r="A133" s="103" t="s">
        <v>97</v>
      </c>
      <c r="B133" s="22" t="s">
        <v>96</v>
      </c>
      <c r="C133" s="71" t="n">
        <v>26960</v>
      </c>
      <c r="D133" s="62" t="n">
        <v>20000</v>
      </c>
      <c r="E133" s="84" t="s">
        <v>127</v>
      </c>
      <c r="F133" s="63" t="n">
        <f aca="false">0.19-0.102-0.0011-0.0153</f>
        <v>0.0716</v>
      </c>
      <c r="G133" s="63" t="n">
        <v>0.0153</v>
      </c>
      <c r="H133" s="85" t="n">
        <f aca="false">+G133+F133</f>
        <v>0.0869</v>
      </c>
      <c r="I133" s="86" t="n">
        <v>36525</v>
      </c>
      <c r="J133" s="87" t="n">
        <v>38077</v>
      </c>
      <c r="K133" s="0" t="n">
        <v>366</v>
      </c>
      <c r="L133" s="0" t="n">
        <v>365</v>
      </c>
      <c r="M133" s="0" t="n">
        <v>365</v>
      </c>
      <c r="N133" s="0" t="n">
        <v>365</v>
      </c>
      <c r="O133" s="0" t="n">
        <v>91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W133" s="60" t="n">
        <f aca="false">+K133*$D133</f>
        <v>7320000</v>
      </c>
      <c r="X133" s="60" t="n">
        <f aca="false">+L133*$D133</f>
        <v>7300000</v>
      </c>
      <c r="Y133" s="60" t="n">
        <f aca="false">+M133*$D133</f>
        <v>7300000</v>
      </c>
      <c r="Z133" s="60" t="n">
        <f aca="false">+N133*$D133</f>
        <v>7300000</v>
      </c>
      <c r="AA133" s="60" t="n">
        <f aca="false">+O133*$D133</f>
        <v>1820000</v>
      </c>
      <c r="AB133" s="60" t="n">
        <f aca="false">+P133*$D133</f>
        <v>0</v>
      </c>
      <c r="AC133" s="60" t="n">
        <f aca="false">+Q133*$D133</f>
        <v>0</v>
      </c>
      <c r="AD133" s="60" t="n">
        <f aca="false">+R133*$D133</f>
        <v>0</v>
      </c>
      <c r="AE133" s="60" t="n">
        <f aca="false">+S133*$D133</f>
        <v>0</v>
      </c>
      <c r="AF133" s="60" t="n">
        <f aca="false">+T133*$D133</f>
        <v>0</v>
      </c>
      <c r="AG133" s="60" t="n">
        <f aca="false">+U133*$D133</f>
        <v>0</v>
      </c>
    </row>
    <row r="134" customFormat="false" ht="12.75" hidden="false" customHeight="false" outlineLevel="0" collapsed="false">
      <c r="A134" s="83" t="s">
        <v>97</v>
      </c>
      <c r="B134" s="22" t="s">
        <v>62</v>
      </c>
      <c r="C134" s="71" t="n">
        <v>25850</v>
      </c>
      <c r="D134" s="62" t="n">
        <v>30000</v>
      </c>
      <c r="E134" s="84" t="s">
        <v>127</v>
      </c>
      <c r="F134" s="63" t="n">
        <f aca="false">0.1354-0.0407-0.0093-0.0153</f>
        <v>0.0701</v>
      </c>
      <c r="G134" s="63" t="n">
        <v>0.0153</v>
      </c>
      <c r="H134" s="85" t="n">
        <f aca="false">+G134+F134</f>
        <v>0.0854</v>
      </c>
      <c r="I134" s="86"/>
      <c r="J134" s="87" t="n">
        <v>36556</v>
      </c>
      <c r="K134" s="0" t="n">
        <v>31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W134" s="60" t="n">
        <f aca="false">+K134*$D134</f>
        <v>930000</v>
      </c>
      <c r="X134" s="60" t="n">
        <f aca="false">+L134*$D134</f>
        <v>0</v>
      </c>
      <c r="Y134" s="60" t="n">
        <f aca="false">+M134*$D134</f>
        <v>0</v>
      </c>
      <c r="Z134" s="60" t="n">
        <f aca="false">+N134*$D134</f>
        <v>0</v>
      </c>
      <c r="AA134" s="60" t="n">
        <f aca="false">+O134*$D134</f>
        <v>0</v>
      </c>
      <c r="AB134" s="60" t="n">
        <f aca="false">+P134*$D134</f>
        <v>0</v>
      </c>
      <c r="AC134" s="60" t="n">
        <f aca="false">+Q134*$D134</f>
        <v>0</v>
      </c>
      <c r="AD134" s="60" t="n">
        <f aca="false">+R134*$D134</f>
        <v>0</v>
      </c>
      <c r="AE134" s="60" t="n">
        <f aca="false">+S134*$D134</f>
        <v>0</v>
      </c>
      <c r="AF134" s="60" t="n">
        <f aca="false">+T134*$D134</f>
        <v>0</v>
      </c>
      <c r="AG134" s="60" t="n">
        <f aca="false">+U134*$D134</f>
        <v>0</v>
      </c>
    </row>
    <row r="135" customFormat="false" ht="12.75" hidden="false" customHeight="false" outlineLevel="0" collapsed="false">
      <c r="A135" s="83" t="s">
        <v>97</v>
      </c>
      <c r="B135" s="22" t="s">
        <v>46</v>
      </c>
      <c r="C135" s="71" t="n">
        <v>26393</v>
      </c>
      <c r="D135" s="62" t="n">
        <v>30000</v>
      </c>
      <c r="E135" s="84" t="s">
        <v>127</v>
      </c>
      <c r="F135" s="63" t="n">
        <f aca="false">0.113-0.0407-0.0093-0.0153</f>
        <v>0.0477</v>
      </c>
      <c r="G135" s="63" t="n">
        <v>0.0153</v>
      </c>
      <c r="H135" s="85" t="n">
        <f aca="false">+G135+F135</f>
        <v>0.063</v>
      </c>
      <c r="I135" s="86"/>
      <c r="J135" s="87" t="n">
        <v>36616</v>
      </c>
      <c r="K135" s="0" t="n">
        <v>91</v>
      </c>
      <c r="L135" s="0" t="n">
        <v>0</v>
      </c>
      <c r="M135" s="0" t="n">
        <v>0</v>
      </c>
      <c r="N135" s="0" t="n">
        <v>0</v>
      </c>
      <c r="O135" s="0" t="n">
        <v>0</v>
      </c>
      <c r="P135" s="0" t="n">
        <v>0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W135" s="60" t="n">
        <f aca="false">+K135*$D135</f>
        <v>2730000</v>
      </c>
      <c r="X135" s="60" t="n">
        <f aca="false">+L135*$D135</f>
        <v>0</v>
      </c>
      <c r="Y135" s="60" t="n">
        <f aca="false">+M135*$D135</f>
        <v>0</v>
      </c>
      <c r="Z135" s="60" t="n">
        <f aca="false">+N135*$D135</f>
        <v>0</v>
      </c>
      <c r="AA135" s="60" t="n">
        <f aca="false">+O135*$D135</f>
        <v>0</v>
      </c>
      <c r="AB135" s="60" t="n">
        <f aca="false">+P135*$D135</f>
        <v>0</v>
      </c>
      <c r="AC135" s="60" t="n">
        <f aca="false">+Q135*$D135</f>
        <v>0</v>
      </c>
      <c r="AD135" s="60" t="n">
        <f aca="false">+R135*$D135</f>
        <v>0</v>
      </c>
      <c r="AE135" s="60" t="n">
        <f aca="false">+S135*$D135</f>
        <v>0</v>
      </c>
      <c r="AF135" s="60" t="n">
        <f aca="false">+T135*$D135</f>
        <v>0</v>
      </c>
      <c r="AG135" s="60" t="n">
        <f aca="false">+U135*$D135</f>
        <v>0</v>
      </c>
    </row>
    <row r="136" customFormat="false" ht="12.75" hidden="false" customHeight="false" outlineLevel="0" collapsed="false">
      <c r="C136" s="71"/>
    </row>
    <row r="137" customFormat="false" ht="12.75" hidden="false" customHeight="false" outlineLevel="0" collapsed="false">
      <c r="C137" s="71"/>
    </row>
    <row r="138" customFormat="false" ht="12.75" hidden="false" customHeight="false" outlineLevel="0" collapsed="false">
      <c r="C138" s="71"/>
    </row>
    <row r="139" customFormat="false" ht="12.75" hidden="false" customHeight="false" outlineLevel="0" collapsed="false">
      <c r="C139" s="71"/>
    </row>
    <row r="140" customFormat="false" ht="12.75" hidden="false" customHeight="false" outlineLevel="0" collapsed="false">
      <c r="C140" s="71"/>
    </row>
    <row r="141" customFormat="false" ht="12.75" hidden="false" customHeight="false" outlineLevel="0" collapsed="false">
      <c r="C141" s="71"/>
    </row>
    <row r="142" customFormat="false" ht="12.75" hidden="false" customHeight="false" outlineLevel="0" collapsed="false">
      <c r="C142" s="71"/>
    </row>
    <row r="143" customFormat="false" ht="12.75" hidden="false" customHeight="false" outlineLevel="0" collapsed="false">
      <c r="C143" s="71"/>
    </row>
    <row r="144" customFormat="false" ht="12.75" hidden="false" customHeight="false" outlineLevel="0" collapsed="false">
      <c r="C144" s="71"/>
    </row>
    <row r="145" customFormat="false" ht="12.75" hidden="false" customHeight="false" outlineLevel="0" collapsed="false">
      <c r="C145" s="71"/>
    </row>
    <row r="146" customFormat="false" ht="12.75" hidden="false" customHeight="false" outlineLevel="0" collapsed="false">
      <c r="C146" s="71"/>
    </row>
    <row r="147" customFormat="false" ht="12.75" hidden="false" customHeight="false" outlineLevel="0" collapsed="false">
      <c r="C147" s="71"/>
    </row>
    <row r="148" customFormat="false" ht="12.75" hidden="false" customHeight="false" outlineLevel="0" collapsed="false">
      <c r="C148" s="71"/>
    </row>
    <row r="149" customFormat="false" ht="12.75" hidden="false" customHeight="false" outlineLevel="0" collapsed="false">
      <c r="C149" s="71"/>
    </row>
    <row r="150" customFormat="false" ht="12.75" hidden="false" customHeight="false" outlineLevel="0" collapsed="false">
      <c r="C150" s="71"/>
    </row>
    <row r="151" customFormat="false" ht="12.75" hidden="false" customHeight="false" outlineLevel="0" collapsed="false">
      <c r="C151" s="71"/>
    </row>
    <row r="152" customFormat="false" ht="12.75" hidden="false" customHeight="false" outlineLevel="0" collapsed="false">
      <c r="C152" s="71"/>
    </row>
    <row r="153" customFormat="false" ht="12.75" hidden="false" customHeight="false" outlineLevel="0" collapsed="false">
      <c r="C153" s="71"/>
    </row>
    <row r="154" customFormat="false" ht="12.75" hidden="false" customHeight="false" outlineLevel="0" collapsed="false">
      <c r="C154" s="71"/>
    </row>
    <row r="155" customFormat="false" ht="12.75" hidden="false" customHeight="false" outlineLevel="0" collapsed="false">
      <c r="C155" s="71"/>
    </row>
    <row r="156" customFormat="false" ht="12.75" hidden="false" customHeight="false" outlineLevel="0" collapsed="false">
      <c r="C156" s="71"/>
    </row>
    <row r="157" customFormat="false" ht="12.75" hidden="false" customHeight="false" outlineLevel="0" collapsed="false">
      <c r="C157" s="71"/>
    </row>
    <row r="158" customFormat="false" ht="12.75" hidden="false" customHeight="false" outlineLevel="0" collapsed="false">
      <c r="C158" s="71"/>
    </row>
    <row r="159" customFormat="false" ht="12.75" hidden="false" customHeight="false" outlineLevel="0" collapsed="false">
      <c r="C159" s="71"/>
    </row>
    <row r="160" customFormat="false" ht="12.75" hidden="false" customHeight="false" outlineLevel="0" collapsed="false">
      <c r="C160" s="71"/>
    </row>
    <row r="161" customFormat="false" ht="12.75" hidden="false" customHeight="false" outlineLevel="0" collapsed="false">
      <c r="C161" s="71"/>
    </row>
    <row r="162" customFormat="false" ht="12.75" hidden="false" customHeight="false" outlineLevel="0" collapsed="false">
      <c r="C162" s="71"/>
    </row>
    <row r="163" customFormat="false" ht="12.75" hidden="false" customHeight="false" outlineLevel="0" collapsed="false">
      <c r="C163" s="71"/>
    </row>
    <row r="164" customFormat="false" ht="12.75" hidden="false" customHeight="false" outlineLevel="0" collapsed="false">
      <c r="C164" s="71"/>
    </row>
    <row r="165" customFormat="false" ht="12.75" hidden="false" customHeight="false" outlineLevel="0" collapsed="false">
      <c r="C165" s="71"/>
    </row>
    <row r="166" customFormat="false" ht="12.75" hidden="false" customHeight="false" outlineLevel="0" collapsed="false">
      <c r="C166" s="71"/>
    </row>
    <row r="167" customFormat="false" ht="12.75" hidden="false" customHeight="false" outlineLevel="0" collapsed="false">
      <c r="C167" s="71"/>
    </row>
    <row r="168" customFormat="false" ht="12.75" hidden="false" customHeight="false" outlineLevel="0" collapsed="false">
      <c r="C168" s="71"/>
    </row>
    <row r="169" customFormat="false" ht="12.75" hidden="false" customHeight="false" outlineLevel="0" collapsed="false">
      <c r="C169" s="71"/>
    </row>
    <row r="170" customFormat="false" ht="12.75" hidden="false" customHeight="false" outlineLevel="0" collapsed="false">
      <c r="C170" s="71"/>
    </row>
    <row r="171" customFormat="false" ht="12.75" hidden="false" customHeight="false" outlineLevel="0" collapsed="false">
      <c r="C171" s="71"/>
    </row>
    <row r="172" customFormat="false" ht="12.75" hidden="false" customHeight="false" outlineLevel="0" collapsed="false">
      <c r="C172" s="71"/>
    </row>
    <row r="173" customFormat="false" ht="12.75" hidden="false" customHeight="false" outlineLevel="0" collapsed="false">
      <c r="C173" s="71"/>
    </row>
    <row r="174" customFormat="false" ht="12.75" hidden="false" customHeight="false" outlineLevel="0" collapsed="false">
      <c r="C174" s="71"/>
    </row>
    <row r="175" customFormat="false" ht="12.75" hidden="false" customHeight="false" outlineLevel="0" collapsed="false">
      <c r="C175" s="71"/>
    </row>
    <row r="176" customFormat="false" ht="12.75" hidden="false" customHeight="false" outlineLevel="0" collapsed="false">
      <c r="C176" s="71"/>
    </row>
    <row r="177" customFormat="false" ht="12.75" hidden="false" customHeight="false" outlineLevel="0" collapsed="false">
      <c r="C177" s="71"/>
    </row>
    <row r="178" customFormat="false" ht="12.75" hidden="false" customHeight="false" outlineLevel="0" collapsed="false">
      <c r="C178" s="71"/>
    </row>
    <row r="179" customFormat="false" ht="12.75" hidden="false" customHeight="false" outlineLevel="0" collapsed="false">
      <c r="C179" s="71"/>
    </row>
    <row r="180" customFormat="false" ht="12.75" hidden="false" customHeight="false" outlineLevel="0" collapsed="false">
      <c r="C180" s="71"/>
    </row>
    <row r="181" customFormat="false" ht="12.75" hidden="false" customHeight="false" outlineLevel="0" collapsed="false">
      <c r="C181" s="71"/>
    </row>
    <row r="182" customFormat="false" ht="12.75" hidden="false" customHeight="false" outlineLevel="0" collapsed="false">
      <c r="C182" s="71"/>
    </row>
    <row r="183" customFormat="false" ht="12.75" hidden="false" customHeight="false" outlineLevel="0" collapsed="false">
      <c r="C183" s="71"/>
    </row>
    <row r="184" customFormat="false" ht="12.75" hidden="false" customHeight="false" outlineLevel="0" collapsed="false">
      <c r="C184" s="71"/>
    </row>
    <row r="185" customFormat="false" ht="12.75" hidden="false" customHeight="false" outlineLevel="0" collapsed="false">
      <c r="C185" s="71"/>
    </row>
    <row r="186" customFormat="false" ht="12.75" hidden="false" customHeight="false" outlineLevel="0" collapsed="false">
      <c r="C186" s="71"/>
    </row>
    <row r="187" customFormat="false" ht="12.75" hidden="false" customHeight="false" outlineLevel="0" collapsed="false">
      <c r="C187" s="71"/>
    </row>
    <row r="188" customFormat="false" ht="12.75" hidden="false" customHeight="false" outlineLevel="0" collapsed="false">
      <c r="C188" s="71"/>
    </row>
    <row r="189" customFormat="false" ht="12.75" hidden="false" customHeight="false" outlineLevel="0" collapsed="false">
      <c r="C189" s="71"/>
    </row>
    <row r="190" customFormat="false" ht="12.75" hidden="false" customHeight="false" outlineLevel="0" collapsed="false">
      <c r="C190" s="71"/>
    </row>
    <row r="191" customFormat="false" ht="12.75" hidden="false" customHeight="false" outlineLevel="0" collapsed="false">
      <c r="C191" s="71"/>
    </row>
    <row r="192" customFormat="false" ht="12.75" hidden="false" customHeight="false" outlineLevel="0" collapsed="false">
      <c r="C192" s="71"/>
    </row>
    <row r="193" customFormat="false" ht="12.75" hidden="false" customHeight="false" outlineLevel="0" collapsed="false">
      <c r="C193" s="71"/>
    </row>
    <row r="194" customFormat="false" ht="12.75" hidden="false" customHeight="false" outlineLevel="0" collapsed="false">
      <c r="C194" s="71"/>
    </row>
    <row r="195" customFormat="false" ht="12.75" hidden="false" customHeight="false" outlineLevel="0" collapsed="false">
      <c r="C195" s="71"/>
    </row>
    <row r="196" customFormat="false" ht="12.75" hidden="false" customHeight="false" outlineLevel="0" collapsed="false">
      <c r="C196" s="71"/>
    </row>
    <row r="197" customFormat="false" ht="12.75" hidden="false" customHeight="false" outlineLevel="0" collapsed="false">
      <c r="C197" s="71"/>
    </row>
    <row r="198" customFormat="false" ht="12.75" hidden="false" customHeight="false" outlineLevel="0" collapsed="false">
      <c r="C198" s="71"/>
    </row>
    <row r="199" customFormat="false" ht="12.75" hidden="false" customHeight="false" outlineLevel="0" collapsed="false">
      <c r="C199" s="71"/>
    </row>
    <row r="200" customFormat="false" ht="12.75" hidden="false" customHeight="false" outlineLevel="0" collapsed="false">
      <c r="C200" s="71"/>
    </row>
    <row r="201" customFormat="false" ht="12.75" hidden="false" customHeight="false" outlineLevel="0" collapsed="false">
      <c r="C201" s="71"/>
    </row>
    <row r="202" customFormat="false" ht="12.75" hidden="false" customHeight="false" outlineLevel="0" collapsed="false">
      <c r="C202" s="71"/>
    </row>
    <row r="203" customFormat="false" ht="12.75" hidden="false" customHeight="false" outlineLevel="0" collapsed="false">
      <c r="C203" s="71"/>
    </row>
    <row r="204" customFormat="false" ht="12.75" hidden="false" customHeight="false" outlineLevel="0" collapsed="false">
      <c r="C204" s="71"/>
    </row>
    <row r="205" customFormat="false" ht="12.75" hidden="false" customHeight="false" outlineLevel="0" collapsed="false">
      <c r="C205" s="71"/>
    </row>
    <row r="206" customFormat="false" ht="12.75" hidden="false" customHeight="false" outlineLevel="0" collapsed="false">
      <c r="C206" s="71"/>
    </row>
    <row r="207" customFormat="false" ht="12.75" hidden="false" customHeight="false" outlineLevel="0" collapsed="false">
      <c r="C207" s="71"/>
    </row>
    <row r="208" customFormat="false" ht="12.75" hidden="false" customHeight="false" outlineLevel="0" collapsed="false">
      <c r="C208" s="71"/>
    </row>
    <row r="209" customFormat="false" ht="12.75" hidden="false" customHeight="false" outlineLevel="0" collapsed="false">
      <c r="C209" s="71"/>
    </row>
    <row r="210" customFormat="false" ht="12.75" hidden="false" customHeight="false" outlineLevel="0" collapsed="false">
      <c r="C210" s="71"/>
    </row>
    <row r="211" customFormat="false" ht="12.75" hidden="false" customHeight="false" outlineLevel="0" collapsed="false">
      <c r="C211" s="71"/>
    </row>
    <row r="212" customFormat="false" ht="12.75" hidden="false" customHeight="false" outlineLevel="0" collapsed="false">
      <c r="C212" s="71"/>
    </row>
    <row r="213" customFormat="false" ht="12.75" hidden="false" customHeight="false" outlineLevel="0" collapsed="false">
      <c r="C213" s="71"/>
    </row>
    <row r="214" customFormat="false" ht="12.75" hidden="false" customHeight="false" outlineLevel="0" collapsed="false">
      <c r="C214" s="71"/>
    </row>
    <row r="215" customFormat="false" ht="12.75" hidden="false" customHeight="false" outlineLevel="0" collapsed="false">
      <c r="C215" s="71"/>
    </row>
    <row r="216" customFormat="false" ht="12.75" hidden="false" customHeight="false" outlineLevel="0" collapsed="false">
      <c r="C216" s="71"/>
    </row>
    <row r="217" customFormat="false" ht="12.75" hidden="false" customHeight="false" outlineLevel="0" collapsed="false">
      <c r="C217" s="71"/>
    </row>
    <row r="218" customFormat="false" ht="12.75" hidden="false" customHeight="false" outlineLevel="0" collapsed="false">
      <c r="C218" s="71"/>
    </row>
    <row r="219" customFormat="false" ht="12.75" hidden="false" customHeight="false" outlineLevel="0" collapsed="false">
      <c r="C219" s="71"/>
    </row>
    <row r="220" customFormat="false" ht="12.75" hidden="false" customHeight="false" outlineLevel="0" collapsed="false">
      <c r="C220" s="71"/>
    </row>
    <row r="221" customFormat="false" ht="12.75" hidden="false" customHeight="false" outlineLevel="0" collapsed="false">
      <c r="C221" s="71"/>
    </row>
    <row r="222" customFormat="false" ht="12.75" hidden="false" customHeight="false" outlineLevel="0" collapsed="false">
      <c r="C222" s="71"/>
    </row>
    <row r="223" customFormat="false" ht="12.75" hidden="false" customHeight="false" outlineLevel="0" collapsed="false">
      <c r="C223" s="71"/>
    </row>
    <row r="224" customFormat="false" ht="12.75" hidden="false" customHeight="false" outlineLevel="0" collapsed="false">
      <c r="C224" s="71"/>
    </row>
    <row r="225" customFormat="false" ht="12.75" hidden="false" customHeight="false" outlineLevel="0" collapsed="false">
      <c r="C225" s="71"/>
    </row>
    <row r="226" customFormat="false" ht="12.75" hidden="false" customHeight="false" outlineLevel="0" collapsed="false">
      <c r="C226" s="71"/>
    </row>
    <row r="227" customFormat="false" ht="12.75" hidden="false" customHeight="false" outlineLevel="0" collapsed="false">
      <c r="C227" s="71"/>
    </row>
    <row r="228" customFormat="false" ht="12.75" hidden="false" customHeight="false" outlineLevel="0" collapsed="false">
      <c r="C228" s="71"/>
    </row>
    <row r="229" customFormat="false" ht="12.75" hidden="false" customHeight="false" outlineLevel="0" collapsed="false">
      <c r="C229" s="71"/>
    </row>
    <row r="230" customFormat="false" ht="12.75" hidden="false" customHeight="false" outlineLevel="0" collapsed="false">
      <c r="C230" s="71"/>
    </row>
    <row r="231" customFormat="false" ht="12.75" hidden="false" customHeight="false" outlineLevel="0" collapsed="false">
      <c r="C231" s="71"/>
    </row>
    <row r="232" customFormat="false" ht="12.75" hidden="false" customHeight="false" outlineLevel="0" collapsed="false">
      <c r="C232" s="71"/>
    </row>
    <row r="233" customFormat="false" ht="12.75" hidden="false" customHeight="false" outlineLevel="0" collapsed="false">
      <c r="C233" s="71"/>
    </row>
    <row r="234" customFormat="false" ht="12.75" hidden="false" customHeight="false" outlineLevel="0" collapsed="false">
      <c r="C234" s="71"/>
    </row>
    <row r="235" customFormat="false" ht="12.75" hidden="false" customHeight="false" outlineLevel="0" collapsed="false">
      <c r="C235" s="71"/>
    </row>
    <row r="236" customFormat="false" ht="12.75" hidden="false" customHeight="false" outlineLevel="0" collapsed="false">
      <c r="C236" s="71"/>
    </row>
    <row r="237" customFormat="false" ht="12.75" hidden="false" customHeight="false" outlineLevel="0" collapsed="false">
      <c r="C237" s="71"/>
    </row>
    <row r="238" customFormat="false" ht="12.75" hidden="false" customHeight="false" outlineLevel="0" collapsed="false">
      <c r="C238" s="71"/>
    </row>
    <row r="239" customFormat="false" ht="12.75" hidden="false" customHeight="false" outlineLevel="0" collapsed="false">
      <c r="C239" s="71"/>
    </row>
    <row r="240" customFormat="false" ht="12.75" hidden="false" customHeight="false" outlineLevel="0" collapsed="false">
      <c r="C240" s="71"/>
    </row>
    <row r="241" customFormat="false" ht="12.75" hidden="false" customHeight="false" outlineLevel="0" collapsed="false">
      <c r="C241" s="71"/>
    </row>
    <row r="242" customFormat="false" ht="12.75" hidden="false" customHeight="false" outlineLevel="0" collapsed="false">
      <c r="C242" s="71"/>
    </row>
    <row r="243" customFormat="false" ht="12.75" hidden="false" customHeight="false" outlineLevel="0" collapsed="false">
      <c r="C243" s="71"/>
    </row>
    <row r="244" customFormat="false" ht="12.75" hidden="false" customHeight="false" outlineLevel="0" collapsed="false">
      <c r="C244" s="71"/>
    </row>
    <row r="245" customFormat="false" ht="12.75" hidden="false" customHeight="false" outlineLevel="0" collapsed="false">
      <c r="C245" s="71"/>
    </row>
    <row r="246" customFormat="false" ht="12.75" hidden="false" customHeight="false" outlineLevel="0" collapsed="false">
      <c r="C246" s="71"/>
    </row>
    <row r="247" customFormat="false" ht="12.75" hidden="false" customHeight="false" outlineLevel="0" collapsed="false">
      <c r="C247" s="71"/>
    </row>
    <row r="248" customFormat="false" ht="12.75" hidden="false" customHeight="false" outlineLevel="0" collapsed="false">
      <c r="C248" s="71"/>
    </row>
    <row r="249" customFormat="false" ht="12.75" hidden="false" customHeight="false" outlineLevel="0" collapsed="false">
      <c r="C249" s="71"/>
    </row>
    <row r="250" customFormat="false" ht="12.75" hidden="false" customHeight="false" outlineLevel="0" collapsed="false">
      <c r="C250" s="71"/>
    </row>
    <row r="251" customFormat="false" ht="12.75" hidden="false" customHeight="false" outlineLevel="0" collapsed="false">
      <c r="C251" s="71"/>
    </row>
    <row r="252" customFormat="false" ht="12.75" hidden="false" customHeight="false" outlineLevel="0" collapsed="false">
      <c r="C252" s="71"/>
    </row>
    <row r="253" customFormat="false" ht="12.75" hidden="false" customHeight="false" outlineLevel="0" collapsed="false">
      <c r="C253" s="71"/>
    </row>
    <row r="254" customFormat="false" ht="12.75" hidden="false" customHeight="false" outlineLevel="0" collapsed="false">
      <c r="C254" s="71"/>
    </row>
    <row r="255" customFormat="false" ht="12.75" hidden="false" customHeight="false" outlineLevel="0" collapsed="false">
      <c r="C255" s="71"/>
    </row>
    <row r="256" customFormat="false" ht="12.75" hidden="false" customHeight="false" outlineLevel="0" collapsed="false">
      <c r="C256" s="71"/>
    </row>
    <row r="257" customFormat="false" ht="12.75" hidden="false" customHeight="false" outlineLevel="0" collapsed="false">
      <c r="C257" s="71"/>
    </row>
    <row r="258" customFormat="false" ht="12.75" hidden="false" customHeight="false" outlineLevel="0" collapsed="false">
      <c r="C258" s="71"/>
    </row>
    <row r="259" customFormat="false" ht="12.75" hidden="false" customHeight="false" outlineLevel="0" collapsed="false">
      <c r="C259" s="71"/>
    </row>
    <row r="260" customFormat="false" ht="12.75" hidden="false" customHeight="false" outlineLevel="0" collapsed="false">
      <c r="C260" s="71"/>
    </row>
    <row r="261" customFormat="false" ht="12.75" hidden="false" customHeight="false" outlineLevel="0" collapsed="false">
      <c r="C261" s="71"/>
    </row>
    <row r="262" customFormat="false" ht="12.75" hidden="false" customHeight="false" outlineLevel="0" collapsed="false">
      <c r="C262" s="71"/>
    </row>
    <row r="263" customFormat="false" ht="12.75" hidden="false" customHeight="false" outlineLevel="0" collapsed="false">
      <c r="C263" s="71"/>
    </row>
    <row r="264" customFormat="false" ht="12.75" hidden="false" customHeight="false" outlineLevel="0" collapsed="false">
      <c r="C264" s="71"/>
    </row>
    <row r="265" customFormat="false" ht="12.75" hidden="false" customHeight="false" outlineLevel="0" collapsed="false">
      <c r="C265" s="71"/>
    </row>
    <row r="266" customFormat="false" ht="12.75" hidden="false" customHeight="false" outlineLevel="0" collapsed="false">
      <c r="C266" s="71"/>
    </row>
    <row r="267" customFormat="false" ht="12.75" hidden="false" customHeight="false" outlineLevel="0" collapsed="false">
      <c r="C267" s="71"/>
    </row>
    <row r="268" customFormat="false" ht="12.75" hidden="false" customHeight="false" outlineLevel="0" collapsed="false">
      <c r="C268" s="71"/>
    </row>
    <row r="269" customFormat="false" ht="12.75" hidden="false" customHeight="false" outlineLevel="0" collapsed="false">
      <c r="C269" s="71"/>
    </row>
    <row r="270" customFormat="false" ht="12.75" hidden="false" customHeight="false" outlineLevel="0" collapsed="false">
      <c r="C270" s="71"/>
    </row>
    <row r="271" customFormat="false" ht="12.75" hidden="false" customHeight="false" outlineLevel="0" collapsed="false">
      <c r="C271" s="71"/>
    </row>
    <row r="272" customFormat="false" ht="12.75" hidden="false" customHeight="false" outlineLevel="0" collapsed="false">
      <c r="C272" s="71"/>
    </row>
    <row r="273" customFormat="false" ht="12.75" hidden="false" customHeight="false" outlineLevel="0" collapsed="false">
      <c r="C273" s="71"/>
    </row>
    <row r="274" customFormat="false" ht="12.75" hidden="false" customHeight="false" outlineLevel="0" collapsed="false">
      <c r="C274" s="71"/>
    </row>
    <row r="275" customFormat="false" ht="12.75" hidden="false" customHeight="false" outlineLevel="0" collapsed="false">
      <c r="C275" s="71"/>
    </row>
    <row r="276" customFormat="false" ht="12.75" hidden="false" customHeight="false" outlineLevel="0" collapsed="false">
      <c r="C276" s="71"/>
    </row>
    <row r="277" customFormat="false" ht="12.75" hidden="false" customHeight="false" outlineLevel="0" collapsed="false">
      <c r="C277" s="71"/>
    </row>
    <row r="278" customFormat="false" ht="12.75" hidden="false" customHeight="false" outlineLevel="0" collapsed="false">
      <c r="C278" s="71"/>
    </row>
    <row r="279" customFormat="false" ht="12.75" hidden="false" customHeight="false" outlineLevel="0" collapsed="false">
      <c r="C279" s="71"/>
    </row>
    <row r="280" customFormat="false" ht="12.75" hidden="false" customHeight="false" outlineLevel="0" collapsed="false">
      <c r="C280" s="71"/>
    </row>
    <row r="281" customFormat="false" ht="12.75" hidden="false" customHeight="false" outlineLevel="0" collapsed="false">
      <c r="C281" s="71"/>
    </row>
    <row r="282" customFormat="false" ht="12.75" hidden="false" customHeight="false" outlineLevel="0" collapsed="false">
      <c r="C282" s="71"/>
    </row>
    <row r="283" customFormat="false" ht="12.75" hidden="false" customHeight="false" outlineLevel="0" collapsed="false">
      <c r="C283" s="71"/>
    </row>
    <row r="284" customFormat="false" ht="12.75" hidden="false" customHeight="false" outlineLevel="0" collapsed="false">
      <c r="C284" s="71"/>
    </row>
    <row r="285" customFormat="false" ht="12.75" hidden="false" customHeight="false" outlineLevel="0" collapsed="false">
      <c r="C285" s="71"/>
    </row>
    <row r="286" customFormat="false" ht="12.75" hidden="false" customHeight="false" outlineLevel="0" collapsed="false">
      <c r="C286" s="71"/>
    </row>
    <row r="287" customFormat="false" ht="12.75" hidden="false" customHeight="false" outlineLevel="0" collapsed="false">
      <c r="C287" s="71"/>
    </row>
    <row r="288" customFormat="false" ht="12.75" hidden="false" customHeight="false" outlineLevel="0" collapsed="false">
      <c r="C288" s="71"/>
    </row>
    <row r="289" customFormat="false" ht="12.75" hidden="false" customHeight="false" outlineLevel="0" collapsed="false">
      <c r="C289" s="71"/>
    </row>
    <row r="290" customFormat="false" ht="12.75" hidden="false" customHeight="false" outlineLevel="0" collapsed="false">
      <c r="C290" s="71"/>
    </row>
    <row r="291" customFormat="false" ht="12.75" hidden="false" customHeight="false" outlineLevel="0" collapsed="false">
      <c r="C291" s="71"/>
    </row>
    <row r="292" customFormat="false" ht="12.75" hidden="false" customHeight="false" outlineLevel="0" collapsed="false">
      <c r="C292" s="71"/>
    </row>
    <row r="293" customFormat="false" ht="12.75" hidden="false" customHeight="false" outlineLevel="0" collapsed="false">
      <c r="C293" s="71"/>
    </row>
    <row r="294" customFormat="false" ht="12.75" hidden="false" customHeight="false" outlineLevel="0" collapsed="false">
      <c r="C294" s="71"/>
    </row>
    <row r="295" customFormat="false" ht="12.75" hidden="false" customHeight="false" outlineLevel="0" collapsed="false">
      <c r="C295" s="71"/>
    </row>
    <row r="296" customFormat="false" ht="12.75" hidden="false" customHeight="false" outlineLevel="0" collapsed="false">
      <c r="C296" s="71"/>
    </row>
    <row r="297" customFormat="false" ht="12.75" hidden="false" customHeight="false" outlineLevel="0" collapsed="false">
      <c r="C297" s="71"/>
    </row>
    <row r="298" customFormat="false" ht="12.75" hidden="false" customHeight="false" outlineLevel="0" collapsed="false">
      <c r="C298" s="71"/>
    </row>
    <row r="299" customFormat="false" ht="12.75" hidden="false" customHeight="false" outlineLevel="0" collapsed="false">
      <c r="C299" s="71"/>
    </row>
    <row r="300" customFormat="false" ht="12.75" hidden="false" customHeight="false" outlineLevel="0" collapsed="false">
      <c r="C300" s="71"/>
    </row>
    <row r="301" customFormat="false" ht="12.75" hidden="false" customHeight="false" outlineLevel="0" collapsed="false">
      <c r="C301" s="71"/>
    </row>
    <row r="302" customFormat="false" ht="12.75" hidden="false" customHeight="false" outlineLevel="0" collapsed="false">
      <c r="C302" s="71"/>
    </row>
    <row r="303" customFormat="false" ht="12.75" hidden="false" customHeight="false" outlineLevel="0" collapsed="false">
      <c r="C303" s="71"/>
    </row>
    <row r="304" customFormat="false" ht="12.75" hidden="false" customHeight="false" outlineLevel="0" collapsed="false">
      <c r="C304" s="71"/>
    </row>
    <row r="305" customFormat="false" ht="12.75" hidden="false" customHeight="false" outlineLevel="0" collapsed="false">
      <c r="C305" s="71"/>
    </row>
    <row r="306" customFormat="false" ht="12.75" hidden="false" customHeight="false" outlineLevel="0" collapsed="false">
      <c r="C306" s="71"/>
    </row>
    <row r="307" customFormat="false" ht="12.75" hidden="false" customHeight="false" outlineLevel="0" collapsed="false">
      <c r="C307" s="71"/>
    </row>
    <row r="308" customFormat="false" ht="12.75" hidden="false" customHeight="false" outlineLevel="0" collapsed="false">
      <c r="C308" s="71"/>
    </row>
    <row r="309" customFormat="false" ht="12.75" hidden="false" customHeight="false" outlineLevel="0" collapsed="false">
      <c r="C309" s="71"/>
    </row>
    <row r="310" customFormat="false" ht="12.75" hidden="false" customHeight="false" outlineLevel="0" collapsed="false">
      <c r="C310" s="71"/>
    </row>
    <row r="311" customFormat="false" ht="12.75" hidden="false" customHeight="false" outlineLevel="0" collapsed="false">
      <c r="C311" s="71"/>
    </row>
    <row r="312" customFormat="false" ht="12.75" hidden="false" customHeight="false" outlineLevel="0" collapsed="false">
      <c r="C312" s="71"/>
    </row>
    <row r="313" customFormat="false" ht="12.75" hidden="false" customHeight="false" outlineLevel="0" collapsed="false">
      <c r="C313" s="71"/>
    </row>
    <row r="314" customFormat="false" ht="12.75" hidden="false" customHeight="false" outlineLevel="0" collapsed="false">
      <c r="C314" s="71"/>
    </row>
    <row r="315" customFormat="false" ht="12.75" hidden="false" customHeight="false" outlineLevel="0" collapsed="false">
      <c r="C315" s="71"/>
    </row>
    <row r="316" customFormat="false" ht="12.75" hidden="false" customHeight="false" outlineLevel="0" collapsed="false">
      <c r="C316" s="71"/>
    </row>
    <row r="317" customFormat="false" ht="12.75" hidden="false" customHeight="false" outlineLevel="0" collapsed="false">
      <c r="C317" s="71"/>
    </row>
    <row r="318" customFormat="false" ht="12.75" hidden="false" customHeight="false" outlineLevel="0" collapsed="false">
      <c r="C318" s="71"/>
    </row>
    <row r="319" customFormat="false" ht="12.75" hidden="false" customHeight="false" outlineLevel="0" collapsed="false">
      <c r="C319" s="71"/>
    </row>
    <row r="320" customFormat="false" ht="12.75" hidden="false" customHeight="false" outlineLevel="0" collapsed="false">
      <c r="C320" s="71"/>
    </row>
    <row r="321" customFormat="false" ht="12.75" hidden="false" customHeight="false" outlineLevel="0" collapsed="false">
      <c r="C321" s="71"/>
    </row>
    <row r="322" customFormat="false" ht="12.75" hidden="false" customHeight="false" outlineLevel="0" collapsed="false">
      <c r="C322" s="71"/>
    </row>
    <row r="323" customFormat="false" ht="12.75" hidden="false" customHeight="false" outlineLevel="0" collapsed="false">
      <c r="C323" s="71"/>
    </row>
    <row r="324" customFormat="false" ht="12.75" hidden="false" customHeight="false" outlineLevel="0" collapsed="false">
      <c r="C324" s="71"/>
    </row>
    <row r="325" customFormat="false" ht="12.75" hidden="false" customHeight="false" outlineLevel="0" collapsed="false">
      <c r="C325" s="71"/>
    </row>
    <row r="326" customFormat="false" ht="12.75" hidden="false" customHeight="false" outlineLevel="0" collapsed="false">
      <c r="C326" s="71"/>
    </row>
    <row r="327" customFormat="false" ht="12.75" hidden="false" customHeight="false" outlineLevel="0" collapsed="false">
      <c r="C327" s="71"/>
    </row>
    <row r="328" customFormat="false" ht="12.75" hidden="false" customHeight="false" outlineLevel="0" collapsed="false">
      <c r="C328" s="71"/>
    </row>
    <row r="329" customFormat="false" ht="12.75" hidden="false" customHeight="false" outlineLevel="0" collapsed="false">
      <c r="C329" s="71"/>
    </row>
    <row r="330" customFormat="false" ht="12.75" hidden="false" customHeight="false" outlineLevel="0" collapsed="false">
      <c r="C330" s="71"/>
    </row>
    <row r="331" customFormat="false" ht="12.75" hidden="false" customHeight="false" outlineLevel="0" collapsed="false">
      <c r="C331" s="71"/>
    </row>
    <row r="332" customFormat="false" ht="12.75" hidden="false" customHeight="false" outlineLevel="0" collapsed="false">
      <c r="C332" s="71"/>
    </row>
    <row r="333" customFormat="false" ht="12.75" hidden="false" customHeight="false" outlineLevel="0" collapsed="false">
      <c r="C333" s="71"/>
    </row>
    <row r="334" customFormat="false" ht="12.75" hidden="false" customHeight="false" outlineLevel="0" collapsed="false">
      <c r="C334" s="71"/>
    </row>
    <row r="335" customFormat="false" ht="12.75" hidden="false" customHeight="false" outlineLevel="0" collapsed="false">
      <c r="C335" s="71"/>
    </row>
    <row r="336" customFormat="false" ht="12.75" hidden="false" customHeight="false" outlineLevel="0" collapsed="false">
      <c r="C336" s="71"/>
    </row>
    <row r="337" customFormat="false" ht="12.75" hidden="false" customHeight="false" outlineLevel="0" collapsed="false">
      <c r="C337" s="71"/>
    </row>
    <row r="338" customFormat="false" ht="12.75" hidden="false" customHeight="false" outlineLevel="0" collapsed="false">
      <c r="C338" s="71"/>
    </row>
    <row r="339" customFormat="false" ht="12.75" hidden="false" customHeight="false" outlineLevel="0" collapsed="false">
      <c r="C339" s="71"/>
    </row>
    <row r="340" customFormat="false" ht="12.75" hidden="false" customHeight="false" outlineLevel="0" collapsed="false">
      <c r="C340" s="71"/>
    </row>
    <row r="341" customFormat="false" ht="12.75" hidden="false" customHeight="false" outlineLevel="0" collapsed="false">
      <c r="C341" s="71"/>
    </row>
    <row r="342" customFormat="false" ht="12.75" hidden="false" customHeight="false" outlineLevel="0" collapsed="false">
      <c r="C342" s="71"/>
    </row>
    <row r="343" customFormat="false" ht="12.75" hidden="false" customHeight="false" outlineLevel="0" collapsed="false">
      <c r="C343" s="71"/>
    </row>
    <row r="344" customFormat="false" ht="12.75" hidden="false" customHeight="false" outlineLevel="0" collapsed="false">
      <c r="C344" s="71"/>
    </row>
    <row r="345" customFormat="false" ht="12.75" hidden="false" customHeight="false" outlineLevel="0" collapsed="false">
      <c r="C345" s="71"/>
    </row>
    <row r="346" customFormat="false" ht="12.75" hidden="false" customHeight="false" outlineLevel="0" collapsed="false">
      <c r="C346" s="71"/>
    </row>
    <row r="347" customFormat="false" ht="12.75" hidden="false" customHeight="false" outlineLevel="0" collapsed="false">
      <c r="C347" s="71"/>
    </row>
    <row r="348" customFormat="false" ht="12.75" hidden="false" customHeight="false" outlineLevel="0" collapsed="false">
      <c r="C348" s="71"/>
    </row>
    <row r="349" customFormat="false" ht="12.75" hidden="false" customHeight="false" outlineLevel="0" collapsed="false">
      <c r="C349" s="71"/>
    </row>
    <row r="350" customFormat="false" ht="12.75" hidden="false" customHeight="false" outlineLevel="0" collapsed="false">
      <c r="C350" s="71"/>
    </row>
    <row r="351" customFormat="false" ht="12.75" hidden="false" customHeight="false" outlineLevel="0" collapsed="false">
      <c r="C351" s="71"/>
    </row>
  </sheetData>
  <printOptions headings="false" gridLines="false" gridLinesSet="true" horizontalCentered="false" verticalCentered="false"/>
  <pageMargins left="0.370138888888889" right="0.259722222222222" top="0.490277777777778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2001-07-24T16:20:42Z</dcterms:created>
  <dc:creator>James Centilli</dc:creator>
  <dc:description/>
  <dc:language>en-US</dc:language>
  <cp:lastModifiedBy>blichte</cp:lastModifiedBy>
  <cp:lastPrinted>2001-08-22T11:59:53Z</cp:lastPrinted>
  <dcterms:modified xsi:type="dcterms:W3CDTF">2001-09-26T14:35:35Z</dcterms:modified>
  <cp:revision>0</cp:revision>
  <dc:subject/>
  <dc:title/>
</cp:coreProperties>
</file>