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CKUP" sheetId="1" state="visible" r:id="rId3"/>
    <sheet name="BALSHEET" sheetId="2" state="visible" r:id="rId4"/>
    <sheet name="CASHFLOW" sheetId="3" state="visible" r:id="rId5"/>
    <sheet name="PrintMacro" sheetId="4" state="hidden" r:id="rId6"/>
  </sheets>
  <definedNames>
    <definedName function="false" hidden="false" localSheetId="0" name="_xlnm.Print_Area" vbProcedure="false">BACKUP!$A$439:$R$488,BACKUP!$BA$55:$BO$95,BACKUP!$AA$183:$AQ$242</definedName>
    <definedName function="false" hidden="false" localSheetId="0" name="_xlnm.Print_Titles" vbProcedure="false">BACKUP!$1:$9</definedName>
    <definedName function="false" hidden="false" name="ASSET1" vbProcedure="false">BACKUP!$A$10:$R$70</definedName>
    <definedName function="false" hidden="false" name="ASSET2" vbProcedure="false">BACKUP!$A$72:$R$127</definedName>
    <definedName function="false" hidden="false" name="ASSET3" vbProcedure="false">BACKUP!$A$128:$R$180</definedName>
    <definedName function="false" hidden="false" name="ASSET4" vbProcedure="false">BACKUP!$A$182:$R$230</definedName>
    <definedName function="false" hidden="false" name="ASSET5" vbProcedure="false">BACKUP!$A$231:$R$253</definedName>
    <definedName function="false" hidden="false" name="COMPARE" vbProcedure="false">CASHFLOW!$AA$1:$AQ$60</definedName>
    <definedName function="false" hidden="false" name="CORPBS" vbProcedure="false">BALSHEET!$A$154:$P$208</definedName>
    <definedName function="false" hidden="false" name="CORPBS93" vbProcedure="false">BALSHEET!$AA$154:$AP$208</definedName>
    <definedName function="false" hidden="false" name="CORPCASH" vbProcedure="false">CASHFLOW!$A$62:$V$116</definedName>
    <definedName function="false" hidden="false" name="CORPSUM" vbProcedure="false">CASHFLOW!$AA$62:$AQ$116</definedName>
    <definedName function="false" hidden="false" name="FUNDSMO" vbProcedure="false">CASHFLOW!$A$118:$V$181</definedName>
    <definedName function="false" hidden="false" name="FUNDSUM" vbProcedure="false">CASHFLOW!$AA$118:$AQ$181</definedName>
    <definedName function="false" hidden="false" name="LIAB1" vbProcedure="false">BACKUP!$A$256:$R$313</definedName>
    <definedName function="false" hidden="false" name="LIAB2" vbProcedure="false">BACKUP!$A$314:$R$375</definedName>
    <definedName function="false" hidden="false" name="LIAB3" vbProcedure="false">BACKUP!$A$377:$R$437</definedName>
    <definedName function="false" hidden="false" name="LIAB4" vbProcedure="false">BACKUP!$A$439:$R$488</definedName>
    <definedName function="false" hidden="false" name="MOASSET" vbProcedure="false">BALSHEET!$A$11:$O$53</definedName>
    <definedName function="false" hidden="false" name="MOLIAB" vbProcedure="false">BALSHEET!$A$55:$O$96</definedName>
    <definedName function="false" hidden="false" name="OTHERMO" vbProcedure="false">CASHFLOW!$A$183:$V$242</definedName>
    <definedName function="false" hidden="false" name="OTHERSUM" vbProcedure="false">CASHFLOW!$AA$183:$AQ$242</definedName>
    <definedName function="false" hidden="false" name="PAGE1" vbProcedure="false">CASHFLOW!$A$253:$U$288</definedName>
    <definedName function="false" hidden="false" name="PAGE2" vbProcedure="false">CASHFLOW!$A$290:$U$342</definedName>
    <definedName function="false" hidden="false" name="PRINT" vbProcedure="false">CASHFLOW!$A$1:$V$60</definedName>
    <definedName function="false" hidden="false" name="RONASSET" vbProcedure="false">BALSHEET!$AA$11:$AQ$50</definedName>
    <definedName function="false" hidden="false" name="RONCEMO" vbProcedure="false">BALSHEET!$A$99:$P$152</definedName>
    <definedName function="false" hidden="false" name="RONCEMO93" vbProcedure="false">BALSHEET!$AA$99:$AP$152</definedName>
    <definedName function="false" hidden="false" name="RONLIAB" vbProcedure="false">BALSHEET!$AA$55:$AQ$93</definedName>
    <definedName function="false" hidden="false" name="TITLE1" vbProcedure="false">BALSHEET!$A$1:$O$10</definedName>
    <definedName function="false" hidden="false" name="TITLE2" vbProcedure="false">BALSHEET!$AA$1:$AO$10</definedName>
    <definedName function="false" hidden="false" name="VARCE" vbProcedure="false">CASHFLOW!$A$417:$P$488</definedName>
    <definedName function="false" hidden="false" name="VARPLAN" vbProcedure="false">CASHFLOW!$A$344:$P$415</definedName>
    <definedName function="false" hidden="false" name="\L" vbProcedure="false">CASHFLOW!$C$491:$E$492</definedName>
    <definedName function="false" hidden="false" name="\P" vbProcedure="false">BALSHEET!$D$229:$F$230</definedName>
    <definedName function="false" hidden="false" name="\R" vbProcedure="false">BALSHEET!$D$235:$F$236</definedName>
    <definedName function="false" hidden="false" name="_93ASSET" vbProcedure="false">BALSHEET!$AA$11:$AO$53</definedName>
    <definedName function="false" hidden="false" name="_93LIAB" vbProcedure="false">BALSHEET!$AA$55:$AO$96</definedName>
    <definedName function="false" hidden="false" localSheetId="0" name="Excel_BuiltIn_Print_Area" vbProcedure="false">BACKUP!$A$439:$R$488</definedName>
    <definedName function="false" hidden="false" localSheetId="0" name="Print_Titles_MI" vbProcedure="false">BACKUP!$1:$9</definedName>
    <definedName function="false" hidden="false" localSheetId="0" name="TITLE1" vbProcedure="false">BACKUP!$A$1:$R$9</definedName>
    <definedName function="false" hidden="false" localSheetId="0" name="\P" vbProcedure="false">BACKUP!$D$492:$F$500</definedName>
    <definedName function="false" hidden="false" localSheetId="1" name="Excel_BuiltIn_Print_Area" vbProcedure="false">BALSHEET!$BA$55:$BO$95</definedName>
    <definedName function="false" hidden="false" localSheetId="1" name="Excel_BuiltIn_Print_Titles" vbProcedure="false">BALSHEET!$1:$10</definedName>
    <definedName function="false" hidden="false" localSheetId="1" name="Print_Titles_MI" vbProcedure="false">BALSHEET!$1:$10</definedName>
    <definedName function="false" hidden="false" localSheetId="2" name="Excel_BuiltIn_Print_Area" vbProcedure="false">CASHFLOW!$AA$183:$AQ$242</definedName>
    <definedName function="false" hidden="false" localSheetId="2" name="TITLE1" vbProcedure="false">CASHFLOW!$A$244:$U$252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<sst xmlns="http://schemas.openxmlformats.org/spreadsheetml/2006/main" count="1070" uniqueCount="600">
  <si>
    <t xml:space="preserve">TRANSWESTERN PIPELINE GROUP (Including Co. 92)</t>
  </si>
  <si>
    <t xml:space="preserve">BACKUP FOR BALANCE SHEET AND CASH FLOW STATEMENT</t>
  </si>
  <si>
    <t xml:space="preserve">2001 ACTUAL / ESTIMATE</t>
  </si>
  <si>
    <t xml:space="preserve">(Thousands of Dollars)</t>
  </si>
  <si>
    <t xml:space="preserve">ACTUAL</t>
  </si>
  <si>
    <t xml:space="preserve">PRE</t>
  </si>
  <si>
    <t xml:space="preserve">BALANCE </t>
  </si>
  <si>
    <t xml:space="preserve">ACT.</t>
  </si>
  <si>
    <t xml:space="preserve">3rd CE</t>
  </si>
  <si>
    <t xml:space="preserve">TOTAL</t>
  </si>
  <si>
    <t xml:space="preserve">JULY</t>
  </si>
  <si>
    <t xml:space="preserve">ESTIMATED</t>
  </si>
  <si>
    <t xml:space="preserve">12/31/00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</si>
  <si>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</si>
  <si>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</si>
  <si>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</si>
  <si>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</si>
  <si>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</si>
  <si>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</si>
  <si>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</si>
  <si>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</si>
  <si>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</si>
  <si>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</si>
  <si>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</si>
  <si>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</si>
  <si>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Y-T-D</t>
  </si>
  <si>
    <t xml:space="preserve">R.M.</t>
  </si>
  <si>
    <t xml:space="preserve">Cash / Temporary Cash Investments - Beg. Bal.</t>
  </si>
  <si>
    <t xml:space="preserve">   Actual / Estimate Adjustment</t>
  </si>
  <si>
    <t xml:space="preserve">Cash / Temporary Cash Investments - End. Bal.</t>
  </si>
  <si>
    <t xml:space="preserve">      Change</t>
  </si>
  <si>
    <t xml:space="preserve">Accounts Receivable - Beg. Balance</t>
  </si>
  <si>
    <t xml:space="preserve">   Previous Month Subtotal</t>
  </si>
  <si>
    <t xml:space="preserve">   Fuel Sales (Assumed Net Over Retainage)</t>
  </si>
  <si>
    <t xml:space="preserve">(L)</t>
  </si>
  <si>
    <t xml:space="preserve">   Transportion Revenue </t>
  </si>
  <si>
    <t xml:space="preserve">   ET&amp;S "Stretch" Revenue</t>
  </si>
  <si>
    <t xml:space="preserve">   Other Revenue</t>
  </si>
  <si>
    <t xml:space="preserve">   Rate Case Impact (Higher Rates)</t>
  </si>
  <si>
    <t xml:space="preserve">      Subtotal - Revenue</t>
  </si>
  <si>
    <t xml:space="preserve">   Other</t>
  </si>
  <si>
    <t xml:space="preserve">   Assigned receivables Sale (Reclass to A/P 3/01)</t>
  </si>
  <si>
    <t xml:space="preserve">Accounts Receivable - End. Balance</t>
  </si>
  <si>
    <t xml:space="preserve">Asset Price Risk Management (Current) - Beg. Balance</t>
  </si>
  <si>
    <t xml:space="preserve">   Other Speculative (Reclass from NonCur. 4/01)</t>
  </si>
  <si>
    <t xml:space="preserve">Asset Price Risk Management (Current) - End. Balance</t>
  </si>
  <si>
    <t xml:space="preserve">Prepayments - Beg. Balance</t>
  </si>
  <si>
    <t xml:space="preserve">   DOT Users Fees - 2001(Expensed in 2000)</t>
  </si>
  <si>
    <t xml:space="preserve">         - 2002</t>
  </si>
  <si>
    <t xml:space="preserve">   Gas Purchases</t>
  </si>
  <si>
    <t xml:space="preserve">Prepayments - End. Balance</t>
  </si>
  <si>
    <t xml:space="preserve">Materials &amp; Supplies - Beg. Balance</t>
  </si>
  <si>
    <t xml:space="preserve">Materials &amp; Supplies - End. Balance</t>
  </si>
  <si>
    <t xml:space="preserve">Exchange Gas Receivable - Beg. Balance</t>
  </si>
  <si>
    <t xml:space="preserve">Exchange Gas Receivable - End. Balance</t>
  </si>
  <si>
    <t xml:space="preserve">Regulatory Assets (Current) - Beg. Balance.</t>
  </si>
  <si>
    <t xml:space="preserve">   Accumulated Reserve Adjustment (Refunction.)</t>
  </si>
  <si>
    <t xml:space="preserve">   AFUDC Gross-Up </t>
  </si>
  <si>
    <t xml:space="preserve">   South Georgia</t>
  </si>
  <si>
    <t xml:space="preserve">   Unamortized Debt Expense.</t>
  </si>
  <si>
    <t xml:space="preserve">   Rate Case Costs (Reg Com. Exp.)</t>
  </si>
  <si>
    <t xml:space="preserve">   ACA - Payments</t>
  </si>
  <si>
    <t xml:space="preserve">           - Amortization</t>
  </si>
  <si>
    <t xml:space="preserve">   PGAR </t>
  </si>
  <si>
    <t xml:space="preserve">   Severance &amp; Relocation</t>
  </si>
  <si>
    <t xml:space="preserve">   TCR 2 </t>
  </si>
  <si>
    <t xml:space="preserve">      TCR Preferred Interest</t>
  </si>
  <si>
    <t xml:space="preserve">   Santa Fe</t>
  </si>
  <si>
    <t xml:space="preserve">   Pipe Recoating</t>
  </si>
  <si>
    <t xml:space="preserve">   Mini Settle. (Reclass from Reg Assets) - Sunrise</t>
  </si>
  <si>
    <t xml:space="preserve">                    - Uncollectible A/R</t>
  </si>
  <si>
    <t xml:space="preserve">                    - FERC Audit Adjustment</t>
  </si>
  <si>
    <t xml:space="preserve">                    - TCR C</t>
  </si>
  <si>
    <t xml:space="preserve">                    - PGAR</t>
  </si>
  <si>
    <t xml:space="preserve">                    - Monsanto</t>
  </si>
  <si>
    <t xml:space="preserve">                    - JJCC</t>
  </si>
  <si>
    <t xml:space="preserve">                    - Extraordinary Environmental Costs</t>
  </si>
  <si>
    <t xml:space="preserve">Regulatory Assets (Current) - End. Balance.</t>
  </si>
  <si>
    <t xml:space="preserve">Other Current Assets - Beg. Balance</t>
  </si>
  <si>
    <t xml:space="preserve">   System Balancing Gas </t>
  </si>
  <si>
    <t xml:space="preserve">   Variable Pay Accrual</t>
  </si>
  <si>
    <t xml:space="preserve">Other Current Assets - End. Balance</t>
  </si>
  <si>
    <t xml:space="preserve">Pipeline Partnerships - Beg. Balance</t>
  </si>
  <si>
    <t xml:space="preserve">   Partnership Income / Loss</t>
  </si>
  <si>
    <t xml:space="preserve">   Partnership Distribution</t>
  </si>
  <si>
    <t xml:space="preserve">Pipeline Partnerships - End. Balance</t>
  </si>
  <si>
    <t xml:space="preserve">Investments &amp; Other Assets - Beg. Balance</t>
  </si>
  <si>
    <t xml:space="preserve">Investments &amp; Other Assets - End. Balance</t>
  </si>
  <si>
    <t xml:space="preserve">Plant - Beg. Balance</t>
  </si>
  <si>
    <t xml:space="preserve">   Capital Expend. (Rudy) - Additions to Property</t>
  </si>
  <si>
    <t xml:space="preserve">         - Other CAPEX (Gas Reclass to Finished Plant)</t>
  </si>
  <si>
    <t xml:space="preserve">         - Yr. End Accrual Activity / Add. O&amp;M Capitalization</t>
  </si>
  <si>
    <t xml:space="preserve">         - Laguna (Nov.) &amp; Navajo (May) ROW Settlements</t>
  </si>
  <si>
    <t xml:space="preserve">   AFUDC</t>
  </si>
  <si>
    <t xml:space="preserve">   Asset Sales - Net Plant (KN Energy #1)</t>
  </si>
  <si>
    <t xml:space="preserve">                      - Net Plant (KN Energy #2)</t>
  </si>
  <si>
    <t xml:space="preserve">   Plant / Reserve Adjustments</t>
  </si>
  <si>
    <t xml:space="preserve">   Linepack Revaluation vs. Other CAPEX (3/98 Forward)</t>
  </si>
  <si>
    <r>
      <rPr>
        <sz val="10"/>
        <rFont val="Arial"/>
        <family val="2"/>
      </rPr>
      <t xml:space="preserve">   Retirements at Cost </t>
    </r>
    <r>
      <rPr>
        <sz val="10"/>
        <color rgb="FFFF0000"/>
        <rFont val="Arial"/>
        <family val="2"/>
      </rPr>
      <t xml:space="preserve">(Was 12/00 Compressors)</t>
    </r>
  </si>
  <si>
    <t xml:space="preserve">Plant - End. Balance</t>
  </si>
  <si>
    <t xml:space="preserve">Accumulated Depreciation - Beg. Balance</t>
  </si>
  <si>
    <t xml:space="preserve">   Depreciation Expense</t>
  </si>
  <si>
    <t xml:space="preserve">   Plant Amortization</t>
  </si>
  <si>
    <t xml:space="preserve">   Removals </t>
  </si>
  <si>
    <t xml:space="preserve">   Salvage </t>
  </si>
  <si>
    <t xml:space="preserve">   Rate Case Adjustment</t>
  </si>
  <si>
    <t xml:space="preserve">   Pipe Recoating / Accumulated Reserve Adjustment</t>
  </si>
  <si>
    <t xml:space="preserve">   Asset Sales </t>
  </si>
  <si>
    <t xml:space="preserve">   Retirement of Reserves / Non-Utility Depreciation</t>
  </si>
  <si>
    <t xml:space="preserve">Accumulated Depreciation - End. Balance</t>
  </si>
  <si>
    <t xml:space="preserve">Deferred Contract Reform. Costs (NonCur.) - Beg. Balance</t>
  </si>
  <si>
    <t xml:space="preserve">Deferred Contract Reform. Costs (NonCur.) - End. Balance</t>
  </si>
  <si>
    <t xml:space="preserve">Asset Price Risk Management (Noncurrent) - Beg. Balance</t>
  </si>
  <si>
    <t xml:space="preserve">   Other Comprehensive Income</t>
  </si>
  <si>
    <t xml:space="preserve">   Other Speculative (Reclass to Current 4/01)</t>
  </si>
  <si>
    <t xml:space="preserve">Asset Price Risk Management (Noncurrent) - End. Balance</t>
  </si>
  <si>
    <t xml:space="preserve">MONTHLY</t>
  </si>
  <si>
    <t xml:space="preserve">Regulatory Assets (Noncurrent) - Beg. Balance</t>
  </si>
  <si>
    <t xml:space="preserve">END. BAL.</t>
  </si>
  <si>
    <t xml:space="preserve">   Accumulated Reserve Adjust. (Refunction.) - Principal / Other</t>
  </si>
  <si>
    <t xml:space="preserve">          - Amortization</t>
  </si>
  <si>
    <t xml:space="preserve">   AFUDC - Gross-Up </t>
  </si>
  <si>
    <t xml:space="preserve">   South Georgia - Principal / Other</t>
  </si>
  <si>
    <t xml:space="preserve">   Sunrise - Principal / Other</t>
  </si>
  <si>
    <t xml:space="preserve">   Uncollectible A/R - Principal / Other (Reclass from Cur. 7/01)</t>
  </si>
  <si>
    <t xml:space="preserve">   FERC Audit Adjustment - Principal / Other</t>
  </si>
  <si>
    <t xml:space="preserve">   TCR C - Principal / Other</t>
  </si>
  <si>
    <t xml:space="preserve">   PGAR - Principal / Other</t>
  </si>
  <si>
    <t xml:space="preserve">   Monsanto Litigation - Principal / Other</t>
  </si>
  <si>
    <t xml:space="preserve">   JJCC Litigation - Principal / Other</t>
  </si>
  <si>
    <t xml:space="preserve">   Extraordinary Environmental - Principal / Other</t>
  </si>
  <si>
    <t xml:space="preserve">   Pipe Recoating - Principal / Other</t>
  </si>
  <si>
    <t xml:space="preserve">                          - Amortization (Reg. Amort.)</t>
  </si>
  <si>
    <t xml:space="preserve">   Regulatory Commission Expense (Reg. Amort.)</t>
  </si>
  <si>
    <t xml:space="preserve">          - Reclass to Current (5/99)</t>
  </si>
  <si>
    <t xml:space="preserve">   Y2K Costs Deferrals (Reclass from Def. Charges 7/00)</t>
  </si>
  <si>
    <t xml:space="preserve">   TCR 2 - Other Costs </t>
  </si>
  <si>
    <t xml:space="preserve">             - Amortization</t>
  </si>
  <si>
    <t xml:space="preserve">   TCR Interest - Principal</t>
  </si>
  <si>
    <t xml:space="preserve">                   - Surcharge Tracker</t>
  </si>
  <si>
    <t xml:space="preserve">   Severance / Relocation - Principal</t>
  </si>
  <si>
    <t xml:space="preserve">      Funds Flow Management (Final Plan)</t>
  </si>
  <si>
    <t xml:space="preserve">      Funds Flow Management (2nd CE)</t>
  </si>
  <si>
    <t xml:space="preserve">      Funds Flow Management (3rd Qtr. Forecast)</t>
  </si>
  <si>
    <t xml:space="preserve">Regulatory Assets (Noncurrent) - End. Balance</t>
  </si>
  <si>
    <t xml:space="preserve">Deferred Charges - Beg. Balance</t>
  </si>
  <si>
    <t xml:space="preserve">   Amortized Loss on Reacquired Debt</t>
  </si>
  <si>
    <t xml:space="preserve">   Non Construc.WIP (Incl. Temp. Holding) - Normal</t>
  </si>
  <si>
    <t xml:space="preserve">          - Y2K Cost Deferrals (Reclass to Reg. Assets 7/00)</t>
  </si>
  <si>
    <t xml:space="preserve">          - Navajo ROW</t>
  </si>
  <si>
    <t xml:space="preserve">   Unamortized Debt Expense</t>
  </si>
  <si>
    <t xml:space="preserve">   Operation Information Costs</t>
  </si>
  <si>
    <t xml:space="preserve">   Santa Fe Amortization</t>
  </si>
  <si>
    <t xml:space="preserve">   Unidentified "Stretch" (Non Cash)</t>
  </si>
  <si>
    <t xml:space="preserve">   Quarterly Actual vs. Flash Variance (Hyperion Adjust.)</t>
  </si>
  <si>
    <t xml:space="preserve">Deferred Charges - End. Balance</t>
  </si>
  <si>
    <t xml:space="preserve">TOTAL ASSETS</t>
  </si>
  <si>
    <t xml:space="preserve">      Net Change</t>
  </si>
  <si>
    <t xml:space="preserve">Accounts Payable (Assoc. / Other) - Beg. Bal.</t>
  </si>
  <si>
    <t xml:space="preserve">   Gas Purchased &amp; Produced</t>
  </si>
  <si>
    <t xml:space="preserve">(UL)</t>
  </si>
  <si>
    <t xml:space="preserve">   Liquids Fuel &amp; Shrinkage </t>
  </si>
  <si>
    <t xml:space="preserve">   Transport Fuel &amp; Shrinkage </t>
  </si>
  <si>
    <t xml:space="preserve">   Miscellaneous</t>
  </si>
  <si>
    <t xml:space="preserve">      Subtotal</t>
  </si>
  <si>
    <t xml:space="preserve">   Year End Accrual</t>
  </si>
  <si>
    <t xml:space="preserve">   Assigned receivables Sale (Reclass From A/R 3/01)</t>
  </si>
  <si>
    <t xml:space="preserve">   Associated Companies (Interco.)</t>
  </si>
  <si>
    <t xml:space="preserve">   Long Term Debt (Current $27.0 - $3.850 Due 11/1 Each Year)</t>
  </si>
  <si>
    <t xml:space="preserve">Accounts Payable (Assoc. / Other) - End. Bal.</t>
  </si>
  <si>
    <t xml:space="preserve">Accounts Payable (Corporate &amp; CAFCO) - Beg. Bal.</t>
  </si>
  <si>
    <t xml:space="preserve">   Corporate Payable (Acct. 1460)</t>
  </si>
  <si>
    <t xml:space="preserve">   CAFCO Payable (Acct. 1420)</t>
  </si>
  <si>
    <t xml:space="preserve">(O)</t>
  </si>
  <si>
    <t xml:space="preserve">   Actual / Estimate Adjustment (CAFCO ?)</t>
  </si>
  <si>
    <t xml:space="preserve">Accounts Payable (Corporate &amp; CAFCO) - End. Bal.</t>
  </si>
  <si>
    <t xml:space="preserve">Accounts Payable (Other) - Beg. Bal.</t>
  </si>
  <si>
    <t xml:space="preserve">   Current Month Activity   </t>
  </si>
  <si>
    <t xml:space="preserve">   Actual / Estimate Adjustment </t>
  </si>
  <si>
    <t xml:space="preserve">Accounts Payable (Other) - End. Bal.</t>
  </si>
  <si>
    <t xml:space="preserve">Liability Price Risk Management (Current)- Beg. Balance</t>
  </si>
  <si>
    <t xml:space="preserve">   Other Comprehensive Loss (Reclass from NonCurrent 4/01)</t>
  </si>
  <si>
    <t xml:space="preserve">   Other Compre. Loss (Reclass from NonCurrent Assets 6/01)</t>
  </si>
  <si>
    <t xml:space="preserve">Exchange Gas Payable - Beg. Balance</t>
  </si>
  <si>
    <t xml:space="preserve">Exchange Gas Payable - End. Balance</t>
  </si>
  <si>
    <t xml:space="preserve">Accrued Taxes - Beg. Balance</t>
  </si>
  <si>
    <t xml:space="preserve">   Taxes Other than Income</t>
  </si>
  <si>
    <t xml:space="preserve">   Property Tax Payments  (Acct. 2360-200)</t>
  </si>
  <si>
    <t xml:space="preserve">   Misc. Tax. Pay. (Acct. 2360-100/300/999 &amp; 2410-100)</t>
  </si>
  <si>
    <t xml:space="preserve">   Payroll Tax Payments</t>
  </si>
  <si>
    <t xml:space="preserve">      Net Adjustments</t>
  </si>
  <si>
    <t xml:space="preserve">   Income Tax (w/o Capital Cost) Exp.  (Per P/L)</t>
  </si>
  <si>
    <t xml:space="preserve">   Current Payable</t>
  </si>
  <si>
    <t xml:space="preserve">   Tax Payment  (Input Actual)</t>
  </si>
  <si>
    <t xml:space="preserve">      Accrual Amount</t>
  </si>
  <si>
    <t xml:space="preserve">   Total Changes</t>
  </si>
  <si>
    <t xml:space="preserve">   Previous Month Balance - YTD</t>
  </si>
  <si>
    <t xml:space="preserve">Accrued Taxes - End. Balance</t>
  </si>
  <si>
    <t xml:space="preserve">Deferred Taxes (Current) - Beg. Balance</t>
  </si>
  <si>
    <t xml:space="preserve">   Current Month Activity (Earnings Model Def. Taxes)</t>
  </si>
  <si>
    <t xml:space="preserve">   Tax Department Adjustment</t>
  </si>
  <si>
    <t xml:space="preserve">Deferred Taxes (Current) - End. Balance</t>
  </si>
  <si>
    <t xml:space="preserve">Deferred Taxes (Noncurrent) - Beg. Balance</t>
  </si>
  <si>
    <t xml:space="preserve">   Price Risk Liab. (1/01-3/01 $14.0 MM) Tax Adj. 3/01 Forward</t>
  </si>
  <si>
    <t xml:space="preserve">Deferred Taxes (Noncurrent) - End. Balance</t>
  </si>
  <si>
    <t xml:space="preserve">Accrued Interest - Beg. Balance</t>
  </si>
  <si>
    <t xml:space="preserve">   Long-Term Debt  (External &amp; Internal (4/1/01) Forward)</t>
  </si>
  <si>
    <t xml:space="preserve">   Interest Payments on Long Term Debt</t>
  </si>
  <si>
    <t xml:space="preserve">Accrued Interest - End. Balance</t>
  </si>
  <si>
    <t xml:space="preserve">Other Current Liabilities - Beg. Balance</t>
  </si>
  <si>
    <t xml:space="preserve">   Reserve Issues - Other</t>
  </si>
  <si>
    <t xml:space="preserve">        - Deferred Interest Income (Starting in 1997)</t>
  </si>
  <si>
    <t xml:space="preserve">        - Other (Earning Management)</t>
  </si>
  <si>
    <t xml:space="preserve">        - Negotiated Rates / SoCal Issue </t>
  </si>
  <si>
    <t xml:space="preserve">        - Misc. (2/01 Grynberg Legal, 3/01 Fuel Issue)</t>
  </si>
  <si>
    <t xml:space="preserve">   Net Payroll Clearing / Bonuses</t>
  </si>
  <si>
    <t xml:space="preserve">   Variable Pay (Reclass 3/99) / Bonus / PBA Accrual ???</t>
  </si>
  <si>
    <t xml:space="preserve">   Earnest Money</t>
  </si>
  <si>
    <t xml:space="preserve">   Other </t>
  </si>
  <si>
    <t xml:space="preserve">   Unclaimed Vouchers</t>
  </si>
  <si>
    <t xml:space="preserve">Other Current Liabilities - End. Balance</t>
  </si>
  <si>
    <t xml:space="preserve">Regulatory Liabilities (Current) - Beg. Balance</t>
  </si>
  <si>
    <t xml:space="preserve">Regulatory Liabilities (Noncurrent) - Beg. Balance</t>
  </si>
  <si>
    <t xml:space="preserve">Regulatory Liabilities (Noncurrent) - End. Balance</t>
  </si>
  <si>
    <t xml:space="preserve">Other Deferred Credits - Beg. Balance</t>
  </si>
  <si>
    <t xml:space="preserve">   Unamortized Gain on Reacquired Debt</t>
  </si>
  <si>
    <t xml:space="preserve">   PG&amp;E ($430) and UAF ($244) Accruals</t>
  </si>
  <si>
    <t xml:space="preserve">   Provision for Rate Refund</t>
  </si>
  <si>
    <t xml:space="preserve">   Misc. (Acct. 2530-999-9999)</t>
  </si>
  <si>
    <t xml:space="preserve">   Gallup Issue</t>
  </si>
  <si>
    <t xml:space="preserve">Other Deferred Credits - End. Balance</t>
  </si>
  <si>
    <t xml:space="preserve">Liability Price Risk Management (Noncurrent)- Beg. Balance</t>
  </si>
  <si>
    <t xml:space="preserve">   Other Comprehensive Loss</t>
  </si>
  <si>
    <t xml:space="preserve">      Reclass to Current (4/01)</t>
  </si>
  <si>
    <t xml:space="preserve">Liability Price Risk Management (Noncurrent)- End. Balance</t>
  </si>
  <si>
    <t xml:space="preserve">Payable / (Receivable) From Corporate - Beg. Balance</t>
  </si>
  <si>
    <t xml:space="preserve">   Increase / (Decrease) in Intercompany Cash</t>
  </si>
  <si>
    <t xml:space="preserve">   Payable / Receivable - Enron Corporate Payable</t>
  </si>
  <si>
    <t xml:space="preserve">                                  - Enron Corporate CAFCO</t>
  </si>
  <si>
    <t xml:space="preserve">   Dividends to Corporate</t>
  </si>
  <si>
    <t xml:space="preserve">   Debt Discount Component</t>
  </si>
  <si>
    <t xml:space="preserve">   Corporate Beginning Balance Adjustment</t>
  </si>
  <si>
    <t xml:space="preserve">Payable / (Receivable) From Corporate - End. Balance</t>
  </si>
  <si>
    <t xml:space="preserve">Long Term Debt - Beg. Balance</t>
  </si>
  <si>
    <t xml:space="preserve">   Principal - Internal</t>
  </si>
  <si>
    <t xml:space="preserve">                - $150.0 MM @ 7.40% Due 4/1/01 (Corp.)</t>
  </si>
  <si>
    <t xml:space="preserve">                - $23.0 MM @ 9.10% Due 5/1/00</t>
  </si>
  <si>
    <t xml:space="preserve">                - $27.0 MM (Less Current Portion) @ 9.20%</t>
  </si>
  <si>
    <t xml:space="preserve">   Debt Discount</t>
  </si>
  <si>
    <t xml:space="preserve">Long Term Debt - End. Balance</t>
  </si>
  <si>
    <t xml:space="preserve">Capitalization - Beg. Balance</t>
  </si>
  <si>
    <t xml:space="preserve">   Net Income Before Capital Costs-w/o Asset Sales</t>
  </si>
  <si>
    <t xml:space="preserve">         - Net Gain / (Loss) on Asset Sales (External)</t>
  </si>
  <si>
    <t xml:space="preserve">         - Net Gain / (Loss) on Asset Sales (Assoc. Co.)</t>
  </si>
  <si>
    <t xml:space="preserve">   FASB 133 - Comprehensive Income / (Loss)</t>
  </si>
  <si>
    <t xml:space="preserve">                   - Tax Adjustment (1/01-4/01)</t>
  </si>
  <si>
    <t xml:space="preserve">Capitalization - End. Balance</t>
  </si>
  <si>
    <t xml:space="preserve">TOTAL LIABILITIES &amp; STOCKHOLDERS EQUITY</t>
  </si>
  <si>
    <t xml:space="preserve">Check # - Cumulative</t>
  </si>
  <si>
    <t xml:space="preserve">             - Current Month</t>
  </si>
  <si>
    <t xml:space="preserve">\P</t>
  </si>
  <si>
    <t xml:space="preserve">:PlbtTITLE1~qqrsASSET1~g</t>
  </si>
  <si>
    <t xml:space="preserve">:PrsASSET2~g</t>
  </si>
  <si>
    <t xml:space="preserve">:PrsASSET3~g</t>
  </si>
  <si>
    <t xml:space="preserve">:PrsASSET4~g</t>
  </si>
  <si>
    <t xml:space="preserve">:PrsASSET5~g</t>
  </si>
  <si>
    <t xml:space="preserve">:PrsLIAB1~g</t>
  </si>
  <si>
    <t xml:space="preserve">:PrsLIAB2~g</t>
  </si>
  <si>
    <t xml:space="preserve">:PrsLIAB3~g</t>
  </si>
  <si>
    <t xml:space="preserve">:PrsLIAB4~g</t>
  </si>
  <si>
    <t xml:space="preserve">FAIR VALUE COMPANY (Co. 92)</t>
  </si>
  <si>
    <t xml:space="preserve">TRANSWESTERN PIPELINE COMPANY </t>
  </si>
  <si>
    <t xml:space="preserve">BALANCE SHEET</t>
  </si>
  <si>
    <t xml:space="preserve">PRINT: </t>
  </si>
  <si>
    <t xml:space="preserve">CURRENT ASSETS</t>
  </si>
  <si>
    <t xml:space="preserve">1</t>
  </si>
  <si>
    <t xml:space="preserve">   Cash &amp; Temporary Cash Investments</t>
  </si>
  <si>
    <t xml:space="preserve">2</t>
  </si>
  <si>
    <t xml:space="preserve">   Accounts Receivable</t>
  </si>
  <si>
    <t xml:space="preserve">I</t>
  </si>
  <si>
    <t xml:space="preserve">   Enron Corporate - Receivable (Acct. 1466)</t>
  </si>
  <si>
    <t xml:space="preserve">                           - Payable (Acct. 1460)</t>
  </si>
  <si>
    <t xml:space="preserve">3</t>
  </si>
  <si>
    <t xml:space="preserve">   Asset Price Risk Management</t>
  </si>
  <si>
    <t xml:space="preserve">   Materials and Supplies</t>
  </si>
  <si>
    <t xml:space="preserve">4</t>
  </si>
  <si>
    <t xml:space="preserve">   Exchange Gas Receivable</t>
  </si>
  <si>
    <t xml:space="preserve">   (Over) / Under Recovered Gas Cost</t>
  </si>
  <si>
    <t xml:space="preserve">   Prepayments</t>
  </si>
  <si>
    <t xml:space="preserve">8</t>
  </si>
  <si>
    <t xml:space="preserve">   Regulatory Assets</t>
  </si>
  <si>
    <t xml:space="preserve">      Total Current Assets</t>
  </si>
  <si>
    <t xml:space="preserve">INVESTMENTS AND OTHER ASSETS</t>
  </si>
  <si>
    <t xml:space="preserve">5</t>
  </si>
  <si>
    <t xml:space="preserve">   Pipeline Partnerships</t>
  </si>
  <si>
    <t xml:space="preserve">9</t>
  </si>
  <si>
    <t xml:space="preserve">      Total Investments &amp; Other Assets</t>
  </si>
  <si>
    <t xml:space="preserve">PLANT</t>
  </si>
  <si>
    <t xml:space="preserve">   Accumulated Depreciation</t>
  </si>
  <si>
    <t xml:space="preserve">6</t>
  </si>
  <si>
    <t xml:space="preserve">      Net Plant</t>
  </si>
  <si>
    <t xml:space="preserve">DEFERRED CHARGES</t>
  </si>
  <si>
    <t xml:space="preserve">   Deferred Contract Reformation Costs </t>
  </si>
  <si>
    <t xml:space="preserve">7</t>
  </si>
  <si>
    <t xml:space="preserve">   Other Regulatory Assets</t>
  </si>
  <si>
    <t xml:space="preserve">      Total Deferred Charges</t>
  </si>
  <si>
    <t xml:space="preserve">            TOTAL ASSETS</t>
  </si>
  <si>
    <t xml:space="preserve">CURRENT LIABILITIES</t>
  </si>
  <si>
    <t xml:space="preserve">A</t>
  </si>
  <si>
    <t xml:space="preserve">   Accounts Payable - Assoc. Companies / Trade</t>
  </si>
  <si>
    <t xml:space="preserve">                               - Other</t>
  </si>
  <si>
    <t xml:space="preserve">B</t>
  </si>
  <si>
    <t xml:space="preserve">   Liability Price Risk Management</t>
  </si>
  <si>
    <t xml:space="preserve">   Exchange Gas Payable</t>
  </si>
  <si>
    <t xml:space="preserve">   Accrued Taxes</t>
  </si>
  <si>
    <t xml:space="preserve">C</t>
  </si>
  <si>
    <t xml:space="preserve">   Deferred Income Taxes - Current</t>
  </si>
  <si>
    <t xml:space="preserve">   Accrued Interest</t>
  </si>
  <si>
    <t xml:space="preserve">F</t>
  </si>
  <si>
    <t xml:space="preserve">   Regulatory Liabilities</t>
  </si>
  <si>
    <t xml:space="preserve">H</t>
  </si>
  <si>
    <t xml:space="preserve">      Total Current Liabilities</t>
  </si>
  <si>
    <t xml:space="preserve">DEFERRED CREDITS AND OTHER LIABILITIES</t>
  </si>
  <si>
    <t xml:space="preserve">D</t>
  </si>
  <si>
    <t xml:space="preserve">   Deferred Income Taxes</t>
  </si>
  <si>
    <t xml:space="preserve">G</t>
  </si>
  <si>
    <t xml:space="preserve">   Other Regulatory Liabilities</t>
  </si>
  <si>
    <t xml:space="preserve">      Total Deferred Credits &amp; Other Liabilities</t>
  </si>
  <si>
    <t xml:space="preserve">DEBT </t>
  </si>
  <si>
    <t xml:space="preserve">   Payable from Corporate</t>
  </si>
  <si>
    <t xml:space="preserve">J</t>
  </si>
  <si>
    <t xml:space="preserve">   Long-term Debt - External</t>
  </si>
  <si>
    <t xml:space="preserve">                          - Assoc. Companies</t>
  </si>
  <si>
    <t xml:space="preserve">      Total Debt</t>
  </si>
  <si>
    <t xml:space="preserve">EQUITY</t>
  </si>
  <si>
    <t xml:space="preserve">   Common Stock</t>
  </si>
  <si>
    <t xml:space="preserve">   Paid-in Capital</t>
  </si>
  <si>
    <t xml:space="preserve">   Accum. Other Comprehensive Income / (Loss)</t>
  </si>
  <si>
    <t xml:space="preserve">   Retained Earnings</t>
  </si>
  <si>
    <t xml:space="preserve">K</t>
  </si>
  <si>
    <t xml:space="preserve">      Total Equity</t>
  </si>
  <si>
    <t xml:space="preserve">            TOTAL LIABILITIES &amp; EQUITY</t>
  </si>
  <si>
    <t xml:space="preserve">      CHECK #</t>
  </si>
  <si>
    <t xml:space="preserve">PRINT: RONCEMO</t>
  </si>
  <si>
    <t xml:space="preserve">AVERAGE NET CAPITAL EMPLOYED</t>
  </si>
  <si>
    <t xml:space="preserve">PRINT: RONCEMO93</t>
  </si>
  <si>
    <t xml:space="preserve">  AVERAGE NET CAPITAL EMPLOYED</t>
  </si>
  <si>
    <t xml:space="preserve">ROLLING</t>
  </si>
  <si>
    <t xml:space="preserve">AVERAGE</t>
  </si>
  <si>
    <t xml:space="preserve">JUNE</t>
  </si>
  <si>
    <t xml:space="preserve">1993</t>
  </si>
  <si>
    <t xml:space="preserve">ACT./EST.</t>
  </si>
  <si>
    <t xml:space="preserve">1992</t>
  </si>
  <si>
    <t xml:space="preserve"> ACT./EST.</t>
  </si>
  <si>
    <t xml:space="preserve">NET CAPITAL EMPLOYED</t>
  </si>
  <si>
    <t xml:space="preserve">   ASSETS</t>
  </si>
  <si>
    <t xml:space="preserve">       Cash</t>
  </si>
  <si>
    <t xml:space="preserve">       Accounts Receivable</t>
  </si>
  <si>
    <t xml:space="preserve">       Short-Term Receivable - Corporate</t>
  </si>
  <si>
    <t xml:space="preserve">       Inventories</t>
  </si>
  <si>
    <t xml:space="preserve">       Prepaid &amp; Other Assets</t>
  </si>
  <si>
    <t xml:space="preserve">       Property - Net</t>
  </si>
  <si>
    <t xml:space="preserve">       Other Tangible Assets</t>
  </si>
  <si>
    <t xml:space="preserve">       Intangible Assets</t>
  </si>
  <si>
    <t xml:space="preserve">          Total Assets</t>
  </si>
  <si>
    <t xml:space="preserve">   LESS:</t>
  </si>
  <si>
    <t xml:space="preserve">   INTEREST FREE LIABILITIES</t>
  </si>
  <si>
    <t xml:space="preserve">       Accounts Payable</t>
  </si>
  <si>
    <t xml:space="preserve">       Accrued Liabilities</t>
  </si>
  <si>
    <t xml:space="preserve">       Current Tax Liabilities</t>
  </si>
  <si>
    <t xml:space="preserve">       Deferred Tax Liabilities</t>
  </si>
  <si>
    <t xml:space="preserve">       Other Liabilities</t>
  </si>
  <si>
    <t xml:space="preserve">          Total Interest Free Liabilities</t>
  </si>
  <si>
    <t xml:space="preserve">   SOURCES OF NET CAPITAL EMPLOYED</t>
  </si>
  <si>
    <t xml:space="preserve">       Short-Term Payable - Corporate</t>
  </si>
  <si>
    <t xml:space="preserve">       Short-Term payable (rec.) - Corporate</t>
  </si>
  <si>
    <t xml:space="preserve">       Long-Term Payable - Corporate</t>
  </si>
  <si>
    <t xml:space="preserve">       Long-Term payable - Corporate</t>
  </si>
  <si>
    <t xml:space="preserve">       Third Party Debt</t>
  </si>
  <si>
    <t xml:space="preserve">          Total Debt</t>
  </si>
  <si>
    <t xml:space="preserve">          Total Equity</t>
  </si>
  <si>
    <t xml:space="preserve">TOTAL NET CAPITAL EMPLOYED</t>
  </si>
  <si>
    <t xml:space="preserve">TOTAL NET INCOME (BEFORE CAPITAL COSTS)</t>
  </si>
  <si>
    <t xml:space="preserve">RONCE</t>
  </si>
  <si>
    <t xml:space="preserve">PRINT: CORPBS</t>
  </si>
  <si>
    <t xml:space="preserve">BALANCE SHEET ANALYSIS</t>
  </si>
  <si>
    <t xml:space="preserve">PRINT: CORPBS93</t>
  </si>
  <si>
    <t xml:space="preserve">         BALANCE SHEET ANALYSIS</t>
  </si>
  <si>
    <t xml:space="preserve">ASSETS</t>
  </si>
  <si>
    <t xml:space="preserve">    Cash</t>
  </si>
  <si>
    <t xml:space="preserve">    Accounts Receivable</t>
  </si>
  <si>
    <t xml:space="preserve">    Receivable from Corporate</t>
  </si>
  <si>
    <t xml:space="preserve">    Materials &amp; Supplies</t>
  </si>
  <si>
    <t xml:space="preserve">    Prepaid &amp; Other Assets</t>
  </si>
  <si>
    <t xml:space="preserve">    Investments</t>
  </si>
  <si>
    <t xml:space="preserve">    Property - Net</t>
  </si>
  <si>
    <t xml:space="preserve">    Development Costs</t>
  </si>
  <si>
    <t xml:space="preserve">    Deferred Regulatory Assets</t>
  </si>
  <si>
    <t xml:space="preserve">    Deferred Contract Reformation Costs</t>
  </si>
  <si>
    <t xml:space="preserve">    Other Tangible Assets</t>
  </si>
  <si>
    <t xml:space="preserve">    Other Intangible Assets</t>
  </si>
  <si>
    <t xml:space="preserve">         Total Assets</t>
  </si>
  <si>
    <t xml:space="preserve">LIABILITIES</t>
  </si>
  <si>
    <t xml:space="preserve">    Accounts Payable</t>
  </si>
  <si>
    <t xml:space="preserve">    Accrued Liabilities</t>
  </si>
  <si>
    <t xml:space="preserve">    Bill in Excess of Costs</t>
  </si>
  <si>
    <t xml:space="preserve">    Current Tax Liabilities</t>
  </si>
  <si>
    <t xml:space="preserve">    Deferred Tax Liabilities</t>
  </si>
  <si>
    <t xml:space="preserve">    Deferred Construction Profits / Performance Bonus</t>
  </si>
  <si>
    <t xml:space="preserve">E</t>
  </si>
  <si>
    <t xml:space="preserve">    Deferred PAGUS Revenue</t>
  </si>
  <si>
    <t xml:space="preserve">    Deferred TCR Revenue</t>
  </si>
  <si>
    <t xml:space="preserve">    Deferred GSR / PGA Revenue</t>
  </si>
  <si>
    <t xml:space="preserve">    Other Regulatory Liabilities</t>
  </si>
  <si>
    <t xml:space="preserve">    Other Liabilities</t>
  </si>
  <si>
    <t xml:space="preserve">         Total Liabilities </t>
  </si>
  <si>
    <t xml:space="preserve">CAPITAL</t>
  </si>
  <si>
    <t xml:space="preserve">    Payable from Corporate</t>
  </si>
  <si>
    <t xml:space="preserve">    Payable / (Receivable) from Corporate</t>
  </si>
  <si>
    <t xml:space="preserve">    Long-term Debt - External</t>
  </si>
  <si>
    <t xml:space="preserve">    Capitalization</t>
  </si>
  <si>
    <t xml:space="preserve">         Total Capital</t>
  </si>
  <si>
    <t xml:space="preserve">    Total Liabilities and Capital</t>
  </si>
  <si>
    <t xml:space="preserve">\P </t>
  </si>
  <si>
    <t xml:space="preserve">:PlbtTITLE1~qqrsMOASSET~g</t>
  </si>
  <si>
    <t xml:space="preserve">:PrsMOLIAB~g</t>
  </si>
  <si>
    <t xml:space="preserve">\R</t>
  </si>
  <si>
    <t xml:space="preserve">:PlbtTITLE2~qqrs93ASSET~g</t>
  </si>
  <si>
    <t xml:space="preserve">:Prs93LIAB~g</t>
  </si>
  <si>
    <t xml:space="preserve">PRINT: PRINT</t>
  </si>
  <si>
    <t xml:space="preserve">CASH FLOW STATEMENT</t>
  </si>
  <si>
    <t xml:space="preserve">PRINT: COMPARE</t>
  </si>
  <si>
    <t xml:space="preserve">PLAN</t>
  </si>
  <si>
    <t xml:space="preserve">SEPT.</t>
  </si>
  <si>
    <t xml:space="preserve">ACT./EST. vs. PLAN</t>
  </si>
  <si>
    <t xml:space="preserve">2nd C.E.</t>
  </si>
  <si>
    <t xml:space="preserve">Sept. YTD</t>
  </si>
  <si>
    <t xml:space="preserve">ANNUAL</t>
  </si>
  <si>
    <t xml:space="preserve">Variance</t>
  </si>
  <si>
    <t xml:space="preserve">CASH FLOW FROM OPERATING ACTIVITIES</t>
  </si>
  <si>
    <t xml:space="preserve">   Net Income </t>
  </si>
  <si>
    <t xml:space="preserve">   Items not affecting Working Capital:</t>
  </si>
  <si>
    <t xml:space="preserve">      Depreciation and Amortization</t>
  </si>
  <si>
    <t xml:space="preserve">      Regulatory Amortization - TCR</t>
  </si>
  <si>
    <t xml:space="preserve">      Deferred Income Taxes - Both Current and Noncurrent</t>
  </si>
  <si>
    <t xml:space="preserve">   Working Capital Changes:</t>
  </si>
  <si>
    <t xml:space="preserve">      Accounts and Notes Receivable</t>
  </si>
  <si>
    <t xml:space="preserve">      Inventories (Materials &amp; Supplies)</t>
  </si>
  <si>
    <t xml:space="preserve">      Accounts Payable - Assoc. Companies / Trade</t>
  </si>
  <si>
    <t xml:space="preserve">                    - Other</t>
  </si>
  <si>
    <t xml:space="preserve">      Exchange Gas - Receivable</t>
  </si>
  <si>
    <t xml:space="preserve">                    - Payable</t>
  </si>
  <si>
    <t xml:space="preserve">      Prepayments</t>
  </si>
  <si>
    <t xml:space="preserve">      Accrued Interest - Third Party</t>
  </si>
  <si>
    <t xml:space="preserve">      Accrued Taxes, Other Than Income</t>
  </si>
  <si>
    <t xml:space="preserve">      Other Current Assets or Liabilities (W/O Reserve Activity)</t>
  </si>
  <si>
    <t xml:space="preserve">   Price Risk Management Activities (Net)</t>
  </si>
  <si>
    <t xml:space="preserve">   Equity Earnings</t>
  </si>
  <si>
    <t xml:space="preserve">   Equity / Partnership Distributions</t>
  </si>
  <si>
    <t xml:space="preserve">   Net (Gain) / Loss on Sale of Assets</t>
  </si>
  <si>
    <t xml:space="preserve">   Other Regulatory Assets / Liabilities</t>
  </si>
  <si>
    <t xml:space="preserve">   Other (Incl. All Capital Costs &amp; Current Reserve Activity)</t>
  </si>
  <si>
    <t xml:space="preserve">      Cash Provided by Operating Activities</t>
  </si>
  <si>
    <t xml:space="preserve">CASH FLOW FROM INVESTING ACTIVITIES</t>
  </si>
  <si>
    <t xml:space="preserve">   Proceeds from Sale of Investments</t>
  </si>
  <si>
    <t xml:space="preserve">   Additions to Property </t>
  </si>
  <si>
    <t xml:space="preserve">   Other Capital Expenditures</t>
  </si>
  <si>
    <t xml:space="preserve">   Other Investments</t>
  </si>
  <si>
    <t xml:space="preserve">   Other (Net Salvage &amp; Removal)</t>
  </si>
  <si>
    <t xml:space="preserve">      Cash Provided by (Used in) Investing Activities</t>
  </si>
  <si>
    <t xml:space="preserve">            Net Cash Flow Before Corporate Adjustments</t>
  </si>
  <si>
    <t xml:space="preserve">OTHER ITEMS AFFECTING INTERCO. (CORP.) BALANCE</t>
  </si>
  <si>
    <t xml:space="preserve">   Dividends Transferred to Corporate</t>
  </si>
  <si>
    <t xml:space="preserve">   Inc. / (Dec.) in Long-Term Debt  (External)</t>
  </si>
  <si>
    <t xml:space="preserve">   Inc. / (Dec.) in Sale of Receivables</t>
  </si>
  <si>
    <t xml:space="preserve">      Total Items Affecting Intercompany (Corp.) Balance</t>
  </si>
  <si>
    <t xml:space="preserve">INCREASE / (DECREASE) IN INTERCOMPANY CASH</t>
  </si>
  <si>
    <t xml:space="preserve">      Change in Other Obligations</t>
  </si>
  <si>
    <t xml:space="preserve">INCREASE / (DECREASE) IN TOTAL OBLIGATIONS</t>
  </si>
  <si>
    <t xml:space="preserve">PRINT: CORPCASH</t>
  </si>
  <si>
    <t xml:space="preserve">TOTAL OBLIGATIONS</t>
  </si>
  <si>
    <t xml:space="preserve">PRINT: CORPSUM</t>
  </si>
  <si>
    <t xml:space="preserve">Cash Flow From Operations</t>
  </si>
  <si>
    <t xml:space="preserve">      Net Income After Financing Costs</t>
  </si>
  <si>
    <t xml:space="preserve">      Depreciation, Depletion, and Amortization</t>
  </si>
  <si>
    <t xml:space="preserve">      Amortization of Contract Reformation Costs</t>
  </si>
  <si>
    <t xml:space="preserve">      Deferred Revenue</t>
  </si>
  <si>
    <t xml:space="preserve">      Unrealized (Gain) / Loss on Price Risk Mgmt Activities</t>
  </si>
  <si>
    <t xml:space="preserve">      Oil &amp; Gas Exploration Expenses</t>
  </si>
  <si>
    <t xml:space="preserve">            Total Cash Flow From Operations</t>
  </si>
  <si>
    <t xml:space="preserve">Working Capital Changes</t>
  </si>
  <si>
    <t xml:space="preserve">      Accrued Income Taxes</t>
  </si>
  <si>
    <t xml:space="preserve">      Tax Refunds / Payments</t>
  </si>
  <si>
    <t xml:space="preserve">      Others, Net </t>
  </si>
  <si>
    <t xml:space="preserve">Equity Earnings</t>
  </si>
  <si>
    <t xml:space="preserve">Equity / Partnership Distributions</t>
  </si>
  <si>
    <t xml:space="preserve">Proceeds from Sale of Investments</t>
  </si>
  <si>
    <t xml:space="preserve">Capital Expenditures (Excluding Interco. Transactions)</t>
  </si>
  <si>
    <t xml:space="preserve">Equity Investments</t>
  </si>
  <si>
    <t xml:space="preserve">Others, Net </t>
  </si>
  <si>
    <t xml:space="preserve">Net Cash Flow</t>
  </si>
  <si>
    <t xml:space="preserve">Other Items Affecting Interco. Cash Balance with Corporate</t>
  </si>
  <si>
    <t xml:space="preserve">      Third Party Debt Increase / (Decrease)</t>
  </si>
  <si>
    <t xml:space="preserve">      Dividends Paid to Corporate</t>
  </si>
  <si>
    <t xml:space="preserve">      Dividends Paid to Outside Parties / Other</t>
  </si>
  <si>
    <t xml:space="preserve">      Restricted / Retained Cash</t>
  </si>
  <si>
    <t xml:space="preserve">Increase / (Decrease) in Cash Balance with Corporate </t>
  </si>
  <si>
    <t xml:space="preserve">Change in Other Obligations</t>
  </si>
  <si>
    <t xml:space="preserve">Increase / (Decrease) in Total Obligations</t>
  </si>
  <si>
    <t xml:space="preserve">         Total Working Capital Changes</t>
  </si>
  <si>
    <t xml:space="preserve">PRINT: FUNDSMO</t>
  </si>
  <si>
    <t xml:space="preserve">FUNDS FLOW STATEMENT</t>
  </si>
  <si>
    <t xml:space="preserve">PRINT: FUNDSUM</t>
  </si>
  <si>
    <t xml:space="preserve">   Items not affecting Cash:</t>
  </si>
  <si>
    <t xml:space="preserve">      Deferred Income Taxes</t>
  </si>
  <si>
    <t xml:space="preserve">      Net (Gain) / Loss on Sale of Assets</t>
  </si>
  <si>
    <t xml:space="preserve">            Total Funds Flow From Operations</t>
  </si>
  <si>
    <t xml:space="preserve">      Accounts Receivable (Including Exchange Gas Rec.)</t>
  </si>
  <si>
    <t xml:space="preserve">      Accounts Payable &amp; Other (Including Exchange Gas Pay.)</t>
  </si>
  <si>
    <t xml:space="preserve">      Other (Including Inventory and Prepayments)</t>
  </si>
  <si>
    <t xml:space="preserve">            Total Working Capital Changes</t>
  </si>
  <si>
    <t xml:space="preserve">TOTAL CASH FLOW FROM OPERATING ACTIVITIES</t>
  </si>
  <si>
    <t xml:space="preserve">NET CASH FLOW</t>
  </si>
  <si>
    <t xml:space="preserve">PRINT: OTHERMO</t>
  </si>
  <si>
    <t xml:space="preserve">FUNDS FLOW STATEMENT - " OTHER "</t>
  </si>
  <si>
    <t xml:space="preserve">PRINT: OTHERSUM</t>
  </si>
  <si>
    <t xml:space="preserve"> " OTHER "</t>
  </si>
  <si>
    <t xml:space="preserve">   Change in Other Regulatory Assets</t>
  </si>
  <si>
    <t xml:space="preserve">         "     "      "           "        Liabilities</t>
  </si>
  <si>
    <t xml:space="preserve">      Net Change in Regulatory Assets / Liabilities</t>
  </si>
  <si>
    <t xml:space="preserve">   Other Items (Cash Flow Model)</t>
  </si>
  <si>
    <t xml:space="preserve">      Change in Cash / Temporary Cash Investments</t>
  </si>
  <si>
    <t xml:space="preserve">      Change in Investments &amp; Other Assets</t>
  </si>
  <si>
    <t xml:space="preserve">      Change in Deferred Charges</t>
  </si>
  <si>
    <t xml:space="preserve">      Change in Deferred Credits </t>
  </si>
  <si>
    <t xml:space="preserve">      Gross Plant</t>
  </si>
  <si>
    <t xml:space="preserve">          Reserve Adjustments </t>
  </si>
  <si>
    <t xml:space="preserve">          Linepack Revaluation vs. Other CAPEX (3/98 Forward)</t>
  </si>
  <si>
    <t xml:space="preserve">          Retirements at Cost</t>
  </si>
  <si>
    <t xml:space="preserve">      Accumulated Depreciation</t>
  </si>
  <si>
    <t xml:space="preserve">          Reserve Adjustments / AFUDC</t>
  </si>
  <si>
    <t xml:space="preserve">          Retirements at Cost </t>
  </si>
  <si>
    <t xml:space="preserve">      Other</t>
  </si>
  <si>
    <t xml:space="preserve">         Subtotal (Cash Flow Model)</t>
  </si>
  <si>
    <t xml:space="preserve">   Other Tie Out Items (Financial Reporting)</t>
  </si>
  <si>
    <t xml:space="preserve">      FASB 133 - Comprehensive Income / (Loss) Tax Adjustment</t>
  </si>
  <si>
    <t xml:space="preserve">      Deferred Tax Offset Adjustment on Price Risk Liability (1/01-3/01)</t>
  </si>
  <si>
    <t xml:space="preserve">      Property Summary - GR / IR Clearing</t>
  </si>
  <si>
    <t xml:space="preserve">      Gain on Asset Sales (Offset Items)</t>
  </si>
  <si>
    <t xml:space="preserve">      Gross Asset Sales Proceeds (Offset Items)</t>
  </si>
  <si>
    <t xml:space="preserve">      Total Current Liability Reserve Activity</t>
  </si>
  <si>
    <t xml:space="preserve">         Other ?? (Grynberg Legal Reserve Adjustment)</t>
  </si>
  <si>
    <t xml:space="preserve">      All Capital Costs (Net of Tax)</t>
  </si>
  <si>
    <t xml:space="preserve">      Hyperion Adjust. / Reversal (DD&amp;A and Deferred Taxes)</t>
  </si>
  <si>
    <t xml:space="preserve">      Others, net</t>
  </si>
  <si>
    <t xml:space="preserve">         Subtotal (Financial Reporting)</t>
  </si>
  <si>
    <t xml:space="preserve">      Total Other Items</t>
  </si>
  <si>
    <t xml:space="preserve">TOTAL " OTHER "</t>
  </si>
  <si>
    <t xml:space="preserve">PRINT:  PAGE1</t>
  </si>
  <si>
    <t xml:space="preserve">   " LINKED ITEMS FROM BACKUP FILE "</t>
  </si>
  <si>
    <t xml:space="preserve">ORIGINAL</t>
  </si>
  <si>
    <t xml:space="preserve">OTHER</t>
  </si>
  <si>
    <t xml:space="preserve">ADPRP</t>
  </si>
  <si>
    <t xml:space="preserve">OTCAPEX</t>
  </si>
  <si>
    <t xml:space="preserve">PROCD</t>
  </si>
  <si>
    <t xml:space="preserve">WASH</t>
  </si>
  <si>
    <t xml:space="preserve">DEPR.</t>
  </si>
  <si>
    <t xml:space="preserve">OTINV</t>
  </si>
  <si>
    <t xml:space="preserve">TCR</t>
  </si>
  <si>
    <t xml:space="preserve">Other Current Liabilities</t>
  </si>
  <si>
    <t xml:space="preserve">      Total Other Current Liability Reserve Issues</t>
  </si>
  <si>
    <t xml:space="preserve">O-REG</t>
  </si>
  <si>
    <t xml:space="preserve">=</t>
  </si>
  <si>
    <t xml:space="preserve">PRINT:  VARPLAN</t>
  </si>
  <si>
    <t xml:space="preserve">(CORPORATE ACCRUAL)</t>
  </si>
  <si>
    <t xml:space="preserve">NET</t>
  </si>
  <si>
    <t xml:space="preserve"> BEFORE</t>
  </si>
  <si>
    <t xml:space="preserve"> AFTER</t>
  </si>
  <si>
    <t xml:space="preserve">CASH</t>
  </si>
  <si>
    <t xml:space="preserve">1995 ORIGINAL OPERATING PLAN</t>
  </si>
  <si>
    <t xml:space="preserve">CASH FLOW FROM OPERATIONS</t>
  </si>
  <si>
    <t xml:space="preserve">WORKING CAPITAL &amp; OTHER CHANGES</t>
  </si>
  <si>
    <t xml:space="preserve">      - Other</t>
  </si>
  <si>
    <t xml:space="preserve">      - Severance (Involuntary / Voluntary) </t>
  </si>
  <si>
    <t xml:space="preserve">      - Unamortized Debt Expense</t>
  </si>
  <si>
    <t xml:space="preserve">      - Other Deferred Charges (Actual Adjust.)</t>
  </si>
  <si>
    <t xml:space="preserve">      - Other Deferred Credits (Actual Adjust.)</t>
  </si>
  <si>
    <t xml:space="preserve">      - Miscellaneous</t>
  </si>
  <si>
    <t xml:space="preserve">            Cash Provided by (Used in) Operating Activities</t>
  </si>
  <si>
    <t xml:space="preserve">PRINT:  VARCE</t>
  </si>
  <si>
    <t xml:space="preserve">1994 THIRD CURRENT ESTIMATE or ACTUAL</t>
  </si>
  <si>
    <t xml:space="preserve">(3rd C.E. Inv. to Plant Trans. $48.2 MM)</t>
  </si>
  <si>
    <t xml:space="preserve">      - FAS 109 Adjustment (1993)</t>
  </si>
  <si>
    <t xml:space="preserve">      - IMP Noncurrent Deferred Tax Adjustment</t>
  </si>
  <si>
    <t xml:space="preserve">      - Misc. ('93-IRS Audit $-4.1, Nonrec. Adv. $-4.0, FAS 96 Pres. Val. $-2.4)</t>
  </si>
  <si>
    <t xml:space="preserve">('93-IMP Trans. $60.1, Inv. to Plant $55.7 MM)</t>
  </si>
  <si>
    <t xml:space="preserve">            Cash Provided by (Used in) Investing Activities</t>
  </si>
  <si>
    <t xml:space="preserve">\L</t>
  </si>
  <si>
    <t xml:space="preserve">:PlbtTITLE1~qqrsPAGE1~g</t>
  </si>
  <si>
    <t xml:space="preserve">:PrsPAGE2~g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</si>
</sst>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_)"/>
    <numFmt numFmtId="166" formatCode="dd\-mmm\-yy_)"/>
    <numFmt numFmtId="167" formatCode="hh:mm\ AM/PM_)"/>
    <numFmt numFmtId="168" formatCode="[$-409]d\-mmm\-yy"/>
    <numFmt numFmtId="169" formatCode="@"/>
    <numFmt numFmtId="170" formatCode="[$-409]h:mm\ AM/PM"/>
    <numFmt numFmtId="171" formatCode="[$-409]#,##0_);\(#,##0\)"/>
    <numFmt numFmtId="172" formatCode="mm/dd/yy_)"/>
    <numFmt numFmtId="173" formatCode="0.0%"/>
    <numFmt numFmtId="174" formatCode="\$#,##0_);&quot;($&quot;#,##0\)"/>
    <numFmt numFmtId="175" formatCode="#,##0.0_);\(#,##0.0\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FF0000"/>
      <name val="Arial"/>
      <family val="2"/>
    </font>
    <font>
      <u val="double"/>
      <sz val="10"/>
      <name val="Arial"/>
      <family val="2"/>
    </font>
    <font>
      <u val="single"/>
      <sz val="10"/>
      <color rgb="FF000000"/>
      <name val="Arial"/>
      <family val="2"/>
    </font>
    <font>
      <sz val="10"/>
      <color rgb="FF008000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993366"/>
      <name val="Arial"/>
      <family val="2"/>
    </font>
    <font>
      <u val="single"/>
      <sz val="10"/>
      <color rgb="FFFF00FF"/>
      <name val="Arial"/>
      <family val="2"/>
    </font>
    <font>
      <b val="true"/>
      <u val="double"/>
      <sz val="10"/>
      <name val="Arial"/>
      <family val="2"/>
    </font>
    <font>
      <b val="true"/>
      <sz val="8"/>
      <name val="Arial"/>
      <family val="0"/>
    </font>
    <font>
      <b val="true"/>
      <sz val="10"/>
      <color rgb="FF0000FF"/>
      <name val="Arial"/>
      <family val="0"/>
    </font>
    <font>
      <sz val="10"/>
      <color rgb="FF0000FF"/>
      <name val="Arial"/>
      <family val="0"/>
    </font>
    <font>
      <sz val="8"/>
      <name val="Arial"/>
      <family val="2"/>
    </font>
    <font>
      <b val="true"/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9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7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8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4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1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4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31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24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13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9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20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  <cellStyle name="Normal_BACKUP" xfId="22"/>
    <cellStyle name="Normal_BALSHEET" xfId="23"/>
    <cellStyle name="Normal_CASHFLOW" xfId="24"/>
    <cellStyle name="Normal_OPERSUM" xfId="25"/>
    <cellStyle name="Normal_SOURCE" xfId="26"/>
    <cellStyle name="Normal_REGAMORT" xfId="27"/>
    <cellStyle name="Normal_OTHERINC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624600</xdr:colOff>
          <xdr:row>4</xdr:row>
          <xdr:rowOff>0</xdr:rowOff>
        </xdr:from>
        <xdr:to>
          <xdr:col>1</xdr:col>
          <xdr:colOff>-1807920</xdr:colOff>
          <xdr:row>7</xdr:row>
          <xdr:rowOff>76320</xdr:rowOff>
        </xdr:to>
        <xdr:sp>
          <xdr:nvSpPr>
            <xdr:cNvPr id="1001" name="Button 1" descr="Print Backup P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Backup Pages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926280</xdr:colOff>
          <xdr:row>3</xdr:row>
          <xdr:rowOff>9360</xdr:rowOff>
        </xdr:from>
        <xdr:to>
          <xdr:col>2</xdr:col>
          <xdr:colOff>-1064880</xdr:colOff>
          <xdr:row>6</xdr:row>
          <xdr:rowOff>85680</xdr:rowOff>
        </xdr:to>
        <xdr:sp>
          <xdr:nvSpPr>
            <xdr:cNvPr id="1001" name="Button 1" descr="Print Balance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Balance Sheet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1560600</xdr:colOff>
          <xdr:row>2</xdr:row>
          <xdr:rowOff>120600</xdr:rowOff>
        </xdr:from>
        <xdr:to>
          <xdr:col>1</xdr:col>
          <xdr:colOff>81360</xdr:colOff>
          <xdr:row>5</xdr:row>
          <xdr:rowOff>186120</xdr:rowOff>
        </xdr:to>
        <xdr:sp>
          <xdr:nvSpPr>
            <xdr:cNvPr id="1001" name="Button 1" descr="Print Cash Flo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Cash Flow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4.65" customHeight="true" zeroHeight="false" outlineLevelRow="0" outlineLevelCol="0"/>
  <cols>
    <col collapsed="false" customWidth="true" hidden="false" outlineLevel="0" max="1" min="1" style="1" width="50.7"/>
    <col collapsed="false" customWidth="true" hidden="false" outlineLevel="0" max="2" min="2" style="1" width="3.7"/>
    <col collapsed="false" customWidth="false" hidden="false" outlineLevel="0" max="17" min="3" style="1" width="10.71"/>
    <col collapsed="false" customWidth="true" hidden="false" outlineLevel="0" max="18" min="18" style="1" width="11.56"/>
    <col collapsed="false" customWidth="false" hidden="false" outlineLevel="0" max="257" min="19" style="1" width="10.71"/>
  </cols>
  <sheetData>
    <row r="1" customFormat="false" ht="14.65" hidden="false" customHeight="false" outlineLevel="0" collapsed="false">
      <c r="A1" s="2" t="str">
        <f aca="true">CELL("FILENAME")</f>
        <v>'file:///mnt/12tb/@roms/datasets/enron/EDRM Enron Email Data Set v2 XML/filtered-attachments/xls/TW3rdCECF.xls'#$BACKUP</v>
      </c>
      <c r="B1" s="3"/>
      <c r="C1" s="3"/>
      <c r="D1" s="3"/>
      <c r="E1" s="3"/>
      <c r="F1" s="0"/>
      <c r="G1" s="4" t="s">
        <v>0</v>
      </c>
      <c r="H1" s="4"/>
      <c r="I1" s="4"/>
      <c r="J1" s="4"/>
      <c r="K1" s="3"/>
      <c r="L1" s="3"/>
      <c r="M1" s="3"/>
      <c r="N1" s="3"/>
      <c r="O1" s="3"/>
      <c r="P1" s="3"/>
      <c r="Q1" s="3"/>
      <c r="R1" s="5" t="n">
        <f aca="true">NOW()</f>
        <v>45926.958432339</v>
      </c>
    </row>
    <row r="2" customFormat="false" ht="14.65" hidden="false" customHeight="false" outlineLevel="0" collapsed="false">
      <c r="A2" s="6"/>
      <c r="B2" s="3"/>
      <c r="C2" s="3"/>
      <c r="D2" s="3"/>
      <c r="E2" s="3"/>
      <c r="F2" s="0"/>
      <c r="G2" s="4" t="s">
        <v>1</v>
      </c>
      <c r="H2" s="4"/>
      <c r="I2" s="4"/>
      <c r="J2" s="4"/>
      <c r="K2" s="3"/>
      <c r="L2" s="3"/>
      <c r="M2" s="3"/>
      <c r="N2" s="3"/>
      <c r="O2" s="3"/>
      <c r="P2" s="3"/>
      <c r="Q2" s="3"/>
      <c r="R2" s="7" t="n">
        <f aca="true">NOW()</f>
        <v>45926.9584323392</v>
      </c>
    </row>
    <row r="3" customFormat="false" ht="14.65" hidden="false" customHeight="false" outlineLevel="0" collapsed="false">
      <c r="A3" s="8" t="n">
        <f aca="false">'''file:///mnt/12tb/@roms/datasets/enron/EDRM%20Enron%20Email%20Data%20Set%20v2%20XML/filtered-attachments/xls/EMTW01CE.XLS''#Source'!$B$4</f>
        <v>45926.958430692</v>
      </c>
      <c r="B3" s="3"/>
      <c r="C3" s="3"/>
      <c r="D3" s="3"/>
      <c r="E3" s="3"/>
      <c r="F3" s="0"/>
      <c r="G3" s="9" t="s">
        <v>2</v>
      </c>
      <c r="H3" s="9"/>
      <c r="I3" s="9"/>
      <c r="J3" s="9"/>
      <c r="K3" s="3"/>
      <c r="L3" s="3"/>
      <c r="M3" s="3"/>
      <c r="N3" s="3"/>
      <c r="O3" s="3"/>
      <c r="P3" s="3"/>
      <c r="Q3" s="3"/>
      <c r="R3" s="3"/>
    </row>
    <row r="4" customFormat="false" ht="14.65" hidden="false" customHeight="false" outlineLevel="0" collapsed="false">
      <c r="A4" s="10" t="n">
        <f aca="false">'''file:///mnt/12tb/@roms/datasets/enron/EDRM%20Enron%20Email%20Data%20Set%20v2%20XML/filtered-attachments/xls/EMTW01CE.XLS''#Source'!$B$5</f>
        <v>45926.9584306921</v>
      </c>
      <c r="B4" s="3"/>
      <c r="C4" s="11"/>
      <c r="D4" s="3"/>
      <c r="E4" s="3"/>
      <c r="F4" s="0"/>
      <c r="G4" s="4" t="s">
        <v>3</v>
      </c>
      <c r="H4" s="4"/>
      <c r="I4" s="4"/>
      <c r="J4" s="4"/>
      <c r="K4" s="3"/>
      <c r="L4" s="3"/>
      <c r="M4" s="3"/>
      <c r="N4" s="3"/>
      <c r="O4" s="3"/>
      <c r="P4" s="3"/>
      <c r="Q4" s="3"/>
      <c r="R4" s="3"/>
    </row>
    <row r="5" customFormat="false" ht="14.65" hidden="false" customHeight="false" outlineLevel="0" collapsed="false">
      <c r="A5" s="3"/>
      <c r="B5" s="3"/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4.65" hidden="false" customHeight="false" outlineLevel="0" collapsed="false">
      <c r="A6" s="3"/>
      <c r="B6" s="3"/>
      <c r="C6" s="12" t="s">
        <v>4</v>
      </c>
      <c r="D6" s="13"/>
      <c r="E6" s="14"/>
      <c r="F6" s="14"/>
      <c r="G6" s="0"/>
      <c r="H6" s="0"/>
      <c r="I6" s="14"/>
      <c r="J6" s="15"/>
      <c r="K6" s="16" t="s">
        <v>5</v>
      </c>
      <c r="L6" s="17"/>
      <c r="M6" s="17"/>
      <c r="N6" s="17"/>
      <c r="O6" s="17"/>
      <c r="P6" s="3"/>
      <c r="Q6" s="3"/>
      <c r="R6" s="3"/>
    </row>
    <row r="7" customFormat="false" ht="14.65" hidden="false" customHeight="false" outlineLevel="0" collapsed="false">
      <c r="A7" s="3"/>
      <c r="B7" s="3"/>
      <c r="C7" s="16" t="s">
        <v>6</v>
      </c>
      <c r="D7" s="13" t="s">
        <v>7</v>
      </c>
      <c r="E7" s="13" t="s">
        <v>7</v>
      </c>
      <c r="F7" s="13" t="s">
        <v>7</v>
      </c>
      <c r="G7" s="13" t="s">
        <v>7</v>
      </c>
      <c r="H7" s="13" t="s">
        <v>7</v>
      </c>
      <c r="I7" s="13" t="s">
        <v>7</v>
      </c>
      <c r="J7" s="13" t="s">
        <v>7</v>
      </c>
      <c r="K7" s="13" t="s">
        <v>7</v>
      </c>
      <c r="L7" s="12" t="s">
        <v>8</v>
      </c>
      <c r="M7" s="12" t="s">
        <v>8</v>
      </c>
      <c r="N7" s="12" t="s">
        <v>8</v>
      </c>
      <c r="O7" s="12" t="s">
        <v>8</v>
      </c>
      <c r="P7" s="16" t="s">
        <v>9</v>
      </c>
      <c r="Q7" s="13" t="s">
        <v>10</v>
      </c>
      <c r="R7" s="16" t="s">
        <v>11</v>
      </c>
    </row>
    <row r="8" customFormat="false" ht="14.65" hidden="false" customHeight="false" outlineLevel="0" collapsed="false">
      <c r="A8" s="3"/>
      <c r="B8" s="3"/>
      <c r="C8" s="18" t="s">
        <v>12</v>
      </c>
      <c r="D8" s="19" t="s">
        <v>13</v>
      </c>
      <c r="E8" s="19" t="s">
        <v>14</v>
      </c>
      <c r="F8" s="19" t="s">
        <v>15</v>
      </c>
      <c r="G8" s="19" t="s">
        <v>16</v>
      </c>
      <c r="H8" s="19" t="s">
        <v>17</v>
      </c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8" t="n">
        <v>2001</v>
      </c>
      <c r="Q8" s="19" t="s">
        <v>25</v>
      </c>
      <c r="R8" s="19" t="s">
        <v>26</v>
      </c>
    </row>
    <row r="9" customFormat="false" ht="6" hidden="false" customHeight="true" outlineLevel="0" collapsed="false"/>
    <row r="10" customFormat="false" ht="14.65" hidden="false" customHeight="false" outlineLevel="0" collapsed="false">
      <c r="A10" s="20" t="s">
        <v>27</v>
      </c>
      <c r="C10" s="21"/>
      <c r="D10" s="21" t="n">
        <f aca="false">C13</f>
        <v>4</v>
      </c>
      <c r="E10" s="21" t="n">
        <f aca="false">D13</f>
        <v>4</v>
      </c>
      <c r="F10" s="21" t="n">
        <f aca="false">E13</f>
        <v>4</v>
      </c>
      <c r="G10" s="21" t="n">
        <f aca="false">F13</f>
        <v>4</v>
      </c>
      <c r="H10" s="21" t="n">
        <f aca="false">G13</f>
        <v>4</v>
      </c>
      <c r="I10" s="21" t="n">
        <f aca="false">H13</f>
        <v>4</v>
      </c>
      <c r="J10" s="21" t="n">
        <f aca="false">I13</f>
        <v>4</v>
      </c>
      <c r="K10" s="21" t="n">
        <f aca="false">J13</f>
        <v>3</v>
      </c>
      <c r="L10" s="21" t="n">
        <f aca="false">K13</f>
        <v>3</v>
      </c>
      <c r="M10" s="21" t="n">
        <f aca="false">L13</f>
        <v>3</v>
      </c>
      <c r="N10" s="21" t="n">
        <f aca="false">M13</f>
        <v>3</v>
      </c>
      <c r="O10" s="21" t="n">
        <f aca="false">N13</f>
        <v>3</v>
      </c>
      <c r="P10" s="21"/>
      <c r="Q10" s="21"/>
      <c r="R10" s="21"/>
    </row>
    <row r="11" customFormat="false" ht="14.65" hidden="false" customHeight="false" outlineLevel="0" collapsed="false">
      <c r="A11" s="22" t="s">
        <v>28</v>
      </c>
      <c r="C11" s="23" t="n">
        <v>0</v>
      </c>
      <c r="D11" s="23" t="n">
        <v>0</v>
      </c>
      <c r="E11" s="23" t="n">
        <v>0</v>
      </c>
      <c r="F11" s="23" t="n">
        <v>0</v>
      </c>
      <c r="G11" s="23" t="n">
        <v>0</v>
      </c>
      <c r="H11" s="23" t="n">
        <v>0</v>
      </c>
      <c r="I11" s="23" t="n">
        <v>0</v>
      </c>
      <c r="J11" s="23" t="n">
        <v>-1</v>
      </c>
      <c r="K11" s="23" t="n">
        <v>0</v>
      </c>
      <c r="L11" s="23" t="n">
        <v>0</v>
      </c>
      <c r="M11" s="23" t="n">
        <v>0</v>
      </c>
      <c r="N11" s="23" t="n">
        <v>0</v>
      </c>
      <c r="O11" s="23" t="n">
        <v>0</v>
      </c>
      <c r="P11" s="24" t="n">
        <f aca="false">SUM(D11:O11)</f>
        <v>-1</v>
      </c>
      <c r="Q11" s="23" t="n">
        <f aca="false">SUM(D11:J11)</f>
        <v>-1</v>
      </c>
      <c r="R11" s="24" t="n">
        <f aca="false">P11-Q11</f>
        <v>0</v>
      </c>
    </row>
    <row r="12" customFormat="false" ht="3.95" hidden="false" customHeight="tru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customFormat="false" ht="14.65" hidden="false" customHeight="false" outlineLevel="0" collapsed="false">
      <c r="A13" s="20" t="s">
        <v>29</v>
      </c>
      <c r="C13" s="25" t="n">
        <v>4</v>
      </c>
      <c r="D13" s="21" t="n">
        <f aca="false">D10+D11</f>
        <v>4</v>
      </c>
      <c r="E13" s="21" t="n">
        <f aca="false">E10+E11</f>
        <v>4</v>
      </c>
      <c r="F13" s="21" t="n">
        <f aca="false">F10+F11</f>
        <v>4</v>
      </c>
      <c r="G13" s="21" t="n">
        <f aca="false">G10+G11</f>
        <v>4</v>
      </c>
      <c r="H13" s="21" t="n">
        <f aca="false">H10+H11</f>
        <v>4</v>
      </c>
      <c r="I13" s="21" t="n">
        <f aca="false">I10+I11</f>
        <v>4</v>
      </c>
      <c r="J13" s="21" t="n">
        <f aca="false">J10+J11</f>
        <v>3</v>
      </c>
      <c r="K13" s="21" t="n">
        <f aca="false">K10+K11</f>
        <v>3</v>
      </c>
      <c r="L13" s="21" t="n">
        <f aca="false">L10+L11</f>
        <v>3</v>
      </c>
      <c r="M13" s="21" t="n">
        <f aca="false">M10+M11</f>
        <v>3</v>
      </c>
      <c r="N13" s="21" t="n">
        <f aca="false">N10+N11</f>
        <v>3</v>
      </c>
      <c r="O13" s="21" t="n">
        <f aca="false">O10+O11</f>
        <v>3</v>
      </c>
      <c r="P13" s="21"/>
      <c r="Q13" s="21"/>
      <c r="R13" s="21"/>
    </row>
    <row r="14" customFormat="false" ht="3.95" hidden="false" customHeight="true" outlineLevel="0" collapsed="false"/>
    <row r="15" customFormat="false" ht="14.65" hidden="false" customHeight="false" outlineLevel="0" collapsed="false">
      <c r="A15" s="22" t="s">
        <v>30</v>
      </c>
      <c r="C15" s="21"/>
      <c r="D15" s="21" t="n">
        <f aca="false">D13-C13</f>
        <v>0</v>
      </c>
      <c r="E15" s="21" t="n">
        <f aca="false">E13-D13</f>
        <v>0</v>
      </c>
      <c r="F15" s="21" t="n">
        <f aca="false">F13-E13</f>
        <v>0</v>
      </c>
      <c r="G15" s="21" t="n">
        <f aca="false">G13-F13</f>
        <v>0</v>
      </c>
      <c r="H15" s="21" t="n">
        <f aca="false">H13-G13</f>
        <v>0</v>
      </c>
      <c r="I15" s="21" t="n">
        <f aca="false">I13-H13</f>
        <v>0</v>
      </c>
      <c r="J15" s="21" t="n">
        <f aca="false">J13-I13</f>
        <v>-1</v>
      </c>
      <c r="K15" s="21" t="n">
        <f aca="false">K13-J13</f>
        <v>0</v>
      </c>
      <c r="L15" s="21" t="n">
        <f aca="false">L13-K13</f>
        <v>0</v>
      </c>
      <c r="M15" s="21" t="n">
        <f aca="false">M13-L13</f>
        <v>0</v>
      </c>
      <c r="N15" s="21" t="n">
        <f aca="false">N13-M13</f>
        <v>0</v>
      </c>
      <c r="O15" s="21" t="n">
        <f aca="false">O13-N13</f>
        <v>0</v>
      </c>
      <c r="P15" s="21" t="n">
        <f aca="false">SUM(D15:O15)</f>
        <v>-1</v>
      </c>
      <c r="Q15" s="21" t="n">
        <f aca="false">Q11</f>
        <v>-1</v>
      </c>
      <c r="R15" s="21" t="n">
        <f aca="false">P15-Q15</f>
        <v>0</v>
      </c>
    </row>
    <row r="17" customFormat="false" ht="14.65" hidden="false" customHeight="false" outlineLevel="0" collapsed="false">
      <c r="A17" s="20" t="s">
        <v>31</v>
      </c>
      <c r="C17" s="26" t="n">
        <f aca="false">17067+2238</f>
        <v>19305</v>
      </c>
      <c r="D17" s="21" t="n">
        <f aca="false">C34</f>
        <v>7581</v>
      </c>
      <c r="E17" s="21" t="n">
        <f aca="false">D34</f>
        <v>6648</v>
      </c>
      <c r="F17" s="21" t="n">
        <f aca="false">E34</f>
        <v>7120</v>
      </c>
      <c r="G17" s="21" t="n">
        <f aca="false">F34</f>
        <v>21572</v>
      </c>
      <c r="H17" s="21" t="n">
        <f aca="false">G34</f>
        <v>17146</v>
      </c>
      <c r="I17" s="21" t="n">
        <f aca="false">H34</f>
        <v>19651</v>
      </c>
      <c r="J17" s="21" t="n">
        <f aca="false">I34</f>
        <v>8677</v>
      </c>
      <c r="K17" s="21" t="n">
        <f aca="false">J34</f>
        <v>20312</v>
      </c>
      <c r="L17" s="21" t="n">
        <f aca="false">K34</f>
        <v>23367</v>
      </c>
      <c r="M17" s="21" t="n">
        <f aca="false">L34</f>
        <v>22805</v>
      </c>
      <c r="N17" s="21" t="n">
        <f aca="false">M34</f>
        <v>23691</v>
      </c>
      <c r="O17" s="21" t="n">
        <f aca="false">N34</f>
        <v>23054</v>
      </c>
      <c r="P17" s="21"/>
    </row>
    <row r="18" customFormat="false" ht="14.65" hidden="false" customHeight="false" outlineLevel="0" collapsed="false">
      <c r="A18" s="22" t="s">
        <v>32</v>
      </c>
      <c r="C18" s="25" t="n">
        <v>-13286</v>
      </c>
      <c r="D18" s="21" t="n">
        <f aca="false">-C27</f>
        <v>-14524</v>
      </c>
      <c r="E18" s="21" t="n">
        <f aca="false">-D27</f>
        <v>-18803</v>
      </c>
      <c r="F18" s="21" t="n">
        <f aca="false">-E27</f>
        <v>-23010</v>
      </c>
      <c r="G18" s="21" t="n">
        <f aca="false">-F27</f>
        <v>-20002</v>
      </c>
      <c r="H18" s="21" t="n">
        <f aca="false">-G27</f>
        <v>-26001</v>
      </c>
      <c r="I18" s="21" t="n">
        <f aca="false">-H27</f>
        <v>-16667</v>
      </c>
      <c r="J18" s="21" t="n">
        <f aca="false">-I27</f>
        <v>-14246</v>
      </c>
      <c r="K18" s="21" t="n">
        <f aca="false">-J27</f>
        <v>-13115</v>
      </c>
      <c r="L18" s="21" t="n">
        <f aca="false">-K27</f>
        <v>-16170</v>
      </c>
      <c r="M18" s="21" t="n">
        <f aca="false">-L27</f>
        <v>-15608</v>
      </c>
      <c r="N18" s="21" t="n">
        <f aca="false">-M27</f>
        <v>-16494</v>
      </c>
      <c r="O18" s="21" t="n">
        <f aca="false">-N27</f>
        <v>-15857</v>
      </c>
      <c r="P18" s="21" t="n">
        <f aca="false">SUM(D18:O18)</f>
        <v>-210497</v>
      </c>
      <c r="Q18" s="21"/>
      <c r="R18" s="21"/>
    </row>
    <row r="19" customFormat="false" ht="8.1" hidden="false" customHeight="true" outlineLevel="0" collapsed="false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customFormat="false" ht="14.65" hidden="false" customHeight="false" outlineLevel="0" collapsed="false">
      <c r="A20" s="22" t="s">
        <v>33</v>
      </c>
      <c r="B20" s="27" t="s">
        <v>34</v>
      </c>
      <c r="C20" s="25" t="n">
        <v>615</v>
      </c>
      <c r="D20" s="28" t="n">
        <f aca="false">'''file:///mnt/12tb/@roms/datasets/enron/EDRM%20Enron%20Email%20Data%20Set%20v2%20XML/filtered-attachments/xls/EMTW01CE.XLS''#Source'!D9</f>
        <v>4888</v>
      </c>
      <c r="E20" s="28" t="n">
        <f aca="false">'''file:///mnt/12tb/@roms/datasets/enron/EDRM%20Enron%20Email%20Data%20Set%20v2%20XML/filtered-attachments/xls/EMTW01CE.XLS''#Source'!E9</f>
        <v>4666</v>
      </c>
      <c r="F20" s="28" t="n">
        <f aca="false">'''file:///mnt/12tb/@roms/datasets/enron/EDRM%20Enron%20Email%20Data%20Set%20v2%20XML/filtered-attachments/xls/EMTW01CE.XLS''#Source'!F9</f>
        <v>1896</v>
      </c>
      <c r="G20" s="29" t="n">
        <f aca="false">'''file:///mnt/12tb/@roms/datasets/enron/EDRM%20Enron%20Email%20Data%20Set%20v2%20XML/filtered-attachments/xls/EMTW01CE.XLS''#Source'!G9+21741</f>
        <v>11078</v>
      </c>
      <c r="H20" s="28" t="n">
        <f aca="false">'''file:///mnt/12tb/@roms/datasets/enron/EDRM%20Enron%20Email%20Data%20Set%20v2%20XML/filtered-attachments/xls/EMTW01CE.XLS''#Source'!H9</f>
        <v>327</v>
      </c>
      <c r="I20" s="28" t="n">
        <f aca="false">'''file:///mnt/12tb/@roms/datasets/enron/EDRM%20Enron%20Email%20Data%20Set%20v2%20XML/filtered-attachments/xls/EMTW01CE.XLS''#Source'!I9</f>
        <v>-372</v>
      </c>
      <c r="J20" s="28" t="n">
        <f aca="false">'''file:///mnt/12tb/@roms/datasets/enron/EDRM%20Enron%20Email%20Data%20Set%20v2%20XML/filtered-attachments/xls/EMTW01CE.XLS''#Source'!J9</f>
        <v>-1212</v>
      </c>
      <c r="K20" s="28" t="n">
        <f aca="false">'''file:///mnt/12tb/@roms/datasets/enron/EDRM%20Enron%20Email%20Data%20Set%20v2%20XML/filtered-attachments/xls/EMTW01CE.XLS''#Source'!K9</f>
        <v>2715</v>
      </c>
      <c r="L20" s="28" t="n">
        <f aca="false">'''file:///mnt/12tb/@roms/datasets/enron/EDRM%20Enron%20Email%20Data%20Set%20v2%20XML/filtered-attachments/xls/EMTW01CE.XLS''#Source'!L9</f>
        <v>2800</v>
      </c>
      <c r="M20" s="28" t="n">
        <f aca="false">'''file:///mnt/12tb/@roms/datasets/enron/EDRM%20Enron%20Email%20Data%20Set%20v2%20XML/filtered-attachments/xls/EMTW01CE.XLS''#Source'!M9</f>
        <v>3208</v>
      </c>
      <c r="N20" s="28" t="n">
        <f aca="false">'''file:///mnt/12tb/@roms/datasets/enron/EDRM%20Enron%20Email%20Data%20Set%20v2%20XML/filtered-attachments/xls/EMTW01CE.XLS''#Source'!N9</f>
        <v>3074</v>
      </c>
      <c r="O20" s="28" t="n">
        <f aca="false">'''file:///mnt/12tb/@roms/datasets/enron/EDRM%20Enron%20Email%20Data%20Set%20v2%20XML/filtered-attachments/xls/EMTW01CE.XLS''#Source'!O9</f>
        <v>2749</v>
      </c>
      <c r="P20" s="21" t="n">
        <f aca="false">SUM(D20:O20)</f>
        <v>35817</v>
      </c>
      <c r="Q20" s="25" t="n">
        <f aca="false">SUM(D20:J20)</f>
        <v>21271</v>
      </c>
      <c r="R20" s="21" t="n">
        <f aca="false">P20-Q20</f>
        <v>14546</v>
      </c>
    </row>
    <row r="21" customFormat="false" ht="14.65" hidden="false" customHeight="false" outlineLevel="0" collapsed="false">
      <c r="A21" s="22" t="s">
        <v>35</v>
      </c>
      <c r="B21" s="27" t="s">
        <v>34</v>
      </c>
      <c r="C21" s="25" t="n">
        <v>13909</v>
      </c>
      <c r="D21" s="28" t="n">
        <f aca="false">'''file:///mnt/12tb/@roms/datasets/enron/EDRM%20Enron%20Email%20Data%20Set%20v2%20XML/filtered-attachments/xls/EMTW01CE.XLS''#Source'!D10</f>
        <v>13915</v>
      </c>
      <c r="E21" s="28" t="n">
        <f aca="false">'''file:///mnt/12tb/@roms/datasets/enron/EDRM%20Enron%20Email%20Data%20Set%20v2%20XML/filtered-attachments/xls/EMTW01CE.XLS''#Source'!E10</f>
        <v>18344</v>
      </c>
      <c r="F21" s="28" t="n">
        <f aca="false">'''file:///mnt/12tb/@roms/datasets/enron/EDRM%20Enron%20Email%20Data%20Set%20v2%20XML/filtered-attachments/xls/EMTW01CE.XLS''#Source'!F10</f>
        <v>18106</v>
      </c>
      <c r="G21" s="28" t="n">
        <f aca="false">'''file:///mnt/12tb/@roms/datasets/enron/EDRM%20Enron%20Email%20Data%20Set%20v2%20XML/filtered-attachments/xls/EMTW01CE.XLS''#Source'!G10</f>
        <v>14923</v>
      </c>
      <c r="H21" s="28" t="n">
        <f aca="false">'''file:///mnt/12tb/@roms/datasets/enron/EDRM%20Enron%20Email%20Data%20Set%20v2%20XML/filtered-attachments/xls/EMTW01CE.XLS''#Source'!H10</f>
        <v>16340</v>
      </c>
      <c r="I21" s="28" t="n">
        <f aca="false">'''file:///mnt/12tb/@roms/datasets/enron/EDRM%20Enron%20Email%20Data%20Set%20v2%20XML/filtered-attachments/xls/EMTW01CE.XLS''#Source'!I10</f>
        <v>14618</v>
      </c>
      <c r="J21" s="28" t="n">
        <f aca="false">'''file:///mnt/12tb/@roms/datasets/enron/EDRM%20Enron%20Email%20Data%20Set%20v2%20XML/filtered-attachments/xls/EMTW01CE.XLS''#Source'!J10</f>
        <v>14327</v>
      </c>
      <c r="K21" s="28" t="n">
        <f aca="false">'''file:///mnt/12tb/@roms/datasets/enron/EDRM%20Enron%20Email%20Data%20Set%20v2%20XML/filtered-attachments/xls/EMTW01CE.XLS''#Source'!K10</f>
        <v>13455</v>
      </c>
      <c r="L21" s="28" t="n">
        <f aca="false">'''file:///mnt/12tb/@roms/datasets/enron/EDRM%20Enron%20Email%20Data%20Set%20v2%20XML/filtered-attachments/xls/EMTW01CE.XLS''#Source'!L10</f>
        <v>12808</v>
      </c>
      <c r="M21" s="28" t="n">
        <f aca="false">'''file:///mnt/12tb/@roms/datasets/enron/EDRM%20Enron%20Email%20Data%20Set%20v2%20XML/filtered-attachments/xls/EMTW01CE.XLS''#Source'!M10</f>
        <v>13286</v>
      </c>
      <c r="N21" s="28" t="n">
        <f aca="false">'''file:///mnt/12tb/@roms/datasets/enron/EDRM%20Enron%20Email%20Data%20Set%20v2%20XML/filtered-attachments/xls/EMTW01CE.XLS''#Source'!N10</f>
        <v>12783</v>
      </c>
      <c r="O21" s="28" t="n">
        <f aca="false">'''file:///mnt/12tb/@roms/datasets/enron/EDRM%20Enron%20Email%20Data%20Set%20v2%20XML/filtered-attachments/xls/EMTW01CE.XLS''#Source'!O10</f>
        <v>13495</v>
      </c>
      <c r="P21" s="21" t="n">
        <f aca="false">SUM(D21:O21)</f>
        <v>176400</v>
      </c>
      <c r="Q21" s="25" t="n">
        <f aca="false">SUM(D21:J21)</f>
        <v>110573</v>
      </c>
      <c r="R21" s="21" t="n">
        <f aca="false">P21-Q21</f>
        <v>65827</v>
      </c>
    </row>
    <row r="22" customFormat="false" ht="14.65" hidden="false" customHeight="false" outlineLevel="0" collapsed="false">
      <c r="A22" s="22" t="s">
        <v>36</v>
      </c>
      <c r="B22" s="27" t="s">
        <v>34</v>
      </c>
      <c r="C22" s="25" t="n">
        <v>0</v>
      </c>
      <c r="D22" s="28" t="n">
        <f aca="false">'''file:///mnt/12tb/@roms/datasets/enron/EDRM%20Enron%20Email%20Data%20Set%20v2%20XML/filtered-attachments/xls/EMTW01CE.XLS''#Source'!D11</f>
        <v>0</v>
      </c>
      <c r="E22" s="28" t="n">
        <f aca="false">'''file:///mnt/12tb/@roms/datasets/enron/EDRM%20Enron%20Email%20Data%20Set%20v2%20XML/filtered-attachments/xls/EMTW01CE.XLS''#Source'!E11</f>
        <v>0</v>
      </c>
      <c r="F22" s="28" t="n">
        <f aca="false">'''file:///mnt/12tb/@roms/datasets/enron/EDRM%20Enron%20Email%20Data%20Set%20v2%20XML/filtered-attachments/xls/EMTW01CE.XLS''#Source'!F11</f>
        <v>0</v>
      </c>
      <c r="G22" s="28" t="n">
        <f aca="false">'''file:///mnt/12tb/@roms/datasets/enron/EDRM%20Enron%20Email%20Data%20Set%20v2%20XML/filtered-attachments/xls/EMTW01CE.XLS''#Source'!G11</f>
        <v>0</v>
      </c>
      <c r="H22" s="28" t="n">
        <f aca="false">'''file:///mnt/12tb/@roms/datasets/enron/EDRM%20Enron%20Email%20Data%20Set%20v2%20XML/filtered-attachments/xls/EMTW01CE.XLS''#Source'!H11</f>
        <v>0</v>
      </c>
      <c r="I22" s="28" t="n">
        <f aca="false">'''file:///mnt/12tb/@roms/datasets/enron/EDRM%20Enron%20Email%20Data%20Set%20v2%20XML/filtered-attachments/xls/EMTW01CE.XLS''#Source'!I11</f>
        <v>0</v>
      </c>
      <c r="J22" s="28" t="n">
        <f aca="false">'''file:///mnt/12tb/@roms/datasets/enron/EDRM%20Enron%20Email%20Data%20Set%20v2%20XML/filtered-attachments/xls/EMTW01CE.XLS''#Source'!J11</f>
        <v>0</v>
      </c>
      <c r="K22" s="28" t="n">
        <f aca="false">'''file:///mnt/12tb/@roms/datasets/enron/EDRM%20Enron%20Email%20Data%20Set%20v2%20XML/filtered-attachments/xls/EMTW01CE.XLS''#Source'!K11</f>
        <v>0</v>
      </c>
      <c r="L22" s="28" t="n">
        <f aca="false">'''file:///mnt/12tb/@roms/datasets/enron/EDRM%20Enron%20Email%20Data%20Set%20v2%20XML/filtered-attachments/xls/EMTW01CE.XLS''#Source'!L11</f>
        <v>0</v>
      </c>
      <c r="M22" s="28" t="n">
        <f aca="false">'''file:///mnt/12tb/@roms/datasets/enron/EDRM%20Enron%20Email%20Data%20Set%20v2%20XML/filtered-attachments/xls/EMTW01CE.XLS''#Source'!M11</f>
        <v>0</v>
      </c>
      <c r="N22" s="28" t="n">
        <f aca="false">'''file:///mnt/12tb/@roms/datasets/enron/EDRM%20Enron%20Email%20Data%20Set%20v2%20XML/filtered-attachments/xls/EMTW01CE.XLS''#Source'!N11</f>
        <v>0</v>
      </c>
      <c r="O22" s="28" t="n">
        <f aca="false">'''file:///mnt/12tb/@roms/datasets/enron/EDRM%20Enron%20Email%20Data%20Set%20v2%20XML/filtered-attachments/xls/EMTW01CE.XLS''#Source'!O11</f>
        <v>0</v>
      </c>
      <c r="P22" s="21" t="n">
        <f aca="false">SUM(D22:O22)</f>
        <v>0</v>
      </c>
      <c r="Q22" s="25" t="n">
        <f aca="false">SUM(D22:J22)</f>
        <v>0</v>
      </c>
      <c r="R22" s="21" t="n">
        <f aca="false">P22-Q22</f>
        <v>0</v>
      </c>
    </row>
    <row r="23" customFormat="false" ht="14.65" hidden="false" customHeight="false" outlineLevel="0" collapsed="false">
      <c r="A23" s="22" t="s">
        <v>37</v>
      </c>
      <c r="B23" s="27" t="s">
        <v>34</v>
      </c>
      <c r="C23" s="25" t="n">
        <v>0</v>
      </c>
      <c r="D23" s="28" t="n">
        <f aca="false">'''file:///mnt/12tb/@roms/datasets/enron/EDRM%20Enron%20Email%20Data%20Set%20v2%20XML/filtered-attachments/xls/EMTW01CE.XLS''#Source'!D12</f>
        <v>0</v>
      </c>
      <c r="E23" s="28" t="n">
        <f aca="false">'''file:///mnt/12tb/@roms/datasets/enron/EDRM%20Enron%20Email%20Data%20Set%20v2%20XML/filtered-attachments/xls/EMTW01CE.XLS''#Source'!E12</f>
        <v>0</v>
      </c>
      <c r="F23" s="28" t="n">
        <f aca="false">'''file:///mnt/12tb/@roms/datasets/enron/EDRM%20Enron%20Email%20Data%20Set%20v2%20XML/filtered-attachments/xls/EMTW01CE.XLS''#Source'!F12</f>
        <v>0</v>
      </c>
      <c r="G23" s="28" t="n">
        <f aca="false">'''file:///mnt/12tb/@roms/datasets/enron/EDRM%20Enron%20Email%20Data%20Set%20v2%20XML/filtered-attachments/xls/EMTW01CE.XLS''#Source'!G12</f>
        <v>0</v>
      </c>
      <c r="H23" s="28" t="n">
        <f aca="false">'''file:///mnt/12tb/@roms/datasets/enron/EDRM%20Enron%20Email%20Data%20Set%20v2%20XML/filtered-attachments/xls/EMTW01CE.XLS''#Source'!H12</f>
        <v>0</v>
      </c>
      <c r="I23" s="28" t="n">
        <f aca="false">'''file:///mnt/12tb/@roms/datasets/enron/EDRM%20Enron%20Email%20Data%20Set%20v2%20XML/filtered-attachments/xls/EMTW01CE.XLS''#Source'!I12</f>
        <v>0</v>
      </c>
      <c r="J23" s="28" t="n">
        <f aca="false">'''file:///mnt/12tb/@roms/datasets/enron/EDRM%20Enron%20Email%20Data%20Set%20v2%20XML/filtered-attachments/xls/EMTW01CE.XLS''#Source'!J12</f>
        <v>0</v>
      </c>
      <c r="K23" s="28" t="n">
        <f aca="false">'''file:///mnt/12tb/@roms/datasets/enron/EDRM%20Enron%20Email%20Data%20Set%20v2%20XML/filtered-attachments/xls/EMTW01CE.XLS''#Source'!K12</f>
        <v>0</v>
      </c>
      <c r="L23" s="28" t="n">
        <f aca="false">'''file:///mnt/12tb/@roms/datasets/enron/EDRM%20Enron%20Email%20Data%20Set%20v2%20XML/filtered-attachments/xls/EMTW01CE.XLS''#Source'!L12</f>
        <v>0</v>
      </c>
      <c r="M23" s="28" t="n">
        <f aca="false">'''file:///mnt/12tb/@roms/datasets/enron/EDRM%20Enron%20Email%20Data%20Set%20v2%20XML/filtered-attachments/xls/EMTW01CE.XLS''#Source'!M12</f>
        <v>0</v>
      </c>
      <c r="N23" s="28" t="n">
        <f aca="false">'''file:///mnt/12tb/@roms/datasets/enron/EDRM%20Enron%20Email%20Data%20Set%20v2%20XML/filtered-attachments/xls/EMTW01CE.XLS''#Source'!N12</f>
        <v>0</v>
      </c>
      <c r="O23" s="28" t="n">
        <f aca="false">'''file:///mnt/12tb/@roms/datasets/enron/EDRM%20Enron%20Email%20Data%20Set%20v2%20XML/filtered-attachments/xls/EMTW01CE.XLS''#Source'!O12</f>
        <v>0</v>
      </c>
      <c r="P23" s="21" t="n">
        <f aca="false">SUM(D23:O23)</f>
        <v>0</v>
      </c>
      <c r="Q23" s="25" t="n">
        <f aca="false">SUM(D23:J23)</f>
        <v>0</v>
      </c>
      <c r="R23" s="21" t="n">
        <f aca="false">P23-Q23</f>
        <v>0</v>
      </c>
    </row>
    <row r="24" customFormat="false" ht="14.65" hidden="false" customHeight="false" outlineLevel="0" collapsed="false">
      <c r="A24" s="22" t="s">
        <v>38</v>
      </c>
      <c r="B24" s="27" t="s">
        <v>34</v>
      </c>
      <c r="C24" s="25" t="n">
        <v>0</v>
      </c>
      <c r="D24" s="28" t="n">
        <f aca="false">'''file:///mnt/12tb/@roms/datasets/enron/EDRM%20Enron%20Email%20Data%20Set%20v2%20XML/filtered-attachments/xls/EMTW01CE.XLS''#Source'!D8</f>
        <v>0</v>
      </c>
      <c r="E24" s="28" t="n">
        <f aca="false">'''file:///mnt/12tb/@roms/datasets/enron/EDRM%20Enron%20Email%20Data%20Set%20v2%20XML/filtered-attachments/xls/EMTW01CE.XLS''#Source'!E8</f>
        <v>0</v>
      </c>
      <c r="F24" s="28" t="n">
        <f aca="false">'''file:///mnt/12tb/@roms/datasets/enron/EDRM%20Enron%20Email%20Data%20Set%20v2%20XML/filtered-attachments/xls/EMTW01CE.XLS''#Source'!F8</f>
        <v>0</v>
      </c>
      <c r="G24" s="28" t="n">
        <f aca="false">'''file:///mnt/12tb/@roms/datasets/enron/EDRM%20Enron%20Email%20Data%20Set%20v2%20XML/filtered-attachments/xls/EMTW01CE.XLS''#Source'!G8</f>
        <v>0</v>
      </c>
      <c r="H24" s="28" t="n">
        <f aca="false">'''file:///mnt/12tb/@roms/datasets/enron/EDRM%20Enron%20Email%20Data%20Set%20v2%20XML/filtered-attachments/xls/EMTW01CE.XLS''#Source'!H8</f>
        <v>0</v>
      </c>
      <c r="I24" s="28" t="n">
        <f aca="false">'''file:///mnt/12tb/@roms/datasets/enron/EDRM%20Enron%20Email%20Data%20Set%20v2%20XML/filtered-attachments/xls/EMTW01CE.XLS''#Source'!I8</f>
        <v>0</v>
      </c>
      <c r="J24" s="28" t="n">
        <f aca="false">'''file:///mnt/12tb/@roms/datasets/enron/EDRM%20Enron%20Email%20Data%20Set%20v2%20XML/filtered-attachments/xls/EMTW01CE.XLS''#Source'!J8</f>
        <v>0</v>
      </c>
      <c r="K24" s="28" t="n">
        <f aca="false">'''file:///mnt/12tb/@roms/datasets/enron/EDRM%20Enron%20Email%20Data%20Set%20v2%20XML/filtered-attachments/xls/EMTW01CE.XLS''#Source'!K8</f>
        <v>0</v>
      </c>
      <c r="L24" s="28" t="n">
        <f aca="false">'''file:///mnt/12tb/@roms/datasets/enron/EDRM%20Enron%20Email%20Data%20Set%20v2%20XML/filtered-attachments/xls/EMTW01CE.XLS''#Source'!L8</f>
        <v>0</v>
      </c>
      <c r="M24" s="28" t="n">
        <f aca="false">'''file:///mnt/12tb/@roms/datasets/enron/EDRM%20Enron%20Email%20Data%20Set%20v2%20XML/filtered-attachments/xls/EMTW01CE.XLS''#Source'!M8</f>
        <v>0</v>
      </c>
      <c r="N24" s="28" t="n">
        <f aca="false">'''file:///mnt/12tb/@roms/datasets/enron/EDRM%20Enron%20Email%20Data%20Set%20v2%20XML/filtered-attachments/xls/EMTW01CE.XLS''#Source'!N8</f>
        <v>0</v>
      </c>
      <c r="O24" s="28" t="n">
        <f aca="false">'''file:///mnt/12tb/@roms/datasets/enron/EDRM%20Enron%20Email%20Data%20Set%20v2%20XML/filtered-attachments/xls/EMTW01CE.XLS''#Source'!O8</f>
        <v>0</v>
      </c>
      <c r="P24" s="21" t="n">
        <f aca="false">SUM(D24:O24)</f>
        <v>0</v>
      </c>
      <c r="Q24" s="25" t="n">
        <f aca="false">SUM(D24:J24)</f>
        <v>0</v>
      </c>
      <c r="R24" s="21" t="n">
        <f aca="false">P24-Q24</f>
        <v>0</v>
      </c>
    </row>
    <row r="25" customFormat="false" ht="14.65" hidden="false" customHeight="false" outlineLevel="0" collapsed="false">
      <c r="A25" s="22" t="s">
        <v>28</v>
      </c>
      <c r="C25" s="23" t="n">
        <v>0</v>
      </c>
      <c r="D25" s="23" t="n">
        <v>0</v>
      </c>
      <c r="E25" s="23" t="n">
        <v>0</v>
      </c>
      <c r="F25" s="23" t="n">
        <v>0</v>
      </c>
      <c r="G25" s="23" t="n">
        <v>0</v>
      </c>
      <c r="H25" s="23" t="n">
        <v>0</v>
      </c>
      <c r="I25" s="23" t="n">
        <v>0</v>
      </c>
      <c r="J25" s="23" t="n">
        <v>0</v>
      </c>
      <c r="K25" s="23" t="n">
        <v>0</v>
      </c>
      <c r="L25" s="23" t="n">
        <v>0</v>
      </c>
      <c r="M25" s="23" t="n">
        <v>0</v>
      </c>
      <c r="N25" s="23" t="n">
        <v>0</v>
      </c>
      <c r="O25" s="23" t="n">
        <v>0</v>
      </c>
      <c r="P25" s="24" t="n">
        <f aca="false">SUM(D25:O25)</f>
        <v>0</v>
      </c>
      <c r="Q25" s="23" t="n">
        <f aca="false">SUM(D25:J25)</f>
        <v>0</v>
      </c>
      <c r="R25" s="24" t="n">
        <f aca="false">P25-Q25</f>
        <v>0</v>
      </c>
    </row>
    <row r="26" customFormat="false" ht="3.95" hidden="false" customHeight="true" outlineLevel="0" collapsed="false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customFormat="false" ht="14.65" hidden="false" customHeight="false" outlineLevel="0" collapsed="false">
      <c r="A27" s="22" t="s">
        <v>39</v>
      </c>
      <c r="C27" s="21" t="n">
        <f aca="false">SUM(C20:C26)</f>
        <v>14524</v>
      </c>
      <c r="D27" s="21" t="n">
        <f aca="false">SUM(D20:D26)</f>
        <v>18803</v>
      </c>
      <c r="E27" s="21" t="n">
        <f aca="false">SUM(E20:E26)</f>
        <v>23010</v>
      </c>
      <c r="F27" s="21" t="n">
        <f aca="false">SUM(F20:F26)</f>
        <v>20002</v>
      </c>
      <c r="G27" s="21" t="n">
        <f aca="false">SUM(G20:G26)</f>
        <v>26001</v>
      </c>
      <c r="H27" s="21" t="n">
        <f aca="false">SUM(H20:H26)</f>
        <v>16667</v>
      </c>
      <c r="I27" s="21" t="n">
        <f aca="false">SUM(I20:I26)</f>
        <v>14246</v>
      </c>
      <c r="J27" s="21" t="n">
        <f aca="false">SUM(J20:J26)</f>
        <v>13115</v>
      </c>
      <c r="K27" s="21" t="n">
        <f aca="false">SUM(K20:K26)</f>
        <v>16170</v>
      </c>
      <c r="L27" s="21" t="n">
        <f aca="false">SUM(L20:L26)</f>
        <v>15608</v>
      </c>
      <c r="M27" s="21" t="n">
        <f aca="false">SUM(M20:M26)</f>
        <v>16494</v>
      </c>
      <c r="N27" s="21" t="n">
        <f aca="false">SUM(N20:N26)</f>
        <v>15857</v>
      </c>
      <c r="O27" s="21" t="n">
        <f aca="false">SUM(O20:O26)</f>
        <v>16244</v>
      </c>
      <c r="P27" s="21" t="n">
        <f aca="false">SUM(P20:P26)</f>
        <v>212217</v>
      </c>
      <c r="Q27" s="21" t="n">
        <f aca="false">SUM(Q20:Q26)</f>
        <v>131844</v>
      </c>
      <c r="R27" s="21" t="n">
        <f aca="false">P27-Q27</f>
        <v>80373</v>
      </c>
    </row>
    <row r="28" customFormat="false" ht="6" hidden="false" customHeight="true" outlineLevel="0" collapsed="false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customFormat="false" ht="14.65" hidden="false" customHeight="false" outlineLevel="0" collapsed="false">
      <c r="A29" s="22" t="s">
        <v>40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1" t="n">
        <f aca="false">SUM(D29:O29)</f>
        <v>0</v>
      </c>
      <c r="Q29" s="25" t="n">
        <f aca="false">SUM(D29:J29)</f>
        <v>0</v>
      </c>
      <c r="R29" s="21" t="n">
        <f aca="false">P29-Q29</f>
        <v>0</v>
      </c>
    </row>
    <row r="30" customFormat="false" ht="14.65" hidden="false" customHeight="false" outlineLevel="0" collapsed="false">
      <c r="A30" s="22" t="s">
        <v>40</v>
      </c>
      <c r="C30" s="25" t="n">
        <v>0</v>
      </c>
      <c r="D30" s="25" t="n"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5" t="n">
        <v>0</v>
      </c>
      <c r="L30" s="25" t="n">
        <v>0</v>
      </c>
      <c r="M30" s="25" t="n">
        <v>0</v>
      </c>
      <c r="N30" s="25" t="n">
        <v>0</v>
      </c>
      <c r="O30" s="25" t="n">
        <v>0</v>
      </c>
      <c r="P30" s="21" t="n">
        <f aca="false">SUM(D30:O30)</f>
        <v>0</v>
      </c>
      <c r="Q30" s="25" t="n">
        <f aca="false">SUM(D30:J30)</f>
        <v>0</v>
      </c>
      <c r="R30" s="21" t="n">
        <f aca="false">P30-Q30</f>
        <v>0</v>
      </c>
    </row>
    <row r="31" customFormat="false" ht="14.65" hidden="false" customHeight="false" outlineLevel="0" collapsed="false">
      <c r="A31" s="22" t="s">
        <v>41</v>
      </c>
      <c r="C31" s="25" t="n">
        <v>-12962</v>
      </c>
      <c r="D31" s="25" t="n">
        <v>0</v>
      </c>
      <c r="E31" s="25" t="n">
        <v>0</v>
      </c>
      <c r="F31" s="25" t="n">
        <v>12962</v>
      </c>
      <c r="G31" s="25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1" t="n">
        <f aca="false">SUM(D31:O31)</f>
        <v>12962</v>
      </c>
      <c r="Q31" s="25" t="n">
        <f aca="false">SUM(D31:J31)</f>
        <v>12962</v>
      </c>
      <c r="R31" s="21" t="n">
        <f aca="false">P31-Q31</f>
        <v>0</v>
      </c>
    </row>
    <row r="32" customFormat="false" ht="14.65" hidden="false" customHeight="false" outlineLevel="0" collapsed="false">
      <c r="A32" s="22" t="s">
        <v>40</v>
      </c>
      <c r="C32" s="23" t="n">
        <v>0</v>
      </c>
      <c r="D32" s="23" t="n">
        <v>-5212</v>
      </c>
      <c r="E32" s="23" t="n">
        <v>-3735</v>
      </c>
      <c r="F32" s="23" t="n">
        <v>4498</v>
      </c>
      <c r="G32" s="23" t="n">
        <v>-10425</v>
      </c>
      <c r="H32" s="23" t="n">
        <v>11839</v>
      </c>
      <c r="I32" s="23" t="n">
        <v>-8553</v>
      </c>
      <c r="J32" s="23" t="n">
        <v>12766</v>
      </c>
      <c r="K32" s="23" t="n">
        <v>0</v>
      </c>
      <c r="L32" s="23" t="n">
        <v>0</v>
      </c>
      <c r="M32" s="23" t="n">
        <v>0</v>
      </c>
      <c r="N32" s="23" t="n">
        <v>0</v>
      </c>
      <c r="O32" s="23" t="n">
        <v>0</v>
      </c>
      <c r="P32" s="24" t="n">
        <f aca="false">SUM(D32:O32)</f>
        <v>1178</v>
      </c>
      <c r="Q32" s="23" t="n">
        <f aca="false">SUM(D32:J32)</f>
        <v>1178</v>
      </c>
      <c r="R32" s="24" t="n">
        <f aca="false">P32-Q32</f>
        <v>0</v>
      </c>
    </row>
    <row r="33" customFormat="false" ht="3.95" hidden="false" customHeight="true" outlineLevel="0" collapsed="false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customFormat="false" ht="14.65" hidden="false" customHeight="false" outlineLevel="0" collapsed="false">
      <c r="A34" s="20" t="s">
        <v>42</v>
      </c>
      <c r="C34" s="21" t="n">
        <f aca="false">C17+C18+C27+SUM(C29:C32)</f>
        <v>7581</v>
      </c>
      <c r="D34" s="21" t="n">
        <f aca="false">D17+D18+D27+SUM(D29:D32)</f>
        <v>6648</v>
      </c>
      <c r="E34" s="21" t="n">
        <f aca="false">E17+E18+E27+SUM(E29:E32)</f>
        <v>7120</v>
      </c>
      <c r="F34" s="21" t="n">
        <f aca="false">F17+F18+F27+SUM(F29:F32)</f>
        <v>21572</v>
      </c>
      <c r="G34" s="21" t="n">
        <f aca="false">G17+G18+G27+SUM(G29:G32)</f>
        <v>17146</v>
      </c>
      <c r="H34" s="21" t="n">
        <f aca="false">H17+H18+H27+SUM(H29:H32)</f>
        <v>19651</v>
      </c>
      <c r="I34" s="21" t="n">
        <f aca="false">I17+I18+I27+SUM(I29:I32)</f>
        <v>8677</v>
      </c>
      <c r="J34" s="21" t="n">
        <f aca="false">J17+J18+J27+SUM(J29:J32)</f>
        <v>20312</v>
      </c>
      <c r="K34" s="21" t="n">
        <f aca="false">K17+K18+K27+SUM(K29:K32)</f>
        <v>23367</v>
      </c>
      <c r="L34" s="21" t="n">
        <f aca="false">L17+L18+L27+SUM(L29:L32)</f>
        <v>22805</v>
      </c>
      <c r="M34" s="21" t="n">
        <f aca="false">M17+M18+M27+SUM(M29:M32)</f>
        <v>23691</v>
      </c>
      <c r="N34" s="21" t="n">
        <f aca="false">N17+N18+N27+SUM(N29:N32)</f>
        <v>23054</v>
      </c>
      <c r="O34" s="21" t="n">
        <f aca="false">O17+O18+O27+SUM(O29:O32)</f>
        <v>23441</v>
      </c>
      <c r="P34" s="21"/>
    </row>
    <row r="35" customFormat="false" ht="3.95" hidden="false" customHeight="true" outlineLevel="0" collapsed="false"/>
    <row r="36" customFormat="false" ht="14.65" hidden="false" customHeight="false" outlineLevel="0" collapsed="false">
      <c r="A36" s="22" t="s">
        <v>30</v>
      </c>
      <c r="D36" s="21" t="n">
        <f aca="false">D34-C34</f>
        <v>-933</v>
      </c>
      <c r="E36" s="21" t="n">
        <f aca="false">E34-D34</f>
        <v>472</v>
      </c>
      <c r="F36" s="21" t="n">
        <f aca="false">F34-E34</f>
        <v>14452</v>
      </c>
      <c r="G36" s="21" t="n">
        <f aca="false">G34-F34</f>
        <v>-4426</v>
      </c>
      <c r="H36" s="21" t="n">
        <f aca="false">H34-G34</f>
        <v>2505</v>
      </c>
      <c r="I36" s="21" t="n">
        <f aca="false">I34-H34</f>
        <v>-10974</v>
      </c>
      <c r="J36" s="21" t="n">
        <f aca="false">J34-I34</f>
        <v>11635</v>
      </c>
      <c r="K36" s="21" t="n">
        <f aca="false">K34-J34</f>
        <v>3055</v>
      </c>
      <c r="L36" s="21" t="n">
        <f aca="false">L34-K34</f>
        <v>-562</v>
      </c>
      <c r="M36" s="21" t="n">
        <f aca="false">M34-L34</f>
        <v>886</v>
      </c>
      <c r="N36" s="21" t="n">
        <f aca="false">N34-M34</f>
        <v>-637</v>
      </c>
      <c r="O36" s="21" t="n">
        <f aca="false">O34-N34</f>
        <v>387</v>
      </c>
      <c r="P36" s="21" t="n">
        <f aca="false">SUM(D36:O36)</f>
        <v>15860</v>
      </c>
      <c r="Q36" s="25" t="n">
        <f aca="false">SUM(D36:J36)</f>
        <v>12731</v>
      </c>
      <c r="R36" s="21" t="n">
        <f aca="false">P36-Q36</f>
        <v>3129</v>
      </c>
    </row>
    <row r="38" customFormat="false" ht="14.65" hidden="false" customHeight="false" outlineLevel="0" collapsed="false">
      <c r="A38" s="20" t="s">
        <v>43</v>
      </c>
      <c r="C38" s="21"/>
      <c r="D38" s="21" t="n">
        <f aca="false">C42</f>
        <v>0</v>
      </c>
      <c r="E38" s="21" t="n">
        <f aca="false">D42</f>
        <v>0</v>
      </c>
      <c r="F38" s="21" t="n">
        <f aca="false">E42</f>
        <v>0</v>
      </c>
      <c r="G38" s="21" t="n">
        <f aca="false">F42</f>
        <v>0</v>
      </c>
      <c r="H38" s="21" t="n">
        <f aca="false">G42</f>
        <v>42</v>
      </c>
      <c r="I38" s="21" t="n">
        <f aca="false">H42</f>
        <v>53</v>
      </c>
      <c r="J38" s="21" t="n">
        <f aca="false">I42</f>
        <v>4541</v>
      </c>
      <c r="K38" s="21" t="n">
        <f aca="false">J42</f>
        <v>5383</v>
      </c>
      <c r="L38" s="21" t="n">
        <f aca="false">K42</f>
        <v>5383</v>
      </c>
      <c r="M38" s="21" t="n">
        <f aca="false">L42</f>
        <v>5383</v>
      </c>
      <c r="N38" s="21" t="n">
        <f aca="false">M42</f>
        <v>5383</v>
      </c>
      <c r="O38" s="21" t="n">
        <f aca="false">N42</f>
        <v>5383</v>
      </c>
      <c r="P38" s="21"/>
    </row>
    <row r="39" customFormat="false" ht="14.65" hidden="false" customHeight="false" outlineLevel="0" collapsed="false">
      <c r="A39" s="22" t="s">
        <v>44</v>
      </c>
      <c r="C39" s="25" t="n">
        <v>0</v>
      </c>
      <c r="D39" s="25" t="n">
        <v>0</v>
      </c>
      <c r="E39" s="25" t="n">
        <v>0</v>
      </c>
      <c r="F39" s="25" t="n">
        <v>0</v>
      </c>
      <c r="G39" s="25" t="n">
        <v>42</v>
      </c>
      <c r="H39" s="25" t="n">
        <v>11</v>
      </c>
      <c r="I39" s="25" t="n">
        <v>4488</v>
      </c>
      <c r="J39" s="25" t="n">
        <v>842</v>
      </c>
      <c r="K39" s="25" t="n">
        <v>0</v>
      </c>
      <c r="L39" s="25" t="n">
        <v>0</v>
      </c>
      <c r="M39" s="25" t="n">
        <v>0</v>
      </c>
      <c r="N39" s="25" t="n">
        <v>0</v>
      </c>
      <c r="O39" s="25" t="n">
        <v>0</v>
      </c>
      <c r="P39" s="21" t="n">
        <f aca="false">SUM(D39:O39)</f>
        <v>5383</v>
      </c>
      <c r="Q39" s="25" t="n">
        <f aca="false">SUM(D39:J39)</f>
        <v>5383</v>
      </c>
      <c r="R39" s="21" t="n">
        <f aca="false">P39-Q39</f>
        <v>0</v>
      </c>
    </row>
    <row r="40" customFormat="false" ht="14.65" hidden="false" customHeight="false" outlineLevel="0" collapsed="false">
      <c r="A40" s="22" t="s">
        <v>28</v>
      </c>
      <c r="C40" s="23" t="n">
        <v>0</v>
      </c>
      <c r="D40" s="23" t="n">
        <v>0</v>
      </c>
      <c r="E40" s="23" t="n">
        <v>0</v>
      </c>
      <c r="F40" s="23" t="n">
        <v>0</v>
      </c>
      <c r="G40" s="23" t="n">
        <v>0</v>
      </c>
      <c r="H40" s="23" t="n">
        <v>0</v>
      </c>
      <c r="I40" s="23" t="n">
        <v>0</v>
      </c>
      <c r="J40" s="23" t="n">
        <v>0</v>
      </c>
      <c r="K40" s="23" t="n">
        <v>0</v>
      </c>
      <c r="L40" s="23" t="n">
        <v>0</v>
      </c>
      <c r="M40" s="23" t="n">
        <v>0</v>
      </c>
      <c r="N40" s="23" t="n">
        <v>0</v>
      </c>
      <c r="O40" s="23" t="n">
        <v>0</v>
      </c>
      <c r="P40" s="24" t="n">
        <f aca="false">SUM(D40:O40)</f>
        <v>0</v>
      </c>
      <c r="Q40" s="23" t="n">
        <f aca="false">SUM(D40:J40)</f>
        <v>0</v>
      </c>
      <c r="R40" s="24" t="n">
        <f aca="false">P40-Q40</f>
        <v>0</v>
      </c>
    </row>
    <row r="41" customFormat="false" ht="3.95" hidden="false" customHeight="true" outlineLevel="0" collapsed="false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customFormat="false" ht="14.65" hidden="false" customHeight="false" outlineLevel="0" collapsed="false">
      <c r="A42" s="20" t="s">
        <v>45</v>
      </c>
      <c r="C42" s="21" t="n">
        <f aca="false">SUM(C38:C41)</f>
        <v>0</v>
      </c>
      <c r="D42" s="21" t="n">
        <f aca="false">SUM(D38:D41)</f>
        <v>0</v>
      </c>
      <c r="E42" s="21" t="n">
        <f aca="false">SUM(E38:E41)</f>
        <v>0</v>
      </c>
      <c r="F42" s="21" t="n">
        <f aca="false">SUM(F38:F41)</f>
        <v>0</v>
      </c>
      <c r="G42" s="21" t="n">
        <f aca="false">SUM(G38:G41)</f>
        <v>42</v>
      </c>
      <c r="H42" s="21" t="n">
        <f aca="false">SUM(H38:H41)</f>
        <v>53</v>
      </c>
      <c r="I42" s="21" t="n">
        <f aca="false">SUM(I38:I41)</f>
        <v>4541</v>
      </c>
      <c r="J42" s="21" t="n">
        <f aca="false">SUM(J38:J41)</f>
        <v>5383</v>
      </c>
      <c r="K42" s="21" t="n">
        <f aca="false">SUM(K38:K41)</f>
        <v>5383</v>
      </c>
      <c r="L42" s="21" t="n">
        <f aca="false">SUM(L38:L41)</f>
        <v>5383</v>
      </c>
      <c r="M42" s="21" t="n">
        <f aca="false">SUM(M38:M41)</f>
        <v>5383</v>
      </c>
      <c r="N42" s="21" t="n">
        <f aca="false">SUM(N38:N41)</f>
        <v>5383</v>
      </c>
      <c r="O42" s="21" t="n">
        <f aca="false">SUM(O38:O41)</f>
        <v>5383</v>
      </c>
      <c r="P42" s="21"/>
    </row>
    <row r="43" customFormat="false" ht="3.95" hidden="false" customHeight="true" outlineLevel="0" collapsed="false"/>
    <row r="44" customFormat="false" ht="14.65" hidden="false" customHeight="false" outlineLevel="0" collapsed="false">
      <c r="A44" s="22" t="s">
        <v>30</v>
      </c>
      <c r="C44" s="21"/>
      <c r="D44" s="21" t="n">
        <f aca="false">D42-C42</f>
        <v>0</v>
      </c>
      <c r="E44" s="21" t="n">
        <f aca="false">E42-D42</f>
        <v>0</v>
      </c>
      <c r="F44" s="21" t="n">
        <f aca="false">F42-E42</f>
        <v>0</v>
      </c>
      <c r="G44" s="21" t="n">
        <f aca="false">G42-F42</f>
        <v>42</v>
      </c>
      <c r="H44" s="21" t="n">
        <f aca="false">H42-G42</f>
        <v>11</v>
      </c>
      <c r="I44" s="21" t="n">
        <f aca="false">I42-H42</f>
        <v>4488</v>
      </c>
      <c r="J44" s="21" t="n">
        <f aca="false">J42-I42</f>
        <v>842</v>
      </c>
      <c r="K44" s="21" t="n">
        <f aca="false">K42-J42</f>
        <v>0</v>
      </c>
      <c r="L44" s="21" t="n">
        <f aca="false">L42-K42</f>
        <v>0</v>
      </c>
      <c r="M44" s="21" t="n">
        <f aca="false">M42-L42</f>
        <v>0</v>
      </c>
      <c r="N44" s="21" t="n">
        <f aca="false">N42-M42</f>
        <v>0</v>
      </c>
      <c r="O44" s="21" t="n">
        <f aca="false">O42-N42</f>
        <v>0</v>
      </c>
      <c r="P44" s="21" t="n">
        <f aca="false">SUM(D44:O44)</f>
        <v>5383</v>
      </c>
      <c r="Q44" s="21" t="n">
        <f aca="false">SUM(Q39:Q41)</f>
        <v>5383</v>
      </c>
      <c r="R44" s="21" t="n">
        <f aca="false">P44-Q44</f>
        <v>0</v>
      </c>
    </row>
    <row r="46" customFormat="false" ht="14.65" hidden="false" customHeight="false" outlineLevel="0" collapsed="false">
      <c r="A46" s="20" t="s">
        <v>46</v>
      </c>
      <c r="C46" s="21"/>
      <c r="D46" s="21" t="n">
        <f aca="false">C53</f>
        <v>6</v>
      </c>
      <c r="E46" s="21" t="n">
        <f aca="false">D53</f>
        <v>5</v>
      </c>
      <c r="F46" s="21" t="n">
        <f aca="false">E53</f>
        <v>4</v>
      </c>
      <c r="G46" s="21" t="n">
        <f aca="false">F53</f>
        <v>3</v>
      </c>
      <c r="H46" s="21" t="n">
        <f aca="false">G53</f>
        <v>3</v>
      </c>
      <c r="I46" s="21" t="n">
        <f aca="false">H53</f>
        <v>2</v>
      </c>
      <c r="J46" s="21" t="n">
        <f aca="false">I53</f>
        <v>1</v>
      </c>
      <c r="K46" s="21" t="n">
        <f aca="false">J53</f>
        <v>0</v>
      </c>
      <c r="L46" s="21" t="n">
        <f aca="false">K53</f>
        <v>0</v>
      </c>
      <c r="M46" s="21" t="n">
        <f aca="false">L53</f>
        <v>0</v>
      </c>
      <c r="N46" s="21" t="n">
        <f aca="false">M53</f>
        <v>0</v>
      </c>
      <c r="O46" s="21" t="n">
        <f aca="false">N53</f>
        <v>0</v>
      </c>
      <c r="P46" s="21"/>
      <c r="Q46" s="21"/>
    </row>
    <row r="47" customFormat="false" ht="14.65" hidden="false" customHeight="false" outlineLevel="0" collapsed="false">
      <c r="A47" s="22" t="s">
        <v>47</v>
      </c>
      <c r="C47" s="25" t="n">
        <v>0</v>
      </c>
      <c r="D47" s="25" t="n">
        <v>0</v>
      </c>
      <c r="E47" s="25" t="n">
        <v>0</v>
      </c>
      <c r="F47" s="25" t="n">
        <v>0</v>
      </c>
      <c r="G47" s="25" t="n">
        <v>0</v>
      </c>
      <c r="H47" s="25" t="n">
        <v>0</v>
      </c>
      <c r="I47" s="25" t="n">
        <v>0</v>
      </c>
      <c r="J47" s="25" t="n">
        <v>0</v>
      </c>
      <c r="K47" s="25" t="n">
        <v>0</v>
      </c>
      <c r="L47" s="25" t="n">
        <v>0</v>
      </c>
      <c r="M47" s="25" t="n">
        <v>0</v>
      </c>
      <c r="N47" s="25" t="n">
        <v>0</v>
      </c>
      <c r="O47" s="25" t="n">
        <v>0</v>
      </c>
      <c r="P47" s="21" t="n">
        <f aca="false">SUM(D47:O47)</f>
        <v>0</v>
      </c>
      <c r="Q47" s="25" t="n">
        <f aca="false">SUM(D47:J47)</f>
        <v>0</v>
      </c>
      <c r="R47" s="21" t="n">
        <f aca="false">P47-Q47</f>
        <v>0</v>
      </c>
    </row>
    <row r="48" customFormat="false" ht="14.65" hidden="false" customHeight="false" outlineLevel="0" collapsed="false">
      <c r="A48" s="22" t="s">
        <v>48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156</v>
      </c>
      <c r="P48" s="21" t="n">
        <f aca="false">SUM(D48:O48)</f>
        <v>156</v>
      </c>
      <c r="Q48" s="25" t="n">
        <f aca="false">SUM(D48:J48)</f>
        <v>0</v>
      </c>
      <c r="R48" s="21" t="n">
        <f aca="false">P48-Q48</f>
        <v>156</v>
      </c>
    </row>
    <row r="49" customFormat="false" ht="14.65" hidden="false" customHeight="false" outlineLevel="0" collapsed="false">
      <c r="A49" s="22" t="s">
        <v>49</v>
      </c>
      <c r="C49" s="25" t="n">
        <v>6</v>
      </c>
      <c r="D49" s="25" t="n">
        <v>-1</v>
      </c>
      <c r="E49" s="25" t="n">
        <v>-1</v>
      </c>
      <c r="F49" s="25" t="n">
        <v>-1</v>
      </c>
      <c r="G49" s="25" t="n">
        <v>0</v>
      </c>
      <c r="H49" s="25" t="n">
        <v>-1</v>
      </c>
      <c r="I49" s="25" t="n">
        <v>-1</v>
      </c>
      <c r="J49" s="25" t="n">
        <v>-1</v>
      </c>
      <c r="K49" s="25" t="n">
        <v>0</v>
      </c>
      <c r="L49" s="25" t="n">
        <v>0</v>
      </c>
      <c r="M49" s="25" t="n">
        <v>0</v>
      </c>
      <c r="N49" s="25" t="n">
        <v>0</v>
      </c>
      <c r="O49" s="25" t="n">
        <v>0</v>
      </c>
      <c r="P49" s="21" t="n">
        <f aca="false">SUM(D49:O49)</f>
        <v>-6</v>
      </c>
      <c r="Q49" s="25" t="n">
        <f aca="false">SUM(D49:J49)</f>
        <v>-6</v>
      </c>
      <c r="R49" s="21" t="n">
        <f aca="false">P49-Q49</f>
        <v>0</v>
      </c>
    </row>
    <row r="50" customFormat="false" ht="14.65" hidden="false" customHeight="false" outlineLevel="0" collapsed="false">
      <c r="A50" s="22" t="s">
        <v>40</v>
      </c>
      <c r="C50" s="25" t="n">
        <v>0</v>
      </c>
      <c r="D50" s="25" t="n">
        <v>0</v>
      </c>
      <c r="E50" s="25" t="n">
        <v>0</v>
      </c>
      <c r="F50" s="25" t="n">
        <v>0</v>
      </c>
      <c r="G50" s="25" t="n">
        <v>0</v>
      </c>
      <c r="H50" s="25" t="n">
        <v>0</v>
      </c>
      <c r="I50" s="25" t="n">
        <v>0</v>
      </c>
      <c r="J50" s="25" t="n">
        <v>0</v>
      </c>
      <c r="K50" s="25" t="n">
        <v>0</v>
      </c>
      <c r="L50" s="25" t="n">
        <v>0</v>
      </c>
      <c r="M50" s="25" t="n">
        <v>0</v>
      </c>
      <c r="N50" s="25" t="n">
        <v>0</v>
      </c>
      <c r="O50" s="25" t="n">
        <v>0</v>
      </c>
      <c r="P50" s="21" t="n">
        <f aca="false">SUM(D50:O50)</f>
        <v>0</v>
      </c>
      <c r="Q50" s="25" t="n">
        <f aca="false">SUM(D50:J50)</f>
        <v>0</v>
      </c>
      <c r="R50" s="21" t="n">
        <f aca="false">P50-Q50</f>
        <v>0</v>
      </c>
    </row>
    <row r="51" customFormat="false" ht="14.65" hidden="false" customHeight="false" outlineLevel="0" collapsed="false">
      <c r="A51" s="22" t="s">
        <v>28</v>
      </c>
      <c r="C51" s="23" t="n">
        <v>0</v>
      </c>
      <c r="D51" s="23" t="n">
        <v>0</v>
      </c>
      <c r="E51" s="23" t="n">
        <v>0</v>
      </c>
      <c r="F51" s="23" t="n">
        <v>0</v>
      </c>
      <c r="G51" s="23" t="n">
        <v>0</v>
      </c>
      <c r="H51" s="23" t="n">
        <v>0</v>
      </c>
      <c r="I51" s="23" t="n">
        <v>0</v>
      </c>
      <c r="J51" s="23" t="n">
        <v>0</v>
      </c>
      <c r="K51" s="23" t="n">
        <v>0</v>
      </c>
      <c r="L51" s="23" t="n">
        <v>0</v>
      </c>
      <c r="M51" s="23" t="n">
        <v>0</v>
      </c>
      <c r="N51" s="23" t="n">
        <v>0</v>
      </c>
      <c r="O51" s="23" t="n">
        <v>0</v>
      </c>
      <c r="P51" s="24" t="n">
        <f aca="false">SUM(D51:O51)</f>
        <v>0</v>
      </c>
      <c r="Q51" s="23" t="n">
        <f aca="false">SUM(D51:J51)</f>
        <v>0</v>
      </c>
      <c r="R51" s="24" t="n">
        <f aca="false">P51-Q51</f>
        <v>0</v>
      </c>
    </row>
    <row r="52" customFormat="false" ht="3.95" hidden="false" customHeight="true" outlineLevel="0" collapsed="false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customFormat="false" ht="14.65" hidden="false" customHeight="false" outlineLevel="0" collapsed="false">
      <c r="A53" s="20" t="s">
        <v>50</v>
      </c>
      <c r="C53" s="21" t="n">
        <f aca="false">SUM(C47:C52)</f>
        <v>6</v>
      </c>
      <c r="D53" s="21" t="n">
        <f aca="false">SUM(D46:D52)</f>
        <v>5</v>
      </c>
      <c r="E53" s="21" t="n">
        <f aca="false">SUM(E46:E52)</f>
        <v>4</v>
      </c>
      <c r="F53" s="21" t="n">
        <f aca="false">SUM(F46:F52)</f>
        <v>3</v>
      </c>
      <c r="G53" s="21" t="n">
        <f aca="false">SUM(G46:G52)</f>
        <v>3</v>
      </c>
      <c r="H53" s="21" t="n">
        <f aca="false">SUM(H46:H52)</f>
        <v>2</v>
      </c>
      <c r="I53" s="21" t="n">
        <f aca="false">SUM(I46:I52)</f>
        <v>1</v>
      </c>
      <c r="J53" s="21" t="n">
        <f aca="false">SUM(J46:J52)</f>
        <v>0</v>
      </c>
      <c r="K53" s="21" t="n">
        <f aca="false">SUM(K46:K52)</f>
        <v>0</v>
      </c>
      <c r="L53" s="21" t="n">
        <f aca="false">SUM(L46:L52)</f>
        <v>0</v>
      </c>
      <c r="M53" s="21" t="n">
        <f aca="false">SUM(M46:M52)</f>
        <v>0</v>
      </c>
      <c r="N53" s="21" t="n">
        <f aca="false">SUM(N46:N52)</f>
        <v>0</v>
      </c>
      <c r="O53" s="21" t="n">
        <f aca="false">SUM(O46:O52)</f>
        <v>156</v>
      </c>
      <c r="P53" s="21"/>
      <c r="Q53" s="21"/>
    </row>
    <row r="54" customFormat="false" ht="3.95" hidden="false" customHeight="true" outlineLevel="0" collapsed="false"/>
    <row r="55" customFormat="false" ht="14.65" hidden="false" customHeight="false" outlineLevel="0" collapsed="false">
      <c r="A55" s="22" t="s">
        <v>30</v>
      </c>
      <c r="C55" s="21"/>
      <c r="D55" s="21" t="n">
        <f aca="false">D53-C53</f>
        <v>-1</v>
      </c>
      <c r="E55" s="21" t="n">
        <f aca="false">E53-D53</f>
        <v>-1</v>
      </c>
      <c r="F55" s="21" t="n">
        <f aca="false">F53-E53</f>
        <v>-1</v>
      </c>
      <c r="G55" s="21" t="n">
        <f aca="false">G53-F53</f>
        <v>0</v>
      </c>
      <c r="H55" s="21" t="n">
        <f aca="false">H53-G53</f>
        <v>-1</v>
      </c>
      <c r="I55" s="21" t="n">
        <f aca="false">I53-H53</f>
        <v>-1</v>
      </c>
      <c r="J55" s="21" t="n">
        <f aca="false">J53-I53</f>
        <v>-1</v>
      </c>
      <c r="K55" s="21" t="n">
        <f aca="false">K53-J53</f>
        <v>0</v>
      </c>
      <c r="L55" s="21" t="n">
        <f aca="false">L53-K53</f>
        <v>0</v>
      </c>
      <c r="M55" s="21" t="n">
        <f aca="false">M53-L53</f>
        <v>0</v>
      </c>
      <c r="N55" s="21" t="n">
        <f aca="false">N53-M53</f>
        <v>0</v>
      </c>
      <c r="O55" s="21" t="n">
        <f aca="false">O53-N53</f>
        <v>156</v>
      </c>
      <c r="P55" s="21" t="n">
        <f aca="false">SUM(D55:O55)</f>
        <v>150</v>
      </c>
      <c r="Q55" s="21" t="n">
        <f aca="false">SUM(Q47:Q52)</f>
        <v>-6</v>
      </c>
      <c r="R55" s="21" t="n">
        <f aca="false">P55-Q55</f>
        <v>156</v>
      </c>
    </row>
    <row r="57" customFormat="false" ht="14.65" hidden="false" customHeight="false" outlineLevel="0" collapsed="false">
      <c r="A57" s="20" t="s">
        <v>51</v>
      </c>
      <c r="C57" s="21"/>
      <c r="D57" s="21" t="n">
        <f aca="false">C60</f>
        <v>4134</v>
      </c>
      <c r="E57" s="21" t="n">
        <f aca="false">D60</f>
        <v>4127</v>
      </c>
      <c r="F57" s="21" t="n">
        <f aca="false">E60</f>
        <v>4133</v>
      </c>
      <c r="G57" s="21" t="n">
        <f aca="false">F60</f>
        <v>4106</v>
      </c>
      <c r="H57" s="21" t="n">
        <f aca="false">G60</f>
        <v>4096</v>
      </c>
      <c r="I57" s="21" t="n">
        <f aca="false">H60</f>
        <v>4063</v>
      </c>
      <c r="J57" s="21" t="n">
        <f aca="false">I60</f>
        <v>4051</v>
      </c>
      <c r="K57" s="21" t="n">
        <f aca="false">J60</f>
        <v>4033</v>
      </c>
      <c r="L57" s="21" t="n">
        <f aca="false">K60</f>
        <v>4033</v>
      </c>
      <c r="M57" s="21" t="n">
        <f aca="false">L60</f>
        <v>4033</v>
      </c>
      <c r="N57" s="21" t="n">
        <f aca="false">M60</f>
        <v>4033</v>
      </c>
      <c r="O57" s="21" t="n">
        <f aca="false">N60</f>
        <v>4033</v>
      </c>
      <c r="P57" s="21"/>
    </row>
    <row r="58" customFormat="false" ht="14.65" hidden="false" customHeight="false" outlineLevel="0" collapsed="false">
      <c r="A58" s="22" t="s">
        <v>28</v>
      </c>
      <c r="C58" s="23" t="n">
        <v>0</v>
      </c>
      <c r="D58" s="23" t="n">
        <v>-7</v>
      </c>
      <c r="E58" s="23" t="n">
        <v>6</v>
      </c>
      <c r="F58" s="23" t="n">
        <v>-27</v>
      </c>
      <c r="G58" s="23" t="n">
        <v>-10</v>
      </c>
      <c r="H58" s="23" t="n">
        <v>-33</v>
      </c>
      <c r="I58" s="23" t="n">
        <v>-12</v>
      </c>
      <c r="J58" s="23" t="n">
        <v>-18</v>
      </c>
      <c r="K58" s="23" t="n">
        <v>0</v>
      </c>
      <c r="L58" s="23" t="n">
        <v>0</v>
      </c>
      <c r="M58" s="23" t="n">
        <v>0</v>
      </c>
      <c r="N58" s="23" t="n">
        <v>0</v>
      </c>
      <c r="O58" s="23" t="n">
        <v>0</v>
      </c>
      <c r="P58" s="24" t="n">
        <f aca="false">SUM(D58:O58)</f>
        <v>-101</v>
      </c>
      <c r="Q58" s="23" t="n">
        <f aca="false">SUM(D58:J58)</f>
        <v>-101</v>
      </c>
      <c r="R58" s="24" t="n">
        <f aca="false">P58-Q58</f>
        <v>0</v>
      </c>
    </row>
    <row r="59" customFormat="false" ht="3.95" hidden="false" customHeight="true" outlineLevel="0" collapsed="false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customFormat="false" ht="14.65" hidden="false" customHeight="false" outlineLevel="0" collapsed="false">
      <c r="A60" s="20" t="s">
        <v>52</v>
      </c>
      <c r="C60" s="25" t="n">
        <v>4134</v>
      </c>
      <c r="D60" s="21" t="n">
        <f aca="false">D57+D58</f>
        <v>4127</v>
      </c>
      <c r="E60" s="21" t="n">
        <f aca="false">E57+E58</f>
        <v>4133</v>
      </c>
      <c r="F60" s="21" t="n">
        <f aca="false">F57+F58</f>
        <v>4106</v>
      </c>
      <c r="G60" s="21" t="n">
        <f aca="false">G57+G58</f>
        <v>4096</v>
      </c>
      <c r="H60" s="21" t="n">
        <f aca="false">H57+H58</f>
        <v>4063</v>
      </c>
      <c r="I60" s="21" t="n">
        <f aca="false">I57+I58</f>
        <v>4051</v>
      </c>
      <c r="J60" s="21" t="n">
        <f aca="false">J57+J58</f>
        <v>4033</v>
      </c>
      <c r="K60" s="21" t="n">
        <f aca="false">K57+K58</f>
        <v>4033</v>
      </c>
      <c r="L60" s="21" t="n">
        <f aca="false">L57+L58</f>
        <v>4033</v>
      </c>
      <c r="M60" s="21" t="n">
        <f aca="false">M57+M58</f>
        <v>4033</v>
      </c>
      <c r="N60" s="21" t="n">
        <f aca="false">N57+N58</f>
        <v>4033</v>
      </c>
      <c r="O60" s="21" t="n">
        <f aca="false">O57+O58</f>
        <v>4033</v>
      </c>
      <c r="P60" s="21"/>
    </row>
    <row r="61" customFormat="false" ht="3.95" hidden="false" customHeight="true" outlineLevel="0" collapsed="false"/>
    <row r="62" customFormat="false" ht="14.65" hidden="false" customHeight="false" outlineLevel="0" collapsed="false">
      <c r="A62" s="22" t="s">
        <v>30</v>
      </c>
      <c r="C62" s="21"/>
      <c r="D62" s="21" t="n">
        <f aca="false">D60-C60</f>
        <v>-7</v>
      </c>
      <c r="E62" s="21" t="n">
        <f aca="false">E60-D60</f>
        <v>6</v>
      </c>
      <c r="F62" s="21" t="n">
        <f aca="false">F60-E60</f>
        <v>-27</v>
      </c>
      <c r="G62" s="21" t="n">
        <f aca="false">G60-F60</f>
        <v>-10</v>
      </c>
      <c r="H62" s="21" t="n">
        <f aca="false">H60-G60</f>
        <v>-33</v>
      </c>
      <c r="I62" s="21" t="n">
        <f aca="false">I60-H60</f>
        <v>-12</v>
      </c>
      <c r="J62" s="21" t="n">
        <f aca="false">J60-I60</f>
        <v>-18</v>
      </c>
      <c r="K62" s="21" t="n">
        <f aca="false">K60-J60</f>
        <v>0</v>
      </c>
      <c r="L62" s="21" t="n">
        <f aca="false">L60-K60</f>
        <v>0</v>
      </c>
      <c r="M62" s="21" t="n">
        <f aca="false">M60-L60</f>
        <v>0</v>
      </c>
      <c r="N62" s="21" t="n">
        <f aca="false">N60-M60</f>
        <v>0</v>
      </c>
      <c r="O62" s="21" t="n">
        <f aca="false">O60-N60</f>
        <v>0</v>
      </c>
      <c r="P62" s="21" t="n">
        <f aca="false">SUM(D62:O62)</f>
        <v>-101</v>
      </c>
      <c r="Q62" s="21" t="n">
        <f aca="false">SUM(Q58:Q59)</f>
        <v>-101</v>
      </c>
      <c r="R62" s="21" t="n">
        <f aca="false">P62-Q62</f>
        <v>0</v>
      </c>
    </row>
    <row r="63" customFormat="false" ht="14.65" hidden="false" customHeight="false" outlineLevel="0" collapsed="false">
      <c r="A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customFormat="false" ht="14.65" hidden="false" customHeight="false" outlineLevel="0" collapsed="false">
      <c r="A64" s="20" t="s">
        <v>53</v>
      </c>
      <c r="C64" s="21"/>
      <c r="D64" s="21" t="n">
        <f aca="false">C67</f>
        <v>11991</v>
      </c>
      <c r="E64" s="21" t="n">
        <f aca="false">D67</f>
        <v>14096</v>
      </c>
      <c r="F64" s="21" t="n">
        <f aca="false">E67</f>
        <v>12657</v>
      </c>
      <c r="G64" s="21" t="n">
        <f aca="false">F67</f>
        <v>12433</v>
      </c>
      <c r="H64" s="21" t="n">
        <f aca="false">G67</f>
        <v>14203</v>
      </c>
      <c r="I64" s="21" t="n">
        <f aca="false">H67</f>
        <v>15118</v>
      </c>
      <c r="J64" s="21" t="n">
        <f aca="false">I67</f>
        <v>15077</v>
      </c>
      <c r="K64" s="21" t="n">
        <f aca="false">J67</f>
        <v>14543</v>
      </c>
      <c r="L64" s="21" t="n">
        <f aca="false">K67</f>
        <v>14543</v>
      </c>
      <c r="M64" s="21" t="n">
        <f aca="false">L67</f>
        <v>14543</v>
      </c>
      <c r="N64" s="21" t="n">
        <f aca="false">M67</f>
        <v>14543</v>
      </c>
      <c r="O64" s="21" t="n">
        <f aca="false">N67</f>
        <v>14543</v>
      </c>
      <c r="P64" s="21"/>
    </row>
    <row r="65" customFormat="false" ht="14.65" hidden="false" customHeight="false" outlineLevel="0" collapsed="false">
      <c r="A65" s="22" t="s">
        <v>28</v>
      </c>
      <c r="C65" s="23" t="n">
        <v>0</v>
      </c>
      <c r="D65" s="23" t="n">
        <v>2105</v>
      </c>
      <c r="E65" s="23" t="n">
        <v>-1439</v>
      </c>
      <c r="F65" s="23" t="n">
        <v>-224</v>
      </c>
      <c r="G65" s="23" t="n">
        <v>1770</v>
      </c>
      <c r="H65" s="23" t="n">
        <v>915</v>
      </c>
      <c r="I65" s="23" t="n">
        <v>-41</v>
      </c>
      <c r="J65" s="23" t="n">
        <v>-534</v>
      </c>
      <c r="K65" s="23" t="n">
        <v>0</v>
      </c>
      <c r="L65" s="23" t="n">
        <v>0</v>
      </c>
      <c r="M65" s="23" t="n">
        <v>0</v>
      </c>
      <c r="N65" s="23" t="n">
        <v>0</v>
      </c>
      <c r="O65" s="23" t="n">
        <v>0</v>
      </c>
      <c r="P65" s="24" t="n">
        <f aca="false">SUM(D65:O65)</f>
        <v>2552</v>
      </c>
      <c r="Q65" s="23" t="n">
        <f aca="false">SUM(D65:J65)</f>
        <v>2552</v>
      </c>
      <c r="R65" s="24" t="n">
        <f aca="false">P65-Q65</f>
        <v>0</v>
      </c>
    </row>
    <row r="66" customFormat="false" ht="3.95" hidden="false" customHeight="true" outlineLevel="0" collapsed="false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customFormat="false" ht="14.65" hidden="false" customHeight="false" outlineLevel="0" collapsed="false">
      <c r="A67" s="20" t="s">
        <v>54</v>
      </c>
      <c r="C67" s="25" t="n">
        <v>11991</v>
      </c>
      <c r="D67" s="21" t="n">
        <f aca="false">D64+D65</f>
        <v>14096</v>
      </c>
      <c r="E67" s="21" t="n">
        <f aca="false">E64+E65</f>
        <v>12657</v>
      </c>
      <c r="F67" s="21" t="n">
        <f aca="false">F64+F65</f>
        <v>12433</v>
      </c>
      <c r="G67" s="21" t="n">
        <f aca="false">G64+G65</f>
        <v>14203</v>
      </c>
      <c r="H67" s="21" t="n">
        <f aca="false">H64+H65</f>
        <v>15118</v>
      </c>
      <c r="I67" s="21" t="n">
        <f aca="false">I64+I65</f>
        <v>15077</v>
      </c>
      <c r="J67" s="21" t="n">
        <f aca="false">J64+J65</f>
        <v>14543</v>
      </c>
      <c r="K67" s="21" t="n">
        <f aca="false">K64+K65</f>
        <v>14543</v>
      </c>
      <c r="L67" s="21" t="n">
        <f aca="false">L64+L65</f>
        <v>14543</v>
      </c>
      <c r="M67" s="21" t="n">
        <f aca="false">M64+M65</f>
        <v>14543</v>
      </c>
      <c r="N67" s="21" t="n">
        <f aca="false">N64+N65</f>
        <v>14543</v>
      </c>
      <c r="O67" s="21" t="n">
        <f aca="false">O64+O65</f>
        <v>14543</v>
      </c>
      <c r="P67" s="21"/>
    </row>
    <row r="68" customFormat="false" ht="3.95" hidden="false" customHeight="true" outlineLevel="0" collapsed="false"/>
    <row r="69" customFormat="false" ht="14.65" hidden="false" customHeight="false" outlineLevel="0" collapsed="false">
      <c r="A69" s="22" t="s">
        <v>30</v>
      </c>
      <c r="C69" s="21"/>
      <c r="D69" s="21" t="n">
        <f aca="false">D67-C67</f>
        <v>2105</v>
      </c>
      <c r="E69" s="21" t="n">
        <f aca="false">E67-D67</f>
        <v>-1439</v>
      </c>
      <c r="F69" s="21" t="n">
        <f aca="false">F67-E67</f>
        <v>-224</v>
      </c>
      <c r="G69" s="21" t="n">
        <f aca="false">G67-F67</f>
        <v>1770</v>
      </c>
      <c r="H69" s="21" t="n">
        <f aca="false">H67-G67</f>
        <v>915</v>
      </c>
      <c r="I69" s="21" t="n">
        <f aca="false">I67-H67</f>
        <v>-41</v>
      </c>
      <c r="J69" s="21" t="n">
        <f aca="false">J67-I67</f>
        <v>-534</v>
      </c>
      <c r="K69" s="21" t="n">
        <f aca="false">K67-J67</f>
        <v>0</v>
      </c>
      <c r="L69" s="21" t="n">
        <f aca="false">L67-K67</f>
        <v>0</v>
      </c>
      <c r="M69" s="21" t="n">
        <f aca="false">M67-L67</f>
        <v>0</v>
      </c>
      <c r="N69" s="21" t="n">
        <f aca="false">N67-M67</f>
        <v>0</v>
      </c>
      <c r="O69" s="21" t="n">
        <f aca="false">O67-N67</f>
        <v>0</v>
      </c>
      <c r="P69" s="21" t="n">
        <f aca="false">SUM(D69:O69)</f>
        <v>2552</v>
      </c>
      <c r="Q69" s="21" t="n">
        <f aca="false">SUM(Q65:Q66)</f>
        <v>2552</v>
      </c>
      <c r="R69" s="21" t="n">
        <f aca="false">P69-Q69</f>
        <v>0</v>
      </c>
    </row>
    <row r="70" customFormat="false" ht="8.1" hidden="false" customHeight="true" outlineLevel="0" collapsed="false"/>
    <row r="72" customFormat="false" ht="14.65" hidden="false" customHeight="false" outlineLevel="0" collapsed="false">
      <c r="A72" s="20" t="s">
        <v>55</v>
      </c>
      <c r="C72" s="21"/>
      <c r="D72" s="21" t="n">
        <f aca="false">C98</f>
        <v>6553</v>
      </c>
      <c r="E72" s="21" t="n">
        <f aca="false">D98</f>
        <v>6456</v>
      </c>
      <c r="F72" s="21" t="n">
        <f aca="false">E98</f>
        <v>6359</v>
      </c>
      <c r="G72" s="21" t="n">
        <f aca="false">F98</f>
        <v>5681</v>
      </c>
      <c r="H72" s="21" t="n">
        <f aca="false">G98</f>
        <v>5681</v>
      </c>
      <c r="I72" s="21" t="n">
        <f aca="false">H98</f>
        <v>5681</v>
      </c>
      <c r="J72" s="21" t="n">
        <f aca="false">I98</f>
        <v>5681</v>
      </c>
      <c r="K72" s="21" t="n">
        <f aca="false">J98</f>
        <v>5660</v>
      </c>
      <c r="L72" s="21" t="n">
        <f aca="false">K98</f>
        <v>5660</v>
      </c>
      <c r="M72" s="21" t="n">
        <f aca="false">L98</f>
        <v>6860</v>
      </c>
      <c r="N72" s="21" t="n">
        <f aca="false">M98</f>
        <v>6760</v>
      </c>
      <c r="O72" s="21" t="n">
        <f aca="false">N98</f>
        <v>6660</v>
      </c>
      <c r="P72" s="21"/>
    </row>
    <row r="73" customFormat="false" ht="14.65" hidden="false" customHeight="false" outlineLevel="0" collapsed="false">
      <c r="A73" s="22" t="s">
        <v>56</v>
      </c>
      <c r="C73" s="25" t="n">
        <v>601</v>
      </c>
      <c r="D73" s="25" t="n">
        <v>0</v>
      </c>
      <c r="E73" s="25" t="n">
        <v>0</v>
      </c>
      <c r="F73" s="25" t="n">
        <v>0</v>
      </c>
      <c r="G73" s="25" t="n">
        <v>0</v>
      </c>
      <c r="H73" s="25" t="n">
        <v>0</v>
      </c>
      <c r="I73" s="25" t="n">
        <v>0</v>
      </c>
      <c r="J73" s="25" t="n">
        <v>0</v>
      </c>
      <c r="K73" s="25" t="n">
        <v>0</v>
      </c>
      <c r="L73" s="25" t="n">
        <v>0</v>
      </c>
      <c r="M73" s="25" t="n">
        <v>0</v>
      </c>
      <c r="N73" s="25" t="n">
        <v>0</v>
      </c>
      <c r="O73" s="25" t="n">
        <v>0</v>
      </c>
      <c r="P73" s="21" t="n">
        <f aca="false">SUM(D73:O73)</f>
        <v>0</v>
      </c>
      <c r="Q73" s="25" t="n">
        <f aca="false">SUM(D73:J73)</f>
        <v>0</v>
      </c>
      <c r="R73" s="21" t="n">
        <f aca="false">P73-Q73</f>
        <v>0</v>
      </c>
    </row>
    <row r="74" customFormat="false" ht="14.65" hidden="false" customHeight="false" outlineLevel="0" collapsed="false">
      <c r="A74" s="22" t="s">
        <v>57</v>
      </c>
      <c r="C74" s="25" t="n">
        <v>101</v>
      </c>
      <c r="D74" s="25" t="n">
        <v>0</v>
      </c>
      <c r="E74" s="25" t="n">
        <v>0</v>
      </c>
      <c r="F74" s="25" t="n">
        <v>0</v>
      </c>
      <c r="G74" s="25" t="n">
        <v>0</v>
      </c>
      <c r="H74" s="25" t="n">
        <v>0</v>
      </c>
      <c r="I74" s="25" t="n">
        <v>0</v>
      </c>
      <c r="J74" s="25" t="n">
        <v>0</v>
      </c>
      <c r="K74" s="25" t="n">
        <v>0</v>
      </c>
      <c r="L74" s="25" t="n">
        <v>0</v>
      </c>
      <c r="M74" s="25" t="n">
        <v>0</v>
      </c>
      <c r="N74" s="25" t="n">
        <v>0</v>
      </c>
      <c r="O74" s="25" t="n">
        <v>0</v>
      </c>
      <c r="P74" s="21" t="n">
        <f aca="false">SUM(D74:O74)</f>
        <v>0</v>
      </c>
      <c r="Q74" s="25" t="n">
        <f aca="false">SUM(D74:J74)</f>
        <v>0</v>
      </c>
      <c r="R74" s="21" t="n">
        <f aca="false">P74-Q74</f>
        <v>0</v>
      </c>
    </row>
    <row r="75" customFormat="false" ht="14.65" hidden="false" customHeight="false" outlineLevel="0" collapsed="false">
      <c r="A75" s="22" t="s">
        <v>58</v>
      </c>
      <c r="C75" s="25" t="n">
        <v>49</v>
      </c>
      <c r="D75" s="25" t="n">
        <v>0</v>
      </c>
      <c r="E75" s="25" t="n">
        <v>0</v>
      </c>
      <c r="F75" s="25" t="n">
        <v>0</v>
      </c>
      <c r="G75" s="25" t="n">
        <v>0</v>
      </c>
      <c r="H75" s="25" t="n">
        <v>0</v>
      </c>
      <c r="I75" s="25" t="n">
        <v>0</v>
      </c>
      <c r="J75" s="25" t="n">
        <v>0</v>
      </c>
      <c r="K75" s="25" t="n">
        <v>0</v>
      </c>
      <c r="L75" s="25" t="n">
        <v>0</v>
      </c>
      <c r="M75" s="25" t="n">
        <v>0</v>
      </c>
      <c r="N75" s="25" t="n">
        <v>0</v>
      </c>
      <c r="O75" s="25" t="n">
        <v>0</v>
      </c>
      <c r="P75" s="21" t="n">
        <f aca="false">SUM(D75:O75)</f>
        <v>0</v>
      </c>
      <c r="Q75" s="25" t="n">
        <f aca="false">SUM(D75:J75)</f>
        <v>0</v>
      </c>
      <c r="R75" s="21" t="n">
        <f aca="false">P75-Q75</f>
        <v>0</v>
      </c>
    </row>
    <row r="76" customFormat="false" ht="14.65" hidden="false" customHeight="false" outlineLevel="0" collapsed="false">
      <c r="A76" s="22" t="s">
        <v>59</v>
      </c>
      <c r="C76" s="26" t="n">
        <f aca="false">155-155</f>
        <v>0</v>
      </c>
      <c r="D76" s="25" t="n">
        <v>0</v>
      </c>
      <c r="E76" s="25" t="n">
        <v>0</v>
      </c>
      <c r="F76" s="25" t="n">
        <v>0</v>
      </c>
      <c r="G76" s="25" t="n">
        <v>0</v>
      </c>
      <c r="H76" s="25" t="n">
        <v>0</v>
      </c>
      <c r="I76" s="25" t="n">
        <v>0</v>
      </c>
      <c r="J76" s="25" t="n">
        <v>0</v>
      </c>
      <c r="K76" s="25" t="n">
        <v>0</v>
      </c>
      <c r="L76" s="25" t="n">
        <v>0</v>
      </c>
      <c r="M76" s="25" t="n">
        <v>0</v>
      </c>
      <c r="N76" s="25" t="n">
        <v>0</v>
      </c>
      <c r="O76" s="25" t="n">
        <v>0</v>
      </c>
      <c r="P76" s="21" t="n">
        <f aca="false">SUM(D76:O76)</f>
        <v>0</v>
      </c>
      <c r="Q76" s="25" t="n">
        <f aca="false">SUM(D76:J76)</f>
        <v>0</v>
      </c>
      <c r="R76" s="21" t="n">
        <f aca="false">P76-Q76</f>
        <v>0</v>
      </c>
    </row>
    <row r="77" customFormat="false" ht="14.65" hidden="false" customHeight="false" outlineLevel="0" collapsed="false">
      <c r="A77" s="22" t="s">
        <v>60</v>
      </c>
      <c r="C77" s="25" t="n">
        <v>116</v>
      </c>
      <c r="D77" s="25" t="n">
        <v>0</v>
      </c>
      <c r="E77" s="25" t="n">
        <v>0</v>
      </c>
      <c r="F77" s="25" t="n">
        <v>0</v>
      </c>
      <c r="G77" s="25" t="n">
        <v>0</v>
      </c>
      <c r="H77" s="25" t="n">
        <v>0</v>
      </c>
      <c r="I77" s="25" t="n">
        <v>0</v>
      </c>
      <c r="J77" s="25" t="n">
        <v>0</v>
      </c>
      <c r="K77" s="25" t="n">
        <v>0</v>
      </c>
      <c r="L77" s="25" t="n">
        <v>0</v>
      </c>
      <c r="M77" s="25" t="n">
        <v>0</v>
      </c>
      <c r="N77" s="25" t="n">
        <v>0</v>
      </c>
      <c r="O77" s="25" t="n">
        <v>0</v>
      </c>
      <c r="P77" s="21" t="n">
        <f aca="false">SUM(D77:O77)</f>
        <v>0</v>
      </c>
      <c r="Q77" s="25" t="n">
        <f aca="false">SUM(D77:J77)</f>
        <v>0</v>
      </c>
      <c r="R77" s="21" t="n">
        <f aca="false">P77-Q77</f>
        <v>0</v>
      </c>
    </row>
    <row r="78" customFormat="false" ht="14.65" hidden="false" customHeight="false" outlineLevel="0" collapsed="false">
      <c r="A78" s="22" t="s">
        <v>61</v>
      </c>
      <c r="B78" s="27" t="s">
        <v>34</v>
      </c>
      <c r="C78" s="25" t="n">
        <v>0</v>
      </c>
      <c r="D78" s="28" t="n">
        <f aca="false">'''file:///mnt/12tb/@roms/datasets/enron/EDRM%20Enron%20Email%20Data%20Set%20v2%20XML/filtered-attachments/xls/EMTW01CE.XLS''#Source'!D27</f>
        <v>0</v>
      </c>
      <c r="E78" s="28" t="n">
        <f aca="false">'''file:///mnt/12tb/@roms/datasets/enron/EDRM%20Enron%20Email%20Data%20Set%20v2%20XML/filtered-attachments/xls/EMTW01CE.XLS''#Source'!E27</f>
        <v>0</v>
      </c>
      <c r="F78" s="28" t="n">
        <f aca="false">'''file:///mnt/12tb/@roms/datasets/enron/EDRM%20Enron%20Email%20Data%20Set%20v2%20XML/filtered-attachments/xls/EMTW01CE.XLS''#Source'!F27</f>
        <v>0</v>
      </c>
      <c r="G78" s="28" t="n">
        <f aca="false">'''file:///mnt/12tb/@roms/datasets/enron/EDRM%20Enron%20Email%20Data%20Set%20v2%20XML/filtered-attachments/xls/EMTW01CE.XLS''#Source'!G27</f>
        <v>0</v>
      </c>
      <c r="H78" s="28" t="n">
        <f aca="false">'''file:///mnt/12tb/@roms/datasets/enron/EDRM%20Enron%20Email%20Data%20Set%20v2%20XML/filtered-attachments/xls/EMTW01CE.XLS''#Source'!H27</f>
        <v>0</v>
      </c>
      <c r="I78" s="28" t="n">
        <f aca="false">'''file:///mnt/12tb/@roms/datasets/enron/EDRM%20Enron%20Email%20Data%20Set%20v2%20XML/filtered-attachments/xls/EMTW01CE.XLS''#Source'!I27</f>
        <v>0</v>
      </c>
      <c r="J78" s="28" t="n">
        <f aca="false">'''file:///mnt/12tb/@roms/datasets/enron/EDRM%20Enron%20Email%20Data%20Set%20v2%20XML/filtered-attachments/xls/EMTW01CE.XLS''#Source'!J27</f>
        <v>0</v>
      </c>
      <c r="K78" s="28" t="n">
        <f aca="false">'''file:///mnt/12tb/@roms/datasets/enron/EDRM%20Enron%20Email%20Data%20Set%20v2%20XML/filtered-attachments/xls/EMTW01CE.XLS''#Source'!K27</f>
        <v>0</v>
      </c>
      <c r="L78" s="28" t="n">
        <f aca="false">'''file:///mnt/12tb/@roms/datasets/enron/EDRM%20Enron%20Email%20Data%20Set%20v2%20XML/filtered-attachments/xls/EMTW01CE.XLS''#Source'!L27</f>
        <v>1200</v>
      </c>
      <c r="M78" s="28" t="n">
        <f aca="false">'''file:///mnt/12tb/@roms/datasets/enron/EDRM%20Enron%20Email%20Data%20Set%20v2%20XML/filtered-attachments/xls/EMTW01CE.XLS''#Source'!M27</f>
        <v>0</v>
      </c>
      <c r="N78" s="28" t="n">
        <f aca="false">'''file:///mnt/12tb/@roms/datasets/enron/EDRM%20Enron%20Email%20Data%20Set%20v2%20XML/filtered-attachments/xls/EMTW01CE.XLS''#Source'!N27</f>
        <v>0</v>
      </c>
      <c r="O78" s="28" t="n">
        <f aca="false">'''file:///mnt/12tb/@roms/datasets/enron/EDRM%20Enron%20Email%20Data%20Set%20v2%20XML/filtered-attachments/xls/EMTW01CE.XLS''#Source'!O27</f>
        <v>0</v>
      </c>
      <c r="P78" s="21" t="n">
        <f aca="false">SUM(D78:O78)</f>
        <v>1200</v>
      </c>
      <c r="Q78" s="25" t="n">
        <f aca="false">SUM(D78:J78)</f>
        <v>0</v>
      </c>
      <c r="R78" s="21" t="n">
        <f aca="false">P78-Q78</f>
        <v>1200</v>
      </c>
    </row>
    <row r="79" customFormat="false" ht="14.65" hidden="false" customHeight="false" outlineLevel="0" collapsed="false">
      <c r="A79" s="22" t="s">
        <v>62</v>
      </c>
      <c r="B79" s="27" t="s">
        <v>34</v>
      </c>
      <c r="C79" s="25" t="n">
        <v>872</v>
      </c>
      <c r="D79" s="28" t="n">
        <f aca="false">'''file:///mnt/12tb/@roms/datasets/enron/EDRM%20Enron%20Email%20Data%20Set%20v2%20XML/filtered-attachments/xls/EMTW01CE.XLS''#Source'!D26</f>
        <v>-97</v>
      </c>
      <c r="E79" s="28" t="n">
        <f aca="false">'''file:///mnt/12tb/@roms/datasets/enron/EDRM%20Enron%20Email%20Data%20Set%20v2%20XML/filtered-attachments/xls/EMTW01CE.XLS''#Source'!E26</f>
        <v>-97</v>
      </c>
      <c r="F79" s="28" t="n">
        <f aca="false">'''file:///mnt/12tb/@roms/datasets/enron/EDRM%20Enron%20Email%20Data%20Set%20v2%20XML/filtered-attachments/xls/EMTW01CE.XLS''#Source'!F26</f>
        <v>-678</v>
      </c>
      <c r="G79" s="28" t="n">
        <f aca="false">'''file:///mnt/12tb/@roms/datasets/enron/EDRM%20Enron%20Email%20Data%20Set%20v2%20XML/filtered-attachments/xls/EMTW01CE.XLS''#Source'!G26</f>
        <v>-0</v>
      </c>
      <c r="H79" s="28" t="n">
        <f aca="false">'''file:///mnt/12tb/@roms/datasets/enron/EDRM%20Enron%20Email%20Data%20Set%20v2%20XML/filtered-attachments/xls/EMTW01CE.XLS''#Source'!H26</f>
        <v>-0</v>
      </c>
      <c r="I79" s="28" t="n">
        <f aca="false">'''file:///mnt/12tb/@roms/datasets/enron/EDRM%20Enron%20Email%20Data%20Set%20v2%20XML/filtered-attachments/xls/EMTW01CE.XLS''#Source'!I26</f>
        <v>-0</v>
      </c>
      <c r="J79" s="28" t="n">
        <f aca="false">'''file:///mnt/12tb/@roms/datasets/enron/EDRM%20Enron%20Email%20Data%20Set%20v2%20XML/filtered-attachments/xls/EMTW01CE.XLS''#Source'!J26</f>
        <v>-0</v>
      </c>
      <c r="K79" s="28" t="n">
        <f aca="false">'''file:///mnt/12tb/@roms/datasets/enron/EDRM%20Enron%20Email%20Data%20Set%20v2%20XML/filtered-attachments/xls/EMTW01CE.XLS''#Source'!K26</f>
        <v>-0</v>
      </c>
      <c r="L79" s="28" t="n">
        <f aca="false">'''file:///mnt/12tb/@roms/datasets/enron/EDRM%20Enron%20Email%20Data%20Set%20v2%20XML/filtered-attachments/xls/EMTW01CE.XLS''#Source'!L26</f>
        <v>-0</v>
      </c>
      <c r="M79" s="28" t="n">
        <f aca="false">'''file:///mnt/12tb/@roms/datasets/enron/EDRM%20Enron%20Email%20Data%20Set%20v2%20XML/filtered-attachments/xls/EMTW01CE.XLS''#Source'!M26</f>
        <v>-100</v>
      </c>
      <c r="N79" s="28" t="n">
        <f aca="false">'''file:///mnt/12tb/@roms/datasets/enron/EDRM%20Enron%20Email%20Data%20Set%20v2%20XML/filtered-attachments/xls/EMTW01CE.XLS''#Source'!N26</f>
        <v>-100</v>
      </c>
      <c r="O79" s="28" t="n">
        <f aca="false">'''file:///mnt/12tb/@roms/datasets/enron/EDRM%20Enron%20Email%20Data%20Set%20v2%20XML/filtered-attachments/xls/EMTW01CE.XLS''#Source'!O26</f>
        <v>-100</v>
      </c>
      <c r="P79" s="21" t="n">
        <f aca="false">SUM(D79:O79)</f>
        <v>-1172</v>
      </c>
      <c r="Q79" s="25" t="n">
        <f aca="false">SUM(D79:J79)</f>
        <v>-872</v>
      </c>
      <c r="R79" s="21" t="n">
        <f aca="false">P79-Q79</f>
        <v>-300</v>
      </c>
    </row>
    <row r="80" customFormat="false" ht="14.65" hidden="false" customHeight="false" outlineLevel="0" collapsed="false">
      <c r="A80" s="22" t="s">
        <v>63</v>
      </c>
      <c r="B80" s="27" t="s">
        <v>34</v>
      </c>
      <c r="C80" s="25" t="n">
        <v>0</v>
      </c>
      <c r="D80" s="28" t="n">
        <f aca="false">'''file:///mnt/12tb/@roms/datasets/enron/EDRM%20Enron%20Email%20Data%20Set%20v2%20XML/filtered-attachments/xls/EMTW01CE.XLS''#Source'!D29</f>
        <v>0</v>
      </c>
      <c r="E80" s="28" t="n">
        <f aca="false">'''file:///mnt/12tb/@roms/datasets/enron/EDRM%20Enron%20Email%20Data%20Set%20v2%20XML/filtered-attachments/xls/EMTW01CE.XLS''#Source'!E29</f>
        <v>0</v>
      </c>
      <c r="F80" s="28" t="n">
        <f aca="false">'''file:///mnt/12tb/@roms/datasets/enron/EDRM%20Enron%20Email%20Data%20Set%20v2%20XML/filtered-attachments/xls/EMTW01CE.XLS''#Source'!F29</f>
        <v>0</v>
      </c>
      <c r="G80" s="28" t="n">
        <f aca="false">'''file:///mnt/12tb/@roms/datasets/enron/EDRM%20Enron%20Email%20Data%20Set%20v2%20XML/filtered-attachments/xls/EMTW01CE.XLS''#Source'!G29</f>
        <v>0</v>
      </c>
      <c r="H80" s="28" t="n">
        <f aca="false">'''file:///mnt/12tb/@roms/datasets/enron/EDRM%20Enron%20Email%20Data%20Set%20v2%20XML/filtered-attachments/xls/EMTW01CE.XLS''#Source'!H29</f>
        <v>0</v>
      </c>
      <c r="I80" s="28" t="n">
        <f aca="false">'''file:///mnt/12tb/@roms/datasets/enron/EDRM%20Enron%20Email%20Data%20Set%20v2%20XML/filtered-attachments/xls/EMTW01CE.XLS''#Source'!I29</f>
        <v>0</v>
      </c>
      <c r="J80" s="28" t="n">
        <f aca="false">'''file:///mnt/12tb/@roms/datasets/enron/EDRM%20Enron%20Email%20Data%20Set%20v2%20XML/filtered-attachments/xls/EMTW01CE.XLS''#Source'!J29</f>
        <v>0</v>
      </c>
      <c r="K80" s="28" t="n">
        <f aca="false">'''file:///mnt/12tb/@roms/datasets/enron/EDRM%20Enron%20Email%20Data%20Set%20v2%20XML/filtered-attachments/xls/EMTW01CE.XLS''#Source'!K29</f>
        <v>0</v>
      </c>
      <c r="L80" s="28" t="n">
        <f aca="false">'''file:///mnt/12tb/@roms/datasets/enron/EDRM%20Enron%20Email%20Data%20Set%20v2%20XML/filtered-attachments/xls/EMTW01CE.XLS''#Source'!L29</f>
        <v>0</v>
      </c>
      <c r="M80" s="28" t="n">
        <f aca="false">'''file:///mnt/12tb/@roms/datasets/enron/EDRM%20Enron%20Email%20Data%20Set%20v2%20XML/filtered-attachments/xls/EMTW01CE.XLS''#Source'!M29</f>
        <v>0</v>
      </c>
      <c r="N80" s="28" t="n">
        <f aca="false">'''file:///mnt/12tb/@roms/datasets/enron/EDRM%20Enron%20Email%20Data%20Set%20v2%20XML/filtered-attachments/xls/EMTW01CE.XLS''#Source'!N29</f>
        <v>0</v>
      </c>
      <c r="O80" s="28" t="n">
        <f aca="false">'''file:///mnt/12tb/@roms/datasets/enron/EDRM%20Enron%20Email%20Data%20Set%20v2%20XML/filtered-attachments/xls/EMTW01CE.XLS''#Source'!O29</f>
        <v>0</v>
      </c>
      <c r="P80" s="21" t="n">
        <f aca="false">SUM(D80:O80)</f>
        <v>0</v>
      </c>
      <c r="Q80" s="25" t="n">
        <f aca="false">SUM(D80:J80)</f>
        <v>0</v>
      </c>
      <c r="R80" s="21" t="n">
        <f aca="false">P80-Q80</f>
        <v>0</v>
      </c>
    </row>
    <row r="81" customFormat="false" ht="14.65" hidden="false" customHeight="false" outlineLevel="0" collapsed="false">
      <c r="A81" s="22" t="s">
        <v>64</v>
      </c>
      <c r="C81" s="25" t="n">
        <v>454</v>
      </c>
      <c r="D81" s="25" t="n">
        <v>0</v>
      </c>
      <c r="E81" s="25" t="n">
        <v>0</v>
      </c>
      <c r="F81" s="25" t="n">
        <v>0</v>
      </c>
      <c r="G81" s="25" t="n">
        <v>0</v>
      </c>
      <c r="H81" s="25" t="n">
        <v>0</v>
      </c>
      <c r="I81" s="25" t="n">
        <v>0</v>
      </c>
      <c r="J81" s="25" t="n">
        <v>0</v>
      </c>
      <c r="K81" s="25" t="n">
        <v>0</v>
      </c>
      <c r="L81" s="25" t="n">
        <v>0</v>
      </c>
      <c r="M81" s="25" t="n">
        <v>0</v>
      </c>
      <c r="N81" s="25" t="n">
        <v>0</v>
      </c>
      <c r="O81" s="25" t="n">
        <v>0</v>
      </c>
      <c r="P81" s="21" t="n">
        <f aca="false">SUM(D81:O81)</f>
        <v>0</v>
      </c>
      <c r="Q81" s="25" t="n">
        <f aca="false">SUM(D81:J81)</f>
        <v>0</v>
      </c>
      <c r="R81" s="21" t="n">
        <f aca="false">P81-Q81</f>
        <v>0</v>
      </c>
    </row>
    <row r="82" customFormat="false" ht="14.65" hidden="false" customHeight="false" outlineLevel="0" collapsed="false">
      <c r="A82" s="22" t="s">
        <v>65</v>
      </c>
      <c r="C82" s="30" t="n">
        <v>1290</v>
      </c>
      <c r="D82" s="25" t="n">
        <v>0</v>
      </c>
      <c r="E82" s="25" t="n">
        <v>0</v>
      </c>
      <c r="F82" s="25" t="n">
        <v>0</v>
      </c>
      <c r="G82" s="25" t="n">
        <v>0</v>
      </c>
      <c r="H82" s="25" t="n">
        <v>0</v>
      </c>
      <c r="I82" s="25" t="n">
        <v>0</v>
      </c>
      <c r="J82" s="25" t="n">
        <v>0</v>
      </c>
      <c r="K82" s="25" t="n">
        <v>0</v>
      </c>
      <c r="L82" s="25" t="n">
        <v>0</v>
      </c>
      <c r="M82" s="25" t="n">
        <v>0</v>
      </c>
      <c r="N82" s="25" t="n">
        <v>0</v>
      </c>
      <c r="O82" s="25" t="n">
        <v>0</v>
      </c>
      <c r="P82" s="21" t="n">
        <f aca="false">SUM(D82:O82)</f>
        <v>0</v>
      </c>
      <c r="Q82" s="25" t="n">
        <f aca="false">SUM(D82:J82)</f>
        <v>0</v>
      </c>
      <c r="R82" s="21" t="n">
        <f aca="false">P82-Q82</f>
        <v>0</v>
      </c>
    </row>
    <row r="83" customFormat="false" ht="14.65" hidden="false" customHeight="false" outlineLevel="0" collapsed="false">
      <c r="A83" s="22" t="s">
        <v>66</v>
      </c>
      <c r="C83" s="25" t="n">
        <v>90</v>
      </c>
      <c r="D83" s="25" t="n">
        <v>0</v>
      </c>
      <c r="E83" s="25" t="n">
        <v>0</v>
      </c>
      <c r="F83" s="25" t="n">
        <v>0</v>
      </c>
      <c r="G83" s="25" t="n">
        <v>0</v>
      </c>
      <c r="H83" s="25" t="n">
        <v>0</v>
      </c>
      <c r="I83" s="25" t="n">
        <v>0</v>
      </c>
      <c r="J83" s="25" t="n">
        <v>0</v>
      </c>
      <c r="K83" s="25" t="n">
        <v>0</v>
      </c>
      <c r="L83" s="25" t="n">
        <v>0</v>
      </c>
      <c r="M83" s="25" t="n">
        <v>0</v>
      </c>
      <c r="N83" s="25" t="n">
        <v>0</v>
      </c>
      <c r="O83" s="25" t="n">
        <v>0</v>
      </c>
      <c r="P83" s="21" t="n">
        <f aca="false">SUM(D83:O83)</f>
        <v>0</v>
      </c>
      <c r="Q83" s="25" t="n">
        <f aca="false">SUM(D83:J83)</f>
        <v>0</v>
      </c>
      <c r="R83" s="21" t="n">
        <f aca="false">P83-Q83</f>
        <v>0</v>
      </c>
    </row>
    <row r="84" customFormat="false" ht="14.65" hidden="false" customHeight="false" outlineLevel="0" collapsed="false">
      <c r="A84" s="22" t="s">
        <v>67</v>
      </c>
      <c r="C84" s="26" t="n">
        <f aca="false">150-150</f>
        <v>0</v>
      </c>
      <c r="D84" s="25" t="n">
        <v>0</v>
      </c>
      <c r="E84" s="25" t="n">
        <v>0</v>
      </c>
      <c r="F84" s="25" t="n">
        <v>0</v>
      </c>
      <c r="G84" s="25" t="n">
        <v>0</v>
      </c>
      <c r="H84" s="25" t="n">
        <v>0</v>
      </c>
      <c r="I84" s="25" t="n">
        <v>0</v>
      </c>
      <c r="J84" s="25" t="n">
        <v>0</v>
      </c>
      <c r="K84" s="25" t="n">
        <v>0</v>
      </c>
      <c r="L84" s="25" t="n">
        <v>0</v>
      </c>
      <c r="M84" s="25" t="n">
        <v>0</v>
      </c>
      <c r="N84" s="25" t="n">
        <v>0</v>
      </c>
      <c r="O84" s="25" t="n">
        <v>0</v>
      </c>
      <c r="P84" s="21" t="n">
        <f aca="false">SUM(D84:O84)</f>
        <v>0</v>
      </c>
      <c r="Q84" s="25" t="n">
        <f aca="false">SUM(D84:J84)</f>
        <v>0</v>
      </c>
      <c r="R84" s="21" t="n">
        <f aca="false">P84-Q84</f>
        <v>0</v>
      </c>
    </row>
    <row r="85" customFormat="false" ht="14.65" hidden="false" customHeight="false" outlineLevel="0" collapsed="false">
      <c r="A85" s="22" t="s">
        <v>68</v>
      </c>
      <c r="C85" s="25" t="n">
        <v>207</v>
      </c>
      <c r="D85" s="25" t="n">
        <v>0</v>
      </c>
      <c r="E85" s="25" t="n">
        <v>0</v>
      </c>
      <c r="F85" s="25" t="n">
        <v>0</v>
      </c>
      <c r="G85" s="25" t="n">
        <v>0</v>
      </c>
      <c r="H85" s="25" t="n">
        <v>0</v>
      </c>
      <c r="I85" s="25" t="n">
        <v>0</v>
      </c>
      <c r="J85" s="25" t="n">
        <v>0</v>
      </c>
      <c r="K85" s="25" t="n">
        <v>0</v>
      </c>
      <c r="L85" s="25" t="n">
        <v>0</v>
      </c>
      <c r="M85" s="25" t="n">
        <v>0</v>
      </c>
      <c r="N85" s="25" t="n">
        <v>0</v>
      </c>
      <c r="O85" s="25" t="n">
        <v>0</v>
      </c>
      <c r="P85" s="21" t="n">
        <f aca="false">SUM(D85:O85)</f>
        <v>0</v>
      </c>
      <c r="Q85" s="25" t="n">
        <f aca="false">SUM(D85:J85)</f>
        <v>0</v>
      </c>
      <c r="R85" s="21" t="n">
        <f aca="false">P85-Q85</f>
        <v>0</v>
      </c>
    </row>
    <row r="86" customFormat="false" ht="14.65" hidden="false" customHeight="false" outlineLevel="0" collapsed="false">
      <c r="A86" s="22" t="s">
        <v>69</v>
      </c>
      <c r="C86" s="25" t="n">
        <v>379</v>
      </c>
      <c r="D86" s="25" t="n">
        <v>0</v>
      </c>
      <c r="E86" s="25" t="n">
        <v>0</v>
      </c>
      <c r="F86" s="25" t="n">
        <v>0</v>
      </c>
      <c r="G86" s="25" t="n">
        <v>0</v>
      </c>
      <c r="H86" s="25" t="n">
        <v>0</v>
      </c>
      <c r="I86" s="25" t="n">
        <v>0</v>
      </c>
      <c r="J86" s="25" t="n">
        <v>0</v>
      </c>
      <c r="K86" s="25" t="n">
        <v>0</v>
      </c>
      <c r="L86" s="25" t="n">
        <v>0</v>
      </c>
      <c r="M86" s="25" t="n">
        <v>0</v>
      </c>
      <c r="N86" s="25" t="n">
        <v>0</v>
      </c>
      <c r="O86" s="25" t="n">
        <v>0</v>
      </c>
      <c r="P86" s="21" t="n">
        <f aca="false">SUM(D86:O86)</f>
        <v>0</v>
      </c>
      <c r="Q86" s="25" t="n">
        <f aca="false">SUM(D86:J86)</f>
        <v>0</v>
      </c>
      <c r="R86" s="21" t="n">
        <f aca="false">P86-Q86</f>
        <v>0</v>
      </c>
    </row>
    <row r="87" customFormat="false" ht="14.65" hidden="false" customHeight="false" outlineLevel="0" collapsed="false">
      <c r="A87" s="22" t="s">
        <v>70</v>
      </c>
      <c r="C87" s="25" t="n">
        <v>510</v>
      </c>
      <c r="D87" s="25" t="n">
        <v>0</v>
      </c>
      <c r="E87" s="25" t="n">
        <v>0</v>
      </c>
      <c r="F87" s="25" t="n">
        <v>0</v>
      </c>
      <c r="G87" s="25" t="n">
        <v>0</v>
      </c>
      <c r="H87" s="25" t="n">
        <v>0</v>
      </c>
      <c r="I87" s="25" t="n">
        <v>0</v>
      </c>
      <c r="J87" s="25" t="n">
        <v>-21</v>
      </c>
      <c r="K87" s="25" t="n">
        <v>0</v>
      </c>
      <c r="L87" s="25" t="n">
        <v>0</v>
      </c>
      <c r="M87" s="25" t="n">
        <v>0</v>
      </c>
      <c r="N87" s="25" t="n">
        <v>0</v>
      </c>
      <c r="O87" s="25" t="n">
        <v>0</v>
      </c>
      <c r="P87" s="21" t="n">
        <f aca="false">SUM(D87:O87)</f>
        <v>-21</v>
      </c>
      <c r="Q87" s="25" t="n">
        <f aca="false">SUM(D87:J87)</f>
        <v>-21</v>
      </c>
      <c r="R87" s="21" t="n">
        <f aca="false">P87-Q87</f>
        <v>0</v>
      </c>
    </row>
    <row r="88" customFormat="false" ht="14.65" hidden="false" customHeight="false" outlineLevel="0" collapsed="false">
      <c r="A88" s="22" t="s">
        <v>71</v>
      </c>
      <c r="C88" s="25" t="n">
        <v>126</v>
      </c>
      <c r="D88" s="25" t="n">
        <v>0</v>
      </c>
      <c r="E88" s="25" t="n">
        <v>0</v>
      </c>
      <c r="F88" s="25" t="n">
        <v>0</v>
      </c>
      <c r="G88" s="25" t="n">
        <v>0</v>
      </c>
      <c r="H88" s="25" t="n">
        <v>0</v>
      </c>
      <c r="I88" s="25" t="n">
        <v>0</v>
      </c>
      <c r="J88" s="25" t="n">
        <v>0</v>
      </c>
      <c r="K88" s="25" t="n">
        <v>0</v>
      </c>
      <c r="L88" s="25" t="n">
        <v>0</v>
      </c>
      <c r="M88" s="25" t="n">
        <v>0</v>
      </c>
      <c r="N88" s="25" t="n">
        <v>0</v>
      </c>
      <c r="O88" s="25" t="n">
        <v>0</v>
      </c>
      <c r="P88" s="21" t="n">
        <f aca="false">SUM(D88:O88)</f>
        <v>0</v>
      </c>
      <c r="Q88" s="25" t="n">
        <f aca="false">SUM(D88:J88)</f>
        <v>0</v>
      </c>
      <c r="R88" s="21" t="n">
        <f aca="false">P88-Q88</f>
        <v>0</v>
      </c>
    </row>
    <row r="89" customFormat="false" ht="14.65" hidden="false" customHeight="false" outlineLevel="0" collapsed="false">
      <c r="A89" s="22" t="s">
        <v>72</v>
      </c>
      <c r="C89" s="25" t="n">
        <v>378</v>
      </c>
      <c r="D89" s="25" t="n">
        <v>0</v>
      </c>
      <c r="E89" s="25" t="n">
        <v>0</v>
      </c>
      <c r="F89" s="25" t="n">
        <v>0</v>
      </c>
      <c r="G89" s="25" t="n">
        <v>0</v>
      </c>
      <c r="H89" s="25" t="n">
        <v>0</v>
      </c>
      <c r="I89" s="25" t="n">
        <v>0</v>
      </c>
      <c r="J89" s="25" t="n">
        <v>0</v>
      </c>
      <c r="K89" s="25" t="n">
        <v>0</v>
      </c>
      <c r="L89" s="25" t="n">
        <v>0</v>
      </c>
      <c r="M89" s="25" t="n">
        <v>0</v>
      </c>
      <c r="N89" s="25" t="n">
        <v>0</v>
      </c>
      <c r="O89" s="25" t="n">
        <v>0</v>
      </c>
      <c r="P89" s="21" t="n">
        <f aca="false">SUM(D89:O89)</f>
        <v>0</v>
      </c>
      <c r="Q89" s="25" t="n">
        <f aca="false">SUM(D89:J89)</f>
        <v>0</v>
      </c>
      <c r="R89" s="21" t="n">
        <f aca="false">P89-Q89</f>
        <v>0</v>
      </c>
    </row>
    <row r="90" customFormat="false" ht="14.65" hidden="false" customHeight="false" outlineLevel="0" collapsed="false">
      <c r="A90" s="22" t="s">
        <v>73</v>
      </c>
      <c r="C90" s="25" t="n">
        <v>537</v>
      </c>
      <c r="D90" s="25" t="n">
        <v>0</v>
      </c>
      <c r="E90" s="25" t="n">
        <v>0</v>
      </c>
      <c r="F90" s="25" t="n">
        <v>0</v>
      </c>
      <c r="G90" s="25" t="n">
        <v>0</v>
      </c>
      <c r="H90" s="25" t="n">
        <v>0</v>
      </c>
      <c r="I90" s="25" t="n">
        <v>0</v>
      </c>
      <c r="J90" s="25" t="n">
        <v>0</v>
      </c>
      <c r="K90" s="25" t="n">
        <v>0</v>
      </c>
      <c r="L90" s="25" t="n">
        <v>0</v>
      </c>
      <c r="M90" s="25" t="n">
        <v>0</v>
      </c>
      <c r="N90" s="25" t="n">
        <v>0</v>
      </c>
      <c r="O90" s="25" t="n">
        <v>0</v>
      </c>
      <c r="P90" s="21" t="n">
        <f aca="false">SUM(D90:O90)</f>
        <v>0</v>
      </c>
      <c r="Q90" s="25" t="n">
        <f aca="false">SUM(D90:J90)</f>
        <v>0</v>
      </c>
      <c r="R90" s="21" t="n">
        <f aca="false">P90-Q90</f>
        <v>0</v>
      </c>
    </row>
    <row r="91" customFormat="false" ht="14.65" hidden="false" customHeight="false" outlineLevel="0" collapsed="false">
      <c r="A91" s="22" t="s">
        <v>74</v>
      </c>
      <c r="C91" s="25" t="n">
        <v>630</v>
      </c>
      <c r="D91" s="25" t="n">
        <v>0</v>
      </c>
      <c r="E91" s="25" t="n">
        <v>0</v>
      </c>
      <c r="F91" s="25" t="n">
        <v>0</v>
      </c>
      <c r="G91" s="25" t="n">
        <v>0</v>
      </c>
      <c r="H91" s="25" t="n">
        <v>0</v>
      </c>
      <c r="I91" s="25" t="n">
        <v>0</v>
      </c>
      <c r="J91" s="25" t="n">
        <v>0</v>
      </c>
      <c r="K91" s="25" t="n">
        <v>0</v>
      </c>
      <c r="L91" s="25" t="n">
        <v>0</v>
      </c>
      <c r="M91" s="25" t="n">
        <v>0</v>
      </c>
      <c r="N91" s="25" t="n">
        <v>0</v>
      </c>
      <c r="O91" s="25" t="n">
        <v>0</v>
      </c>
      <c r="P91" s="21" t="n">
        <f aca="false">SUM(D91:O91)</f>
        <v>0</v>
      </c>
      <c r="Q91" s="25" t="n">
        <f aca="false">SUM(D91:J91)</f>
        <v>0</v>
      </c>
      <c r="R91" s="21" t="n">
        <f aca="false">P91-Q91</f>
        <v>0</v>
      </c>
    </row>
    <row r="92" customFormat="false" ht="14.65" hidden="false" customHeight="false" outlineLevel="0" collapsed="false">
      <c r="A92" s="22" t="s">
        <v>75</v>
      </c>
      <c r="C92" s="25" t="n">
        <v>130</v>
      </c>
      <c r="D92" s="25" t="n">
        <v>0</v>
      </c>
      <c r="E92" s="25" t="n">
        <v>0</v>
      </c>
      <c r="F92" s="25" t="n">
        <v>0</v>
      </c>
      <c r="G92" s="25" t="n">
        <v>0</v>
      </c>
      <c r="H92" s="25" t="n">
        <v>0</v>
      </c>
      <c r="I92" s="25" t="n">
        <v>0</v>
      </c>
      <c r="J92" s="25" t="n">
        <v>0</v>
      </c>
      <c r="K92" s="25" t="n">
        <v>0</v>
      </c>
      <c r="L92" s="25" t="n">
        <v>0</v>
      </c>
      <c r="M92" s="25" t="n">
        <v>0</v>
      </c>
      <c r="N92" s="25" t="n">
        <v>0</v>
      </c>
      <c r="O92" s="25" t="n">
        <v>0</v>
      </c>
      <c r="P92" s="21" t="n">
        <f aca="false">SUM(D92:O92)</f>
        <v>0</v>
      </c>
      <c r="Q92" s="25" t="n">
        <f aca="false">SUM(D92:J92)</f>
        <v>0</v>
      </c>
      <c r="R92" s="21" t="n">
        <f aca="false">P92-Q92</f>
        <v>0</v>
      </c>
    </row>
    <row r="93" customFormat="false" ht="14.65" hidden="false" customHeight="false" outlineLevel="0" collapsed="false">
      <c r="A93" s="22" t="s">
        <v>76</v>
      </c>
      <c r="C93" s="25" t="n">
        <v>83</v>
      </c>
      <c r="D93" s="25" t="n">
        <v>0</v>
      </c>
      <c r="E93" s="25" t="n">
        <v>0</v>
      </c>
      <c r="F93" s="25" t="n">
        <v>0</v>
      </c>
      <c r="G93" s="25" t="n">
        <v>0</v>
      </c>
      <c r="H93" s="25" t="n">
        <v>0</v>
      </c>
      <c r="I93" s="25" t="n">
        <v>0</v>
      </c>
      <c r="J93" s="25" t="n">
        <v>0</v>
      </c>
      <c r="K93" s="25" t="n">
        <v>0</v>
      </c>
      <c r="L93" s="25" t="n">
        <v>0</v>
      </c>
      <c r="M93" s="25" t="n">
        <v>0</v>
      </c>
      <c r="N93" s="25" t="n">
        <v>0</v>
      </c>
      <c r="O93" s="25" t="n">
        <v>0</v>
      </c>
      <c r="P93" s="21" t="n">
        <f aca="false">SUM(D93:O93)</f>
        <v>0</v>
      </c>
      <c r="Q93" s="25" t="n">
        <f aca="false">SUM(D93:J93)</f>
        <v>0</v>
      </c>
      <c r="R93" s="21" t="n">
        <f aca="false">P93-Q93</f>
        <v>0</v>
      </c>
    </row>
    <row r="94" customFormat="false" ht="14.65" hidden="false" customHeight="false" outlineLevel="0" collapsed="false">
      <c r="A94" s="22" t="s">
        <v>40</v>
      </c>
      <c r="C94" s="25" t="n">
        <v>0</v>
      </c>
      <c r="D94" s="25" t="n">
        <v>0</v>
      </c>
      <c r="E94" s="25" t="n">
        <v>0</v>
      </c>
      <c r="F94" s="25" t="n">
        <v>0</v>
      </c>
      <c r="G94" s="25" t="n">
        <v>0</v>
      </c>
      <c r="H94" s="25" t="n">
        <v>0</v>
      </c>
      <c r="I94" s="25" t="n">
        <v>0</v>
      </c>
      <c r="J94" s="25" t="n">
        <v>0</v>
      </c>
      <c r="K94" s="25" t="n">
        <v>0</v>
      </c>
      <c r="L94" s="25" t="n">
        <v>0</v>
      </c>
      <c r="M94" s="25" t="n">
        <v>0</v>
      </c>
      <c r="N94" s="25" t="n">
        <v>0</v>
      </c>
      <c r="O94" s="25" t="n">
        <v>0</v>
      </c>
      <c r="P94" s="21" t="n">
        <f aca="false">SUM(D94:O94)</f>
        <v>0</v>
      </c>
      <c r="Q94" s="25" t="n">
        <f aca="false">SUM(D94:J94)</f>
        <v>0</v>
      </c>
      <c r="R94" s="21" t="n">
        <f aca="false">P94-Q94</f>
        <v>0</v>
      </c>
    </row>
    <row r="95" customFormat="false" ht="14.65" hidden="false" customHeight="false" outlineLevel="0" collapsed="false">
      <c r="A95" s="22" t="s">
        <v>40</v>
      </c>
      <c r="C95" s="25" t="n">
        <v>0</v>
      </c>
      <c r="D95" s="25" t="n">
        <v>0</v>
      </c>
      <c r="E95" s="25" t="n">
        <v>0</v>
      </c>
      <c r="F95" s="25" t="n">
        <v>0</v>
      </c>
      <c r="G95" s="25" t="n">
        <v>0</v>
      </c>
      <c r="H95" s="25" t="n">
        <v>0</v>
      </c>
      <c r="I95" s="25" t="n">
        <v>0</v>
      </c>
      <c r="J95" s="25" t="n">
        <v>0</v>
      </c>
      <c r="K95" s="25" t="n">
        <v>0</v>
      </c>
      <c r="L95" s="25" t="n">
        <v>0</v>
      </c>
      <c r="M95" s="25" t="n">
        <v>0</v>
      </c>
      <c r="N95" s="25" t="n">
        <v>0</v>
      </c>
      <c r="O95" s="25" t="n">
        <v>0</v>
      </c>
      <c r="P95" s="21" t="n">
        <f aca="false">SUM(D95:O95)</f>
        <v>0</v>
      </c>
      <c r="Q95" s="25" t="n">
        <f aca="false">SUM(D95:J95)</f>
        <v>0</v>
      </c>
      <c r="R95" s="21" t="n">
        <f aca="false">P95-Q95</f>
        <v>0</v>
      </c>
    </row>
    <row r="96" customFormat="false" ht="14.65" hidden="false" customHeight="false" outlineLevel="0" collapsed="false">
      <c r="A96" s="22" t="s">
        <v>28</v>
      </c>
      <c r="C96" s="23" t="n">
        <v>0</v>
      </c>
      <c r="D96" s="23" t="n">
        <v>0</v>
      </c>
      <c r="E96" s="23" t="n">
        <v>0</v>
      </c>
      <c r="F96" s="23" t="n">
        <v>0</v>
      </c>
      <c r="G96" s="23" t="n">
        <v>0</v>
      </c>
      <c r="H96" s="23" t="n">
        <v>0</v>
      </c>
      <c r="I96" s="23" t="n">
        <v>0</v>
      </c>
      <c r="J96" s="23" t="n">
        <v>0</v>
      </c>
      <c r="K96" s="23" t="n">
        <v>0</v>
      </c>
      <c r="L96" s="23" t="n">
        <v>0</v>
      </c>
      <c r="M96" s="23" t="n">
        <v>0</v>
      </c>
      <c r="N96" s="23" t="n">
        <v>0</v>
      </c>
      <c r="O96" s="23" t="n">
        <v>0</v>
      </c>
      <c r="P96" s="24" t="n">
        <f aca="false">SUM(D96:O96)</f>
        <v>0</v>
      </c>
      <c r="Q96" s="23" t="n">
        <f aca="false">SUM(D96:J96)</f>
        <v>0</v>
      </c>
      <c r="R96" s="24" t="n">
        <f aca="false">P96-Q96</f>
        <v>0</v>
      </c>
    </row>
    <row r="97" customFormat="false" ht="3.95" hidden="false" customHeight="true" outlineLevel="0" collapsed="false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customFormat="false" ht="14.65" hidden="false" customHeight="false" outlineLevel="0" collapsed="false">
      <c r="A98" s="20" t="s">
        <v>77</v>
      </c>
      <c r="C98" s="21" t="n">
        <f aca="false">SUM(C72:C97)</f>
        <v>6553</v>
      </c>
      <c r="D98" s="21" t="n">
        <f aca="false">SUM(D72:D97)</f>
        <v>6456</v>
      </c>
      <c r="E98" s="21" t="n">
        <f aca="false">SUM(E72:E97)</f>
        <v>6359</v>
      </c>
      <c r="F98" s="21" t="n">
        <f aca="false">SUM(F72:F97)</f>
        <v>5681</v>
      </c>
      <c r="G98" s="21" t="n">
        <f aca="false">SUM(G72:G97)</f>
        <v>5681</v>
      </c>
      <c r="H98" s="21" t="n">
        <f aca="false">SUM(H72:H97)</f>
        <v>5681</v>
      </c>
      <c r="I98" s="21" t="n">
        <f aca="false">SUM(I72:I97)</f>
        <v>5681</v>
      </c>
      <c r="J98" s="21" t="n">
        <f aca="false">SUM(J72:J97)</f>
        <v>5660</v>
      </c>
      <c r="K98" s="21" t="n">
        <f aca="false">SUM(K72:K97)</f>
        <v>5660</v>
      </c>
      <c r="L98" s="21" t="n">
        <f aca="false">SUM(L72:L97)</f>
        <v>6860</v>
      </c>
      <c r="M98" s="21" t="n">
        <f aca="false">SUM(M72:M97)</f>
        <v>6760</v>
      </c>
      <c r="N98" s="21" t="n">
        <f aca="false">SUM(N72:N97)</f>
        <v>6660</v>
      </c>
      <c r="O98" s="21" t="n">
        <f aca="false">SUM(O72:O97)</f>
        <v>6560</v>
      </c>
      <c r="P98" s="21"/>
    </row>
    <row r="99" customFormat="false" ht="3.95" hidden="false" customHeight="true" outlineLevel="0" collapsed="false"/>
    <row r="100" customFormat="false" ht="14.65" hidden="false" customHeight="false" outlineLevel="0" collapsed="false">
      <c r="A100" s="22" t="s">
        <v>30</v>
      </c>
      <c r="C100" s="21"/>
      <c r="D100" s="21" t="n">
        <f aca="false">D98-C98</f>
        <v>-97</v>
      </c>
      <c r="E100" s="21" t="n">
        <f aca="false">E98-D98</f>
        <v>-97</v>
      </c>
      <c r="F100" s="21" t="n">
        <f aca="false">F98-E98</f>
        <v>-678</v>
      </c>
      <c r="G100" s="21" t="n">
        <f aca="false">G98-F98</f>
        <v>0</v>
      </c>
      <c r="H100" s="21" t="n">
        <f aca="false">H98-G98</f>
        <v>0</v>
      </c>
      <c r="I100" s="21" t="n">
        <f aca="false">I98-H98</f>
        <v>0</v>
      </c>
      <c r="J100" s="21" t="n">
        <f aca="false">J98-I98</f>
        <v>-21</v>
      </c>
      <c r="K100" s="21" t="n">
        <f aca="false">K98-J98</f>
        <v>0</v>
      </c>
      <c r="L100" s="21" t="n">
        <f aca="false">L98-K98</f>
        <v>1200</v>
      </c>
      <c r="M100" s="21" t="n">
        <f aca="false">M98-L98</f>
        <v>-100</v>
      </c>
      <c r="N100" s="21" t="n">
        <f aca="false">N98-M98</f>
        <v>-100</v>
      </c>
      <c r="O100" s="21" t="n">
        <f aca="false">O98-N98</f>
        <v>-100</v>
      </c>
      <c r="P100" s="21" t="n">
        <f aca="false">SUM(D100:O100)</f>
        <v>7</v>
      </c>
      <c r="Q100" s="21" t="n">
        <f aca="false">SUM(Q73:Q97)</f>
        <v>-893</v>
      </c>
      <c r="R100" s="21" t="n">
        <f aca="false">P100-Q100</f>
        <v>900</v>
      </c>
    </row>
    <row r="102" customFormat="false" ht="14.65" hidden="false" customHeight="false" outlineLevel="0" collapsed="false">
      <c r="A102" s="20" t="s">
        <v>78</v>
      </c>
      <c r="C102" s="21"/>
      <c r="D102" s="21" t="n">
        <f aca="false">C107</f>
        <v>58</v>
      </c>
      <c r="E102" s="21" t="n">
        <f aca="false">D107</f>
        <v>-37</v>
      </c>
      <c r="F102" s="21" t="n">
        <f aca="false">E107</f>
        <v>1052</v>
      </c>
      <c r="G102" s="21" t="n">
        <f aca="false">F107</f>
        <v>0</v>
      </c>
      <c r="H102" s="21" t="n">
        <f aca="false">G107</f>
        <v>0</v>
      </c>
      <c r="I102" s="21" t="n">
        <f aca="false">H107</f>
        <v>0</v>
      </c>
      <c r="J102" s="21" t="n">
        <f aca="false">I107</f>
        <v>0</v>
      </c>
      <c r="K102" s="21" t="n">
        <f aca="false">J107</f>
        <v>1</v>
      </c>
      <c r="L102" s="21" t="n">
        <f aca="false">K107</f>
        <v>1</v>
      </c>
      <c r="M102" s="21" t="n">
        <f aca="false">L107</f>
        <v>1</v>
      </c>
      <c r="N102" s="21" t="n">
        <f aca="false">M107</f>
        <v>1</v>
      </c>
      <c r="O102" s="21" t="n">
        <f aca="false">N107</f>
        <v>1</v>
      </c>
      <c r="P102" s="21"/>
    </row>
    <row r="103" customFormat="false" ht="14.65" hidden="false" customHeight="false" outlineLevel="0" collapsed="false">
      <c r="A103" s="22" t="s">
        <v>79</v>
      </c>
      <c r="C103" s="25" t="n">
        <v>0</v>
      </c>
      <c r="D103" s="25" t="n">
        <v>0</v>
      </c>
      <c r="E103" s="25" t="n">
        <v>0</v>
      </c>
      <c r="F103" s="25" t="n">
        <v>0</v>
      </c>
      <c r="G103" s="25" t="n">
        <v>0</v>
      </c>
      <c r="H103" s="25" t="n">
        <v>0</v>
      </c>
      <c r="I103" s="25" t="n">
        <v>0</v>
      </c>
      <c r="J103" s="25" t="n">
        <v>0</v>
      </c>
      <c r="K103" s="25" t="n">
        <v>0</v>
      </c>
      <c r="L103" s="25" t="n">
        <v>0</v>
      </c>
      <c r="M103" s="25" t="n">
        <v>0</v>
      </c>
      <c r="N103" s="25" t="n">
        <v>0</v>
      </c>
      <c r="O103" s="25" t="n">
        <v>0</v>
      </c>
      <c r="P103" s="21" t="n">
        <f aca="false">SUM(D103:O103)</f>
        <v>0</v>
      </c>
      <c r="Q103" s="25" t="n">
        <f aca="false">SUM(D103:J103)</f>
        <v>0</v>
      </c>
      <c r="R103" s="21" t="n">
        <f aca="false">P103-Q103</f>
        <v>0</v>
      </c>
    </row>
    <row r="104" customFormat="false" ht="14.65" hidden="false" customHeight="false" outlineLevel="0" collapsed="false">
      <c r="A104" s="22" t="s">
        <v>80</v>
      </c>
      <c r="C104" s="25" t="n">
        <v>58</v>
      </c>
      <c r="D104" s="25" t="n">
        <v>-95</v>
      </c>
      <c r="E104" s="26" t="n">
        <v>1089</v>
      </c>
      <c r="F104" s="26" t="n">
        <v>-1052</v>
      </c>
      <c r="G104" s="25" t="n">
        <v>0</v>
      </c>
      <c r="H104" s="25" t="n">
        <v>0</v>
      </c>
      <c r="I104" s="25" t="n">
        <v>0</v>
      </c>
      <c r="J104" s="25" t="n">
        <v>0</v>
      </c>
      <c r="K104" s="25" t="n">
        <v>0</v>
      </c>
      <c r="L104" s="25" t="n">
        <v>0</v>
      </c>
      <c r="M104" s="25" t="n">
        <v>0</v>
      </c>
      <c r="N104" s="25" t="n">
        <v>0</v>
      </c>
      <c r="O104" s="25" t="n">
        <v>0</v>
      </c>
      <c r="P104" s="21" t="n">
        <f aca="false">SUM(D104:O104)</f>
        <v>-58</v>
      </c>
      <c r="Q104" s="25" t="n">
        <f aca="false">SUM(D104:J104)</f>
        <v>-58</v>
      </c>
      <c r="R104" s="21" t="n">
        <f aca="false">P104-Q104</f>
        <v>0</v>
      </c>
    </row>
    <row r="105" customFormat="false" ht="14.65" hidden="false" customHeight="false" outlineLevel="0" collapsed="false">
      <c r="A105" s="22" t="s">
        <v>28</v>
      </c>
      <c r="C105" s="23" t="n">
        <v>0</v>
      </c>
      <c r="D105" s="23" t="n">
        <v>0</v>
      </c>
      <c r="E105" s="23" t="n">
        <v>0</v>
      </c>
      <c r="F105" s="23" t="n">
        <v>0</v>
      </c>
      <c r="G105" s="23" t="n">
        <v>0</v>
      </c>
      <c r="H105" s="23" t="n">
        <v>0</v>
      </c>
      <c r="I105" s="23" t="n">
        <v>0</v>
      </c>
      <c r="J105" s="23" t="n">
        <v>1</v>
      </c>
      <c r="K105" s="23" t="n">
        <v>0</v>
      </c>
      <c r="L105" s="23" t="n">
        <v>0</v>
      </c>
      <c r="M105" s="23" t="n">
        <v>0</v>
      </c>
      <c r="N105" s="23" t="n">
        <v>0</v>
      </c>
      <c r="O105" s="23" t="n">
        <v>0</v>
      </c>
      <c r="P105" s="24" t="n">
        <f aca="false">SUM(D105:O105)</f>
        <v>1</v>
      </c>
      <c r="Q105" s="23" t="n">
        <f aca="false">SUM(D105:J105)</f>
        <v>1</v>
      </c>
      <c r="R105" s="24" t="n">
        <f aca="false">P105-Q105</f>
        <v>0</v>
      </c>
    </row>
    <row r="106" customFormat="false" ht="3.95" hidden="false" customHeight="true" outlineLevel="0" collapsed="false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customFormat="false" ht="14.65" hidden="false" customHeight="false" outlineLevel="0" collapsed="false">
      <c r="A107" s="20" t="s">
        <v>81</v>
      </c>
      <c r="C107" s="21" t="n">
        <f aca="false">SUM(C102:C105)</f>
        <v>58</v>
      </c>
      <c r="D107" s="21" t="n">
        <f aca="false">SUM(D102:D105)</f>
        <v>-37</v>
      </c>
      <c r="E107" s="21" t="n">
        <f aca="false">SUM(E102:E105)</f>
        <v>1052</v>
      </c>
      <c r="F107" s="21" t="n">
        <f aca="false">SUM(F102:F105)</f>
        <v>0</v>
      </c>
      <c r="G107" s="21" t="n">
        <f aca="false">SUM(G102:G105)</f>
        <v>0</v>
      </c>
      <c r="H107" s="21" t="n">
        <f aca="false">SUM(H102:H105)</f>
        <v>0</v>
      </c>
      <c r="I107" s="21" t="n">
        <f aca="false">SUM(I102:I105)</f>
        <v>0</v>
      </c>
      <c r="J107" s="21" t="n">
        <f aca="false">SUM(J102:J105)</f>
        <v>1</v>
      </c>
      <c r="K107" s="21" t="n">
        <f aca="false">SUM(K102:K105)</f>
        <v>1</v>
      </c>
      <c r="L107" s="21" t="n">
        <f aca="false">SUM(L102:L105)</f>
        <v>1</v>
      </c>
      <c r="M107" s="21" t="n">
        <f aca="false">SUM(M102:M105)</f>
        <v>1</v>
      </c>
      <c r="N107" s="21" t="n">
        <f aca="false">SUM(N102:N105)</f>
        <v>1</v>
      </c>
      <c r="O107" s="21" t="n">
        <f aca="false">SUM(O102:O105)</f>
        <v>1</v>
      </c>
      <c r="P107" s="21"/>
    </row>
    <row r="108" customFormat="false" ht="3.95" hidden="false" customHeight="true" outlineLevel="0" collapsed="false"/>
    <row r="109" customFormat="false" ht="14.65" hidden="false" customHeight="false" outlineLevel="0" collapsed="false">
      <c r="A109" s="22" t="s">
        <v>30</v>
      </c>
      <c r="C109" s="21"/>
      <c r="D109" s="21" t="n">
        <f aca="false">D107-C107</f>
        <v>-95</v>
      </c>
      <c r="E109" s="21" t="n">
        <f aca="false">E107-D107</f>
        <v>1089</v>
      </c>
      <c r="F109" s="21" t="n">
        <f aca="false">F107-E107</f>
        <v>-1052</v>
      </c>
      <c r="G109" s="21" t="n">
        <f aca="false">G107-F107</f>
        <v>0</v>
      </c>
      <c r="H109" s="21" t="n">
        <f aca="false">H107-G107</f>
        <v>0</v>
      </c>
      <c r="I109" s="21" t="n">
        <f aca="false">I107-H107</f>
        <v>0</v>
      </c>
      <c r="J109" s="21" t="n">
        <f aca="false">J107-I107</f>
        <v>1</v>
      </c>
      <c r="K109" s="21" t="n">
        <f aca="false">K107-J107</f>
        <v>0</v>
      </c>
      <c r="L109" s="21" t="n">
        <f aca="false">L107-K107</f>
        <v>0</v>
      </c>
      <c r="M109" s="21" t="n">
        <f aca="false">M107-L107</f>
        <v>0</v>
      </c>
      <c r="N109" s="21" t="n">
        <f aca="false">N107-M107</f>
        <v>0</v>
      </c>
      <c r="O109" s="21" t="n">
        <f aca="false">O107-N107</f>
        <v>0</v>
      </c>
      <c r="P109" s="21" t="n">
        <f aca="false">SUM(D109:O109)</f>
        <v>-57</v>
      </c>
      <c r="Q109" s="21" t="n">
        <f aca="false">SUM(Q103:Q106)</f>
        <v>-57</v>
      </c>
      <c r="R109" s="21" t="n">
        <f aca="false">P109-Q109</f>
        <v>0</v>
      </c>
    </row>
    <row r="111" customFormat="false" ht="14.65" hidden="false" customHeight="false" outlineLevel="0" collapsed="false">
      <c r="A111" s="20" t="s">
        <v>82</v>
      </c>
      <c r="D111" s="21" t="n">
        <f aca="false">C116</f>
        <v>0</v>
      </c>
      <c r="E111" s="21" t="n">
        <f aca="false">D116</f>
        <v>0</v>
      </c>
      <c r="F111" s="21" t="n">
        <f aca="false">E116</f>
        <v>0</v>
      </c>
      <c r="G111" s="21" t="n">
        <f aca="false">F116</f>
        <v>0</v>
      </c>
      <c r="H111" s="21" t="n">
        <f aca="false">G116</f>
        <v>0</v>
      </c>
      <c r="I111" s="21" t="n">
        <f aca="false">H116</f>
        <v>0</v>
      </c>
      <c r="J111" s="21" t="n">
        <f aca="false">I116</f>
        <v>0</v>
      </c>
      <c r="K111" s="21" t="n">
        <f aca="false">J116</f>
        <v>0</v>
      </c>
      <c r="L111" s="21" t="n">
        <f aca="false">K116</f>
        <v>0</v>
      </c>
      <c r="M111" s="21" t="n">
        <f aca="false">L116</f>
        <v>0</v>
      </c>
      <c r="N111" s="21" t="n">
        <f aca="false">M116</f>
        <v>0</v>
      </c>
      <c r="O111" s="21" t="n">
        <f aca="false">N116</f>
        <v>0</v>
      </c>
    </row>
    <row r="112" customFormat="false" ht="14.65" hidden="false" customHeight="false" outlineLevel="0" collapsed="false">
      <c r="A112" s="22" t="s">
        <v>83</v>
      </c>
      <c r="B112" s="27" t="s">
        <v>34</v>
      </c>
      <c r="D112" s="28" t="n">
        <f aca="false">'''file:///mnt/12tb/@roms/datasets/enron/EDRM%20Enron%20Email%20Data%20Set%20v2%20XML/filtered-attachments/xls/EMTW01CE.XLS''#Source'!D43</f>
        <v>0</v>
      </c>
      <c r="E112" s="28" t="n">
        <f aca="false">'''file:///mnt/12tb/@roms/datasets/enron/EDRM%20Enron%20Email%20Data%20Set%20v2%20XML/filtered-attachments/xls/EMTW01CE.XLS''#Source'!E43</f>
        <v>0</v>
      </c>
      <c r="F112" s="28" t="n">
        <f aca="false">'''file:///mnt/12tb/@roms/datasets/enron/EDRM%20Enron%20Email%20Data%20Set%20v2%20XML/filtered-attachments/xls/EMTW01CE.XLS''#Source'!F43</f>
        <v>0</v>
      </c>
      <c r="G112" s="28" t="n">
        <f aca="false">'''file:///mnt/12tb/@roms/datasets/enron/EDRM%20Enron%20Email%20Data%20Set%20v2%20XML/filtered-attachments/xls/EMTW01CE.XLS''#Source'!G43</f>
        <v>0</v>
      </c>
      <c r="H112" s="28" t="n">
        <f aca="false">'''file:///mnt/12tb/@roms/datasets/enron/EDRM%20Enron%20Email%20Data%20Set%20v2%20XML/filtered-attachments/xls/EMTW01CE.XLS''#Source'!H43</f>
        <v>0</v>
      </c>
      <c r="I112" s="28" t="n">
        <f aca="false">'''file:///mnt/12tb/@roms/datasets/enron/EDRM%20Enron%20Email%20Data%20Set%20v2%20XML/filtered-attachments/xls/EMTW01CE.XLS''#Source'!I43</f>
        <v>0</v>
      </c>
      <c r="J112" s="28" t="n">
        <f aca="false">'''file:///mnt/12tb/@roms/datasets/enron/EDRM%20Enron%20Email%20Data%20Set%20v2%20XML/filtered-attachments/xls/EMTW01CE.XLS''#Source'!J43</f>
        <v>0</v>
      </c>
      <c r="K112" s="28" t="n">
        <f aca="false">'''file:///mnt/12tb/@roms/datasets/enron/EDRM%20Enron%20Email%20Data%20Set%20v2%20XML/filtered-attachments/xls/EMTW01CE.XLS''#Source'!K43</f>
        <v>0</v>
      </c>
      <c r="L112" s="28" t="n">
        <f aca="false">'''file:///mnt/12tb/@roms/datasets/enron/EDRM%20Enron%20Email%20Data%20Set%20v2%20XML/filtered-attachments/xls/EMTW01CE.XLS''#Source'!L43</f>
        <v>0</v>
      </c>
      <c r="M112" s="28" t="n">
        <f aca="false">'''file:///mnt/12tb/@roms/datasets/enron/EDRM%20Enron%20Email%20Data%20Set%20v2%20XML/filtered-attachments/xls/EMTW01CE.XLS''#Source'!M43</f>
        <v>0</v>
      </c>
      <c r="N112" s="28" t="n">
        <f aca="false">'''file:///mnt/12tb/@roms/datasets/enron/EDRM%20Enron%20Email%20Data%20Set%20v2%20XML/filtered-attachments/xls/EMTW01CE.XLS''#Source'!N43</f>
        <v>0</v>
      </c>
      <c r="O112" s="28" t="n">
        <f aca="false">'''file:///mnt/12tb/@roms/datasets/enron/EDRM%20Enron%20Email%20Data%20Set%20v2%20XML/filtered-attachments/xls/EMTW01CE.XLS''#Source'!O43</f>
        <v>0</v>
      </c>
      <c r="P112" s="21" t="n">
        <f aca="false">SUM(D112:O112)</f>
        <v>0</v>
      </c>
      <c r="Q112" s="25" t="n">
        <f aca="false">SUM(D112:J112)</f>
        <v>0</v>
      </c>
      <c r="R112" s="21" t="n">
        <f aca="false">P112-Q112</f>
        <v>0</v>
      </c>
    </row>
    <row r="113" customFormat="false" ht="14.65" hidden="false" customHeight="false" outlineLevel="0" collapsed="false">
      <c r="A113" s="22" t="s">
        <v>84</v>
      </c>
      <c r="D113" s="25" t="n">
        <v>0</v>
      </c>
      <c r="E113" s="25" t="n">
        <v>0</v>
      </c>
      <c r="F113" s="25" t="n">
        <v>0</v>
      </c>
      <c r="G113" s="25" t="n">
        <v>0</v>
      </c>
      <c r="H113" s="25" t="n">
        <v>0</v>
      </c>
      <c r="I113" s="25" t="n">
        <v>0</v>
      </c>
      <c r="J113" s="25" t="n">
        <v>0</v>
      </c>
      <c r="K113" s="25" t="n">
        <v>0</v>
      </c>
      <c r="L113" s="25" t="n">
        <v>0</v>
      </c>
      <c r="M113" s="25" t="n">
        <v>0</v>
      </c>
      <c r="N113" s="25" t="n">
        <v>0</v>
      </c>
      <c r="O113" s="25" t="n">
        <v>0</v>
      </c>
      <c r="P113" s="21" t="n">
        <f aca="false">SUM(D113:O113)</f>
        <v>0</v>
      </c>
      <c r="Q113" s="25" t="n">
        <f aca="false">SUM(D113:J113)</f>
        <v>0</v>
      </c>
      <c r="R113" s="21" t="n">
        <f aca="false">P113-Q113</f>
        <v>0</v>
      </c>
    </row>
    <row r="114" customFormat="false" ht="14.65" hidden="false" customHeight="false" outlineLevel="0" collapsed="false">
      <c r="A114" s="22" t="s">
        <v>28</v>
      </c>
      <c r="C114" s="23" t="n">
        <v>0</v>
      </c>
      <c r="D114" s="23" t="n">
        <v>0</v>
      </c>
      <c r="E114" s="23" t="n">
        <v>0</v>
      </c>
      <c r="F114" s="23" t="n">
        <v>0</v>
      </c>
      <c r="G114" s="23" t="n">
        <v>0</v>
      </c>
      <c r="H114" s="23" t="n">
        <v>0</v>
      </c>
      <c r="I114" s="23" t="n">
        <v>0</v>
      </c>
      <c r="J114" s="23" t="n">
        <v>0</v>
      </c>
      <c r="K114" s="23" t="n">
        <v>0</v>
      </c>
      <c r="L114" s="23" t="n">
        <v>0</v>
      </c>
      <c r="M114" s="23" t="n">
        <v>0</v>
      </c>
      <c r="N114" s="23" t="n">
        <v>0</v>
      </c>
      <c r="O114" s="23" t="n">
        <v>0</v>
      </c>
      <c r="P114" s="24" t="n">
        <f aca="false">SUM(D114:O114)</f>
        <v>0</v>
      </c>
      <c r="Q114" s="23" t="n">
        <f aca="false">SUM(D114:J114)</f>
        <v>0</v>
      </c>
      <c r="R114" s="24" t="n">
        <f aca="false">P114-Q114</f>
        <v>0</v>
      </c>
    </row>
    <row r="115" customFormat="false" ht="3.95" hidden="false" customHeight="true" outlineLevel="0" collapsed="false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customFormat="false" ht="14.65" hidden="false" customHeight="false" outlineLevel="0" collapsed="false">
      <c r="A116" s="20" t="s">
        <v>85</v>
      </c>
      <c r="C116" s="25" t="n">
        <v>0</v>
      </c>
      <c r="D116" s="21" t="n">
        <f aca="false">SUM(D111:D115)</f>
        <v>0</v>
      </c>
      <c r="E116" s="21" t="n">
        <f aca="false">SUM(E111:E115)</f>
        <v>0</v>
      </c>
      <c r="F116" s="21" t="n">
        <f aca="false">SUM(F111:F115)</f>
        <v>0</v>
      </c>
      <c r="G116" s="21" t="n">
        <f aca="false">SUM(G111:G115)</f>
        <v>0</v>
      </c>
      <c r="H116" s="21" t="n">
        <f aca="false">SUM(H111:H115)</f>
        <v>0</v>
      </c>
      <c r="I116" s="21" t="n">
        <f aca="false">SUM(I111:I115)</f>
        <v>0</v>
      </c>
      <c r="J116" s="21" t="n">
        <f aca="false">SUM(J111:J115)</f>
        <v>0</v>
      </c>
      <c r="K116" s="21" t="n">
        <f aca="false">SUM(K111:K115)</f>
        <v>0</v>
      </c>
      <c r="L116" s="21" t="n">
        <f aca="false">SUM(L111:L115)</f>
        <v>0</v>
      </c>
      <c r="M116" s="21" t="n">
        <f aca="false">SUM(M111:M115)</f>
        <v>0</v>
      </c>
      <c r="N116" s="21" t="n">
        <f aca="false">SUM(N111:N115)</f>
        <v>0</v>
      </c>
      <c r="O116" s="21" t="n">
        <f aca="false">SUM(O111:O115)</f>
        <v>0</v>
      </c>
    </row>
    <row r="117" customFormat="false" ht="3.95" hidden="false" customHeight="true" outlineLevel="0" collapsed="false"/>
    <row r="118" customFormat="false" ht="14.65" hidden="false" customHeight="false" outlineLevel="0" collapsed="false">
      <c r="A118" s="22" t="s">
        <v>30</v>
      </c>
      <c r="D118" s="21" t="n">
        <f aca="false">D116-C116</f>
        <v>0</v>
      </c>
      <c r="E118" s="21" t="n">
        <f aca="false">E116-D116</f>
        <v>0</v>
      </c>
      <c r="F118" s="21" t="n">
        <f aca="false">F116-E116</f>
        <v>0</v>
      </c>
      <c r="G118" s="21" t="n">
        <f aca="false">G116-F116</f>
        <v>0</v>
      </c>
      <c r="H118" s="21" t="n">
        <f aca="false">H116-G116</f>
        <v>0</v>
      </c>
      <c r="I118" s="21" t="n">
        <f aca="false">I116-H116</f>
        <v>0</v>
      </c>
      <c r="J118" s="21" t="n">
        <f aca="false">J116-I116</f>
        <v>0</v>
      </c>
      <c r="K118" s="21" t="n">
        <f aca="false">K116-J116</f>
        <v>0</v>
      </c>
      <c r="L118" s="21" t="n">
        <f aca="false">L116-K116</f>
        <v>0</v>
      </c>
      <c r="M118" s="21" t="n">
        <f aca="false">M116-L116</f>
        <v>0</v>
      </c>
      <c r="N118" s="21" t="n">
        <f aca="false">N116-M116</f>
        <v>0</v>
      </c>
      <c r="O118" s="21" t="n">
        <f aca="false">O116-N116</f>
        <v>0</v>
      </c>
      <c r="P118" s="21" t="n">
        <f aca="false">SUM(D118:O118)</f>
        <v>0</v>
      </c>
      <c r="Q118" s="21" t="n">
        <f aca="false">SUM(Q112:Q115)</f>
        <v>0</v>
      </c>
      <c r="R118" s="21" t="n">
        <f aca="false">P118-Q118</f>
        <v>0</v>
      </c>
    </row>
    <row r="119" customFormat="false" ht="12" hidden="false" customHeight="true" outlineLevel="0" collapsed="false"/>
    <row r="120" customFormat="false" ht="14.65" hidden="false" customHeight="false" outlineLevel="0" collapsed="false">
      <c r="A120" s="20" t="s">
        <v>86</v>
      </c>
      <c r="C120" s="21"/>
      <c r="D120" s="21" t="n">
        <f aca="false">C124</f>
        <v>0</v>
      </c>
      <c r="E120" s="21" t="n">
        <f aca="false">D124</f>
        <v>0</v>
      </c>
      <c r="F120" s="21" t="n">
        <f aca="false">E124</f>
        <v>0</v>
      </c>
      <c r="G120" s="21" t="n">
        <f aca="false">F124</f>
        <v>0</v>
      </c>
      <c r="H120" s="21" t="n">
        <f aca="false">G124</f>
        <v>0</v>
      </c>
      <c r="I120" s="21" t="n">
        <f aca="false">H124</f>
        <v>0</v>
      </c>
      <c r="J120" s="21" t="n">
        <f aca="false">I124</f>
        <v>0</v>
      </c>
      <c r="K120" s="21" t="n">
        <f aca="false">J124</f>
        <v>0</v>
      </c>
      <c r="L120" s="21" t="n">
        <f aca="false">K124</f>
        <v>0</v>
      </c>
      <c r="M120" s="21" t="n">
        <f aca="false">L124</f>
        <v>0</v>
      </c>
      <c r="N120" s="21" t="n">
        <f aca="false">M124</f>
        <v>0</v>
      </c>
      <c r="O120" s="21" t="n">
        <f aca="false">N124</f>
        <v>0</v>
      </c>
      <c r="P120" s="21"/>
    </row>
    <row r="121" customFormat="false" ht="14.65" hidden="false" customHeight="false" outlineLevel="0" collapsed="false">
      <c r="A121" s="22" t="s">
        <v>40</v>
      </c>
      <c r="C121" s="25" t="n">
        <v>0</v>
      </c>
      <c r="D121" s="25" t="n">
        <v>0</v>
      </c>
      <c r="E121" s="25" t="n">
        <v>0</v>
      </c>
      <c r="F121" s="25" t="n">
        <v>0</v>
      </c>
      <c r="G121" s="25" t="n">
        <v>0</v>
      </c>
      <c r="H121" s="25" t="n">
        <v>0</v>
      </c>
      <c r="I121" s="25" t="n">
        <v>0</v>
      </c>
      <c r="J121" s="25" t="n">
        <v>0</v>
      </c>
      <c r="K121" s="25" t="n">
        <v>0</v>
      </c>
      <c r="L121" s="25" t="n">
        <v>0</v>
      </c>
      <c r="M121" s="25" t="n">
        <v>0</v>
      </c>
      <c r="N121" s="25" t="n">
        <v>0</v>
      </c>
      <c r="O121" s="25" t="n">
        <v>0</v>
      </c>
      <c r="P121" s="21" t="n">
        <f aca="false">SUM(D121:O121)</f>
        <v>0</v>
      </c>
      <c r="Q121" s="25" t="n">
        <f aca="false">SUM(D121:J121)</f>
        <v>0</v>
      </c>
      <c r="R121" s="21" t="n">
        <f aca="false">P121-Q121</f>
        <v>0</v>
      </c>
    </row>
    <row r="122" customFormat="false" ht="14.65" hidden="false" customHeight="false" outlineLevel="0" collapsed="false">
      <c r="A122" s="22" t="s">
        <v>28</v>
      </c>
      <c r="C122" s="23" t="n">
        <v>0</v>
      </c>
      <c r="D122" s="23" t="n">
        <v>0</v>
      </c>
      <c r="E122" s="23" t="n">
        <v>0</v>
      </c>
      <c r="F122" s="23" t="n">
        <v>0</v>
      </c>
      <c r="G122" s="23" t="n">
        <v>0</v>
      </c>
      <c r="H122" s="23" t="n">
        <v>0</v>
      </c>
      <c r="I122" s="23" t="n">
        <v>0</v>
      </c>
      <c r="J122" s="23" t="n">
        <v>0</v>
      </c>
      <c r="K122" s="23" t="n">
        <v>0</v>
      </c>
      <c r="L122" s="23" t="n">
        <v>0</v>
      </c>
      <c r="M122" s="23" t="n">
        <v>0</v>
      </c>
      <c r="N122" s="23" t="n">
        <v>0</v>
      </c>
      <c r="O122" s="23" t="n">
        <v>0</v>
      </c>
      <c r="P122" s="24" t="n">
        <f aca="false">SUM(D122:O122)</f>
        <v>0</v>
      </c>
      <c r="Q122" s="23" t="n">
        <f aca="false">SUM(D122:J122)</f>
        <v>0</v>
      </c>
      <c r="R122" s="24" t="n">
        <f aca="false">P122-Q122</f>
        <v>0</v>
      </c>
    </row>
    <row r="123" customFormat="false" ht="3.95" hidden="false" customHeight="true" outlineLevel="0" collapsed="false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</row>
    <row r="124" customFormat="false" ht="14.65" hidden="false" customHeight="false" outlineLevel="0" collapsed="false">
      <c r="A124" s="20" t="s">
        <v>87</v>
      </c>
      <c r="C124" s="21" t="n">
        <f aca="false">SUM(C120:C123)</f>
        <v>0</v>
      </c>
      <c r="D124" s="21" t="n">
        <f aca="false">SUM(D120:D123)</f>
        <v>0</v>
      </c>
      <c r="E124" s="21" t="n">
        <f aca="false">SUM(E120:E123)</f>
        <v>0</v>
      </c>
      <c r="F124" s="21" t="n">
        <f aca="false">SUM(F120:F123)</f>
        <v>0</v>
      </c>
      <c r="G124" s="21" t="n">
        <f aca="false">SUM(G120:G123)</f>
        <v>0</v>
      </c>
      <c r="H124" s="21" t="n">
        <f aca="false">SUM(H120:H123)</f>
        <v>0</v>
      </c>
      <c r="I124" s="21" t="n">
        <f aca="false">SUM(I120:I123)</f>
        <v>0</v>
      </c>
      <c r="J124" s="21" t="n">
        <f aca="false">SUM(J120:J123)</f>
        <v>0</v>
      </c>
      <c r="K124" s="21" t="n">
        <f aca="false">SUM(K120:K123)</f>
        <v>0</v>
      </c>
      <c r="L124" s="21" t="n">
        <f aca="false">SUM(L120:L123)</f>
        <v>0</v>
      </c>
      <c r="M124" s="21" t="n">
        <f aca="false">SUM(M120:M123)</f>
        <v>0</v>
      </c>
      <c r="N124" s="21" t="n">
        <f aca="false">SUM(N120:N123)</f>
        <v>0</v>
      </c>
      <c r="O124" s="21" t="n">
        <f aca="false">SUM(O120:O123)</f>
        <v>0</v>
      </c>
      <c r="P124" s="21"/>
    </row>
    <row r="125" customFormat="false" ht="3.95" hidden="false" customHeight="true" outlineLevel="0" collapsed="false"/>
    <row r="126" customFormat="false" ht="14.65" hidden="false" customHeight="false" outlineLevel="0" collapsed="false">
      <c r="A126" s="22" t="s">
        <v>30</v>
      </c>
      <c r="C126" s="21"/>
      <c r="D126" s="21" t="n">
        <f aca="false">D124-C124</f>
        <v>0</v>
      </c>
      <c r="E126" s="21" t="n">
        <f aca="false">E124-D124</f>
        <v>0</v>
      </c>
      <c r="F126" s="21" t="n">
        <f aca="false">F124-E124</f>
        <v>0</v>
      </c>
      <c r="G126" s="21" t="n">
        <f aca="false">G124-F124</f>
        <v>0</v>
      </c>
      <c r="H126" s="21" t="n">
        <f aca="false">H124-G124</f>
        <v>0</v>
      </c>
      <c r="I126" s="21" t="n">
        <f aca="false">I124-H124</f>
        <v>0</v>
      </c>
      <c r="J126" s="21" t="n">
        <f aca="false">J124-I124</f>
        <v>0</v>
      </c>
      <c r="K126" s="21" t="n">
        <f aca="false">K124-J124</f>
        <v>0</v>
      </c>
      <c r="L126" s="21" t="n">
        <f aca="false">L124-K124</f>
        <v>0</v>
      </c>
      <c r="M126" s="21" t="n">
        <f aca="false">M124-L124</f>
        <v>0</v>
      </c>
      <c r="N126" s="21" t="n">
        <f aca="false">N124-M124</f>
        <v>0</v>
      </c>
      <c r="O126" s="21" t="n">
        <f aca="false">O124-N124</f>
        <v>0</v>
      </c>
      <c r="P126" s="21" t="n">
        <f aca="false">SUM(D126:O126)</f>
        <v>0</v>
      </c>
      <c r="Q126" s="21" t="n">
        <f aca="false">SUM(Q122:Q123)</f>
        <v>0</v>
      </c>
      <c r="R126" s="21" t="n">
        <f aca="false">P126-Q126</f>
        <v>0</v>
      </c>
    </row>
    <row r="127" customFormat="false" ht="8.1" hidden="false" customHeight="true" outlineLevel="0" collapsed="false"/>
    <row r="129" customFormat="false" ht="14.65" hidden="false" customHeight="false" outlineLevel="0" collapsed="false">
      <c r="A129" s="20" t="s">
        <v>88</v>
      </c>
      <c r="C129" s="21"/>
      <c r="D129" s="21" t="n">
        <f aca="false">C142</f>
        <v>987107</v>
      </c>
      <c r="E129" s="21" t="n">
        <f aca="false">D142</f>
        <v>987543</v>
      </c>
      <c r="F129" s="21" t="n">
        <f aca="false">E142</f>
        <v>986923</v>
      </c>
      <c r="G129" s="21" t="n">
        <f aca="false">F142</f>
        <v>987812</v>
      </c>
      <c r="H129" s="21" t="n">
        <f aca="false">G142</f>
        <v>990597</v>
      </c>
      <c r="I129" s="21" t="n">
        <f aca="false">H142</f>
        <v>1006548</v>
      </c>
      <c r="J129" s="21" t="n">
        <f aca="false">I142</f>
        <v>1010004</v>
      </c>
      <c r="K129" s="21" t="n">
        <f aca="false">J142</f>
        <v>1011084</v>
      </c>
      <c r="L129" s="21" t="n">
        <f aca="false">K142</f>
        <v>1012984</v>
      </c>
      <c r="M129" s="21" t="n">
        <f aca="false">L142</f>
        <v>1026027</v>
      </c>
      <c r="N129" s="21" t="n">
        <f aca="false">M142</f>
        <v>1031844</v>
      </c>
      <c r="O129" s="21" t="n">
        <f aca="false">N142</f>
        <v>1043696</v>
      </c>
      <c r="P129" s="21"/>
    </row>
    <row r="130" customFormat="false" ht="14.65" hidden="false" customHeight="false" outlineLevel="0" collapsed="false">
      <c r="A130" s="22" t="s">
        <v>89</v>
      </c>
      <c r="C130" s="25"/>
      <c r="D130" s="25" t="n">
        <v>719</v>
      </c>
      <c r="E130" s="25" t="n">
        <v>242</v>
      </c>
      <c r="F130" s="25" t="n">
        <v>906</v>
      </c>
      <c r="G130" s="25" t="n">
        <v>1317</v>
      </c>
      <c r="H130" s="25" t="n">
        <v>1105</v>
      </c>
      <c r="I130" s="26" t="n">
        <v>3523</v>
      </c>
      <c r="J130" s="26" t="n">
        <v>1280</v>
      </c>
      <c r="K130" s="26" t="n">
        <f aca="false">1900</f>
        <v>1900</v>
      </c>
      <c r="L130" s="26" t="n">
        <f aca="false">1200+383+7900</f>
        <v>9483</v>
      </c>
      <c r="M130" s="26" t="n">
        <f aca="false">2900-119+2500+536</f>
        <v>5817</v>
      </c>
      <c r="N130" s="26" t="n">
        <f aca="false">900+758+994+6200+3000</f>
        <v>11852</v>
      </c>
      <c r="O130" s="26" t="n">
        <f aca="false">800+1295+9100</f>
        <v>11195</v>
      </c>
      <c r="P130" s="21" t="n">
        <f aca="false">SUM(D130:O130)</f>
        <v>49339</v>
      </c>
      <c r="Q130" s="25" t="n">
        <f aca="false">SUM(D130:J130)</f>
        <v>9092</v>
      </c>
      <c r="R130" s="21" t="n">
        <f aca="false">P130-Q130</f>
        <v>40247</v>
      </c>
    </row>
    <row r="131" customFormat="false" ht="14.65" hidden="false" customHeight="false" outlineLevel="0" collapsed="false">
      <c r="A131" s="22" t="s">
        <v>90</v>
      </c>
      <c r="C131" s="25" t="n">
        <v>0</v>
      </c>
      <c r="D131" s="25" t="n">
        <v>0</v>
      </c>
      <c r="E131" s="25" t="n">
        <v>0</v>
      </c>
      <c r="F131" s="25" t="n">
        <v>0</v>
      </c>
      <c r="G131" s="25" t="n">
        <v>0</v>
      </c>
      <c r="H131" s="25" t="n">
        <v>0</v>
      </c>
      <c r="I131" s="25" t="n">
        <v>0</v>
      </c>
      <c r="J131" s="25" t="n">
        <v>0</v>
      </c>
      <c r="K131" s="25" t="n">
        <v>0</v>
      </c>
      <c r="L131" s="25" t="n">
        <v>0</v>
      </c>
      <c r="M131" s="25" t="n">
        <v>0</v>
      </c>
      <c r="N131" s="25" t="n">
        <v>0</v>
      </c>
      <c r="O131" s="25" t="n">
        <v>0</v>
      </c>
      <c r="P131" s="21" t="n">
        <f aca="false">SUM(D131:O131)</f>
        <v>0</v>
      </c>
      <c r="Q131" s="25" t="n">
        <f aca="false">SUM(D131:J131)</f>
        <v>0</v>
      </c>
      <c r="R131" s="21" t="n">
        <f aca="false">P131-Q131</f>
        <v>0</v>
      </c>
    </row>
    <row r="132" customFormat="false" ht="14.65" hidden="false" customHeight="false" outlineLevel="0" collapsed="false">
      <c r="A132" s="22" t="s">
        <v>91</v>
      </c>
      <c r="C132" s="25" t="n">
        <v>353</v>
      </c>
      <c r="D132" s="25" t="n">
        <v>-353</v>
      </c>
      <c r="E132" s="25" t="n">
        <v>0</v>
      </c>
      <c r="F132" s="25" t="n">
        <v>0</v>
      </c>
      <c r="G132" s="25" t="n">
        <v>0</v>
      </c>
      <c r="H132" s="25" t="n">
        <v>0</v>
      </c>
      <c r="I132" s="25" t="n">
        <v>0</v>
      </c>
      <c r="J132" s="25" t="n">
        <v>0</v>
      </c>
      <c r="K132" s="25" t="n">
        <v>0</v>
      </c>
      <c r="L132" s="25" t="n">
        <v>0</v>
      </c>
      <c r="M132" s="25" t="n">
        <v>0</v>
      </c>
      <c r="N132" s="25" t="n">
        <v>0</v>
      </c>
      <c r="O132" s="25" t="n">
        <v>353</v>
      </c>
      <c r="P132" s="21" t="n">
        <f aca="false">SUM(D132:O132)</f>
        <v>0</v>
      </c>
      <c r="Q132" s="25" t="n">
        <f aca="false">SUM(D132:J132)</f>
        <v>-353</v>
      </c>
      <c r="R132" s="21" t="n">
        <f aca="false">P132-Q132</f>
        <v>353</v>
      </c>
    </row>
    <row r="133" customFormat="false" ht="14.65" hidden="false" customHeight="false" outlineLevel="0" collapsed="false">
      <c r="A133" s="22" t="s">
        <v>92</v>
      </c>
      <c r="D133" s="25" t="n">
        <v>0</v>
      </c>
      <c r="E133" s="25" t="n">
        <v>0</v>
      </c>
      <c r="F133" s="25" t="n">
        <v>0</v>
      </c>
      <c r="G133" s="25" t="n">
        <v>0</v>
      </c>
      <c r="H133" s="25" t="n">
        <v>15000</v>
      </c>
      <c r="I133" s="25" t="n">
        <v>0</v>
      </c>
      <c r="J133" s="25" t="n">
        <v>0</v>
      </c>
      <c r="K133" s="25" t="n">
        <v>0</v>
      </c>
      <c r="L133" s="25" t="n">
        <v>3560</v>
      </c>
      <c r="M133" s="25" t="n">
        <v>0</v>
      </c>
      <c r="N133" s="25" t="n">
        <v>0</v>
      </c>
      <c r="O133" s="25" t="n">
        <v>0</v>
      </c>
      <c r="P133" s="21" t="n">
        <f aca="false">SUM(D133:O133)</f>
        <v>18560</v>
      </c>
      <c r="Q133" s="25" t="n">
        <f aca="false">SUM(D133:J133)</f>
        <v>15000</v>
      </c>
      <c r="R133" s="21" t="n">
        <f aca="false">P133-Q133</f>
        <v>3560</v>
      </c>
    </row>
    <row r="134" customFormat="false" ht="14.65" hidden="false" customHeight="false" outlineLevel="0" collapsed="false">
      <c r="A134" s="22" t="s">
        <v>93</v>
      </c>
      <c r="D134" s="25" t="n">
        <v>0</v>
      </c>
      <c r="E134" s="25" t="n">
        <v>0</v>
      </c>
      <c r="F134" s="25" t="n">
        <v>0</v>
      </c>
      <c r="G134" s="25" t="n">
        <v>0</v>
      </c>
      <c r="H134" s="25" t="n">
        <v>0</v>
      </c>
      <c r="I134" s="25" t="n">
        <v>0</v>
      </c>
      <c r="J134" s="25" t="n">
        <v>0</v>
      </c>
      <c r="K134" s="25" t="n">
        <v>0</v>
      </c>
      <c r="L134" s="25" t="n">
        <v>0</v>
      </c>
      <c r="M134" s="25" t="n">
        <v>0</v>
      </c>
      <c r="N134" s="25" t="n">
        <v>0</v>
      </c>
      <c r="O134" s="25" t="n">
        <v>0</v>
      </c>
      <c r="P134" s="21" t="n">
        <f aca="false">SUM(D134:O134)</f>
        <v>0</v>
      </c>
      <c r="Q134" s="25" t="n">
        <f aca="false">SUM(D134:J134)</f>
        <v>0</v>
      </c>
      <c r="R134" s="21" t="n">
        <f aca="false">P134-Q134</f>
        <v>0</v>
      </c>
    </row>
    <row r="135" customFormat="false" ht="14.65" hidden="false" customHeight="false" outlineLevel="0" collapsed="false">
      <c r="A135" s="22" t="s">
        <v>94</v>
      </c>
      <c r="D135" s="25" t="n">
        <v>0</v>
      </c>
      <c r="E135" s="25" t="n">
        <v>0</v>
      </c>
      <c r="F135" s="25" t="n">
        <v>0</v>
      </c>
      <c r="G135" s="25" t="n">
        <v>0</v>
      </c>
      <c r="H135" s="25" t="n">
        <v>0</v>
      </c>
      <c r="I135" s="25" t="n">
        <v>0</v>
      </c>
      <c r="J135" s="25" t="n">
        <v>0</v>
      </c>
      <c r="K135" s="25" t="n">
        <v>0</v>
      </c>
      <c r="L135" s="25" t="n">
        <v>0</v>
      </c>
      <c r="M135" s="25" t="n">
        <v>0</v>
      </c>
      <c r="N135" s="25" t="n">
        <v>0</v>
      </c>
      <c r="O135" s="25" t="n">
        <v>0</v>
      </c>
      <c r="P135" s="21" t="n">
        <f aca="false">SUM(D135:O135)</f>
        <v>0</v>
      </c>
      <c r="Q135" s="25" t="n">
        <f aca="false">SUM(D135:J135)</f>
        <v>0</v>
      </c>
      <c r="R135" s="21" t="n">
        <f aca="false">P135-Q135</f>
        <v>0</v>
      </c>
    </row>
    <row r="136" customFormat="false" ht="14.65" hidden="false" customHeight="false" outlineLevel="0" collapsed="false">
      <c r="A136" s="22" t="s">
        <v>95</v>
      </c>
      <c r="D136" s="25" t="n">
        <v>0</v>
      </c>
      <c r="E136" s="25" t="n">
        <v>0</v>
      </c>
      <c r="F136" s="25" t="n">
        <v>0</v>
      </c>
      <c r="G136" s="25" t="n">
        <v>0</v>
      </c>
      <c r="H136" s="25" t="n">
        <v>0</v>
      </c>
      <c r="I136" s="25" t="n">
        <v>0</v>
      </c>
      <c r="J136" s="25" t="n">
        <v>0</v>
      </c>
      <c r="K136" s="25" t="n">
        <v>0</v>
      </c>
      <c r="L136" s="25" t="n">
        <v>0</v>
      </c>
      <c r="M136" s="25" t="n">
        <v>0</v>
      </c>
      <c r="N136" s="25" t="n">
        <v>0</v>
      </c>
      <c r="O136" s="25" t="n">
        <v>0</v>
      </c>
      <c r="P136" s="21" t="n">
        <f aca="false">SUM(D136:O136)</f>
        <v>0</v>
      </c>
      <c r="Q136" s="25" t="n">
        <f aca="false">SUM(D136:J136)</f>
        <v>0</v>
      </c>
      <c r="R136" s="21" t="n">
        <f aca="false">P136-Q136</f>
        <v>0</v>
      </c>
    </row>
    <row r="137" customFormat="false" ht="14.65" hidden="false" customHeight="false" outlineLevel="0" collapsed="false">
      <c r="A137" s="22" t="s">
        <v>96</v>
      </c>
      <c r="D137" s="25" t="n">
        <v>0</v>
      </c>
      <c r="E137" s="25" t="n">
        <v>0</v>
      </c>
      <c r="F137" s="25" t="n">
        <v>0</v>
      </c>
      <c r="G137" s="25" t="n">
        <v>0</v>
      </c>
      <c r="H137" s="25" t="n">
        <v>0</v>
      </c>
      <c r="I137" s="25" t="n">
        <v>0</v>
      </c>
      <c r="J137" s="25" t="n">
        <v>0</v>
      </c>
      <c r="K137" s="25" t="n">
        <v>0</v>
      </c>
      <c r="L137" s="25" t="n">
        <v>0</v>
      </c>
      <c r="M137" s="25" t="n">
        <v>0</v>
      </c>
      <c r="N137" s="25" t="n">
        <v>0</v>
      </c>
      <c r="O137" s="25" t="n">
        <v>0</v>
      </c>
      <c r="P137" s="21" t="n">
        <f aca="false">SUM(D137:O137)</f>
        <v>0</v>
      </c>
      <c r="Q137" s="25" t="n">
        <f aca="false">SUM(D137:J137)</f>
        <v>0</v>
      </c>
      <c r="R137" s="21" t="n">
        <f aca="false">P137-Q137</f>
        <v>0</v>
      </c>
    </row>
    <row r="138" customFormat="false" ht="14.65" hidden="false" customHeight="false" outlineLevel="0" collapsed="false">
      <c r="A138" s="22" t="s">
        <v>97</v>
      </c>
      <c r="C138" s="25" t="n">
        <v>9492</v>
      </c>
      <c r="D138" s="25" t="n">
        <v>70</v>
      </c>
      <c r="E138" s="25" t="n">
        <v>-862</v>
      </c>
      <c r="F138" s="25" t="n">
        <v>-17</v>
      </c>
      <c r="G138" s="25" t="n">
        <v>1468</v>
      </c>
      <c r="H138" s="25" t="n">
        <v>-154</v>
      </c>
      <c r="I138" s="25" t="n">
        <v>-67</v>
      </c>
      <c r="J138" s="25" t="n">
        <v>-200</v>
      </c>
      <c r="K138" s="25" t="n">
        <v>0</v>
      </c>
      <c r="L138" s="25" t="n">
        <v>0</v>
      </c>
      <c r="M138" s="25" t="n">
        <v>0</v>
      </c>
      <c r="N138" s="25" t="n">
        <v>0</v>
      </c>
      <c r="O138" s="25" t="n">
        <v>0</v>
      </c>
      <c r="P138" s="21" t="n">
        <f aca="false">SUM(D138:O138)</f>
        <v>238</v>
      </c>
      <c r="Q138" s="25" t="n">
        <f aca="false">SUM(D138:J138)</f>
        <v>238</v>
      </c>
      <c r="R138" s="21" t="n">
        <f aca="false">P138-Q138</f>
        <v>0</v>
      </c>
    </row>
    <row r="139" customFormat="false" ht="14.65" hidden="false" customHeight="false" outlineLevel="0" collapsed="false">
      <c r="A139" s="22" t="s">
        <v>98</v>
      </c>
      <c r="D139" s="25" t="n">
        <v>0</v>
      </c>
      <c r="E139" s="25" t="n">
        <v>0</v>
      </c>
      <c r="F139" s="25" t="n">
        <v>0</v>
      </c>
      <c r="G139" s="25" t="n">
        <v>0</v>
      </c>
      <c r="H139" s="25" t="n">
        <v>0</v>
      </c>
      <c r="I139" s="25" t="n">
        <v>0</v>
      </c>
      <c r="J139" s="25" t="n">
        <v>0</v>
      </c>
      <c r="K139" s="25" t="n">
        <v>0</v>
      </c>
      <c r="L139" s="25" t="n">
        <v>0</v>
      </c>
      <c r="M139" s="25" t="n">
        <v>0</v>
      </c>
      <c r="N139" s="25" t="n">
        <v>0</v>
      </c>
      <c r="O139" s="26" t="n">
        <f aca="false">-11641+11641</f>
        <v>0</v>
      </c>
      <c r="P139" s="21" t="n">
        <f aca="false">SUM(D139:O139)</f>
        <v>0</v>
      </c>
      <c r="Q139" s="25" t="n">
        <f aca="false">SUM(D139:J139)</f>
        <v>0</v>
      </c>
      <c r="R139" s="21" t="n">
        <f aca="false">P139-Q139</f>
        <v>0</v>
      </c>
    </row>
    <row r="140" customFormat="false" ht="14.65" hidden="false" customHeight="false" outlineLevel="0" collapsed="false">
      <c r="A140" s="22" t="s">
        <v>28</v>
      </c>
      <c r="C140" s="23" t="n">
        <v>0</v>
      </c>
      <c r="D140" s="23" t="n">
        <v>0</v>
      </c>
      <c r="E140" s="23" t="n">
        <v>0</v>
      </c>
      <c r="F140" s="23" t="n">
        <v>0</v>
      </c>
      <c r="G140" s="23" t="n">
        <v>0</v>
      </c>
      <c r="H140" s="23" t="n">
        <v>0</v>
      </c>
      <c r="I140" s="23" t="n">
        <v>0</v>
      </c>
      <c r="J140" s="23" t="n">
        <v>0</v>
      </c>
      <c r="K140" s="23" t="n">
        <v>0</v>
      </c>
      <c r="L140" s="23" t="n">
        <v>0</v>
      </c>
      <c r="M140" s="23" t="n">
        <v>0</v>
      </c>
      <c r="N140" s="23" t="n">
        <v>0</v>
      </c>
      <c r="O140" s="23" t="n">
        <v>0</v>
      </c>
      <c r="P140" s="24" t="n">
        <f aca="false">SUM(D140:O140)</f>
        <v>0</v>
      </c>
      <c r="Q140" s="23" t="n">
        <f aca="false">SUM(D140:J140)</f>
        <v>0</v>
      </c>
      <c r="R140" s="24" t="n">
        <f aca="false">P140-Q140</f>
        <v>0</v>
      </c>
    </row>
    <row r="141" customFormat="false" ht="3.95" hidden="false" customHeight="true" outlineLevel="0" collapsed="false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customFormat="false" ht="14.65" hidden="false" customHeight="false" outlineLevel="0" collapsed="false">
      <c r="A142" s="20" t="s">
        <v>99</v>
      </c>
      <c r="C142" s="25" t="n">
        <v>987107</v>
      </c>
      <c r="D142" s="21" t="n">
        <f aca="false">SUM(D129:D141)</f>
        <v>987543</v>
      </c>
      <c r="E142" s="21" t="n">
        <f aca="false">SUM(E129:E141)</f>
        <v>986923</v>
      </c>
      <c r="F142" s="21" t="n">
        <f aca="false">SUM(F129:F141)</f>
        <v>987812</v>
      </c>
      <c r="G142" s="21" t="n">
        <f aca="false">SUM(G129:G141)</f>
        <v>990597</v>
      </c>
      <c r="H142" s="21" t="n">
        <f aca="false">SUM(H129:H141)</f>
        <v>1006548</v>
      </c>
      <c r="I142" s="21" t="n">
        <f aca="false">SUM(I129:I141)</f>
        <v>1010004</v>
      </c>
      <c r="J142" s="21" t="n">
        <f aca="false">SUM(J129:J141)</f>
        <v>1011084</v>
      </c>
      <c r="K142" s="21" t="n">
        <f aca="false">SUM(K129:K141)</f>
        <v>1012984</v>
      </c>
      <c r="L142" s="21" t="n">
        <f aca="false">SUM(L129:L141)</f>
        <v>1026027</v>
      </c>
      <c r="M142" s="21" t="n">
        <f aca="false">SUM(M129:M141)</f>
        <v>1031844</v>
      </c>
      <c r="N142" s="21" t="n">
        <f aca="false">SUM(N129:N141)</f>
        <v>1043696</v>
      </c>
      <c r="O142" s="21" t="n">
        <f aca="false">SUM(O129:O141)</f>
        <v>1055244</v>
      </c>
      <c r="P142" s="21"/>
    </row>
    <row r="143" customFormat="false" ht="3.95" hidden="false" customHeight="true" outlineLevel="0" collapsed="false"/>
    <row r="144" customFormat="false" ht="14.65" hidden="false" customHeight="false" outlineLevel="0" collapsed="false">
      <c r="A144" s="22" t="s">
        <v>30</v>
      </c>
      <c r="C144" s="21"/>
      <c r="D144" s="21" t="n">
        <f aca="false">D142-C142</f>
        <v>436</v>
      </c>
      <c r="E144" s="21" t="n">
        <f aca="false">E142-D142</f>
        <v>-620</v>
      </c>
      <c r="F144" s="21" t="n">
        <f aca="false">F142-E142</f>
        <v>889</v>
      </c>
      <c r="G144" s="21" t="n">
        <f aca="false">G142-F142</f>
        <v>2785</v>
      </c>
      <c r="H144" s="21" t="n">
        <f aca="false">H142-G142</f>
        <v>15951</v>
      </c>
      <c r="I144" s="21" t="n">
        <f aca="false">I142-H142</f>
        <v>3456</v>
      </c>
      <c r="J144" s="21" t="n">
        <f aca="false">J142-I142</f>
        <v>1080</v>
      </c>
      <c r="K144" s="21" t="n">
        <f aca="false">K142-J142</f>
        <v>1900</v>
      </c>
      <c r="L144" s="21" t="n">
        <f aca="false">L142-K142</f>
        <v>13043</v>
      </c>
      <c r="M144" s="21" t="n">
        <f aca="false">M142-L142</f>
        <v>5817</v>
      </c>
      <c r="N144" s="21" t="n">
        <f aca="false">N142-M142</f>
        <v>11852</v>
      </c>
      <c r="O144" s="21" t="n">
        <f aca="false">O142-N142</f>
        <v>11548</v>
      </c>
      <c r="P144" s="21" t="n">
        <f aca="false">SUM(D144:O144)</f>
        <v>68137</v>
      </c>
      <c r="Q144" s="21" t="n">
        <f aca="false">SUM(Q130:Q141)</f>
        <v>23977</v>
      </c>
      <c r="R144" s="21" t="n">
        <f aca="false">P144-Q144</f>
        <v>44160</v>
      </c>
    </row>
    <row r="146" customFormat="false" ht="14.65" hidden="false" customHeight="false" outlineLevel="0" collapsed="false">
      <c r="A146" s="20" t="s">
        <v>100</v>
      </c>
      <c r="C146" s="21"/>
      <c r="D146" s="21" t="n">
        <f aca="false">C157</f>
        <v>104364</v>
      </c>
      <c r="E146" s="21" t="n">
        <f aca="false">D157</f>
        <v>105907</v>
      </c>
      <c r="F146" s="21" t="n">
        <f aca="false">E157</f>
        <v>107444</v>
      </c>
      <c r="G146" s="21" t="n">
        <f aca="false">F157</f>
        <v>109084</v>
      </c>
      <c r="H146" s="21" t="n">
        <f aca="false">G157</f>
        <v>110716</v>
      </c>
      <c r="I146" s="21" t="n">
        <f aca="false">H157</f>
        <v>112236</v>
      </c>
      <c r="J146" s="21" t="n">
        <f aca="false">I157</f>
        <v>113908</v>
      </c>
      <c r="K146" s="21" t="n">
        <f aca="false">J157</f>
        <v>115495</v>
      </c>
      <c r="L146" s="21" t="n">
        <f aca="false">K157</f>
        <v>117180</v>
      </c>
      <c r="M146" s="21" t="n">
        <f aca="false">L157</f>
        <v>118866</v>
      </c>
      <c r="N146" s="21" t="n">
        <f aca="false">M157</f>
        <v>120652</v>
      </c>
      <c r="O146" s="21" t="n">
        <f aca="false">N157</f>
        <v>122437</v>
      </c>
      <c r="P146" s="21"/>
    </row>
    <row r="147" customFormat="false" ht="14.65" hidden="false" customHeight="false" outlineLevel="0" collapsed="false">
      <c r="A147" s="22" t="s">
        <v>101</v>
      </c>
      <c r="B147" s="27" t="s">
        <v>34</v>
      </c>
      <c r="C147" s="21"/>
      <c r="D147" s="28" t="n">
        <f aca="false">'''file:///mnt/12tb/@roms/datasets/enron/EDRM%20Enron%20Email%20Data%20Set%20v2%20XML/filtered-attachments/xls/EMTW01CE.XLS''#Source'!D37</f>
        <v>1027</v>
      </c>
      <c r="E147" s="31" t="n">
        <f aca="false">'''file:///mnt/12tb/@roms/datasets/enron/EDRM%20Enron%20Email%20Data%20Set%20v2%20XML/filtered-attachments/xls/EMTW01CE.XLS''#Source'!E37-1</f>
        <v>992</v>
      </c>
      <c r="F147" s="28" t="n">
        <f aca="false">'''file:///mnt/12tb/@roms/datasets/enron/EDRM%20Enron%20Email%20Data%20Set%20v2%20XML/filtered-attachments/xls/EMTW01CE.XLS''#Source'!F37</f>
        <v>1037</v>
      </c>
      <c r="G147" s="31" t="n">
        <f aca="false">'''file:///mnt/12tb/@roms/datasets/enron/EDRM%20Enron%20Email%20Data%20Set%20v2%20XML/filtered-attachments/xls/EMTW01CE.XLS''#Source'!G37+1</f>
        <v>1050</v>
      </c>
      <c r="H147" s="28" t="n">
        <f aca="false">'''file:///mnt/12tb/@roms/datasets/enron/EDRM%20Enron%20Email%20Data%20Set%20v2%20XML/filtered-attachments/xls/EMTW01CE.XLS''#Source'!H37</f>
        <v>1006</v>
      </c>
      <c r="I147" s="28" t="n">
        <f aca="false">'''file:///mnt/12tb/@roms/datasets/enron/EDRM%20Enron%20Email%20Data%20Set%20v2%20XML/filtered-attachments/xls/EMTW01CE.XLS''#Source'!I37</f>
        <v>1116</v>
      </c>
      <c r="J147" s="28" t="n">
        <f aca="false">'''file:///mnt/12tb/@roms/datasets/enron/EDRM%20Enron%20Email%20Data%20Set%20v2%20XML/filtered-attachments/xls/EMTW01CE.XLS''#Source'!J37</f>
        <v>1106</v>
      </c>
      <c r="K147" s="28" t="n">
        <f aca="false">'''file:///mnt/12tb/@roms/datasets/enron/EDRM%20Enron%20Email%20Data%20Set%20v2%20XML/filtered-attachments/xls/EMTW01CE.XLS''#Source'!K37</f>
        <v>1156</v>
      </c>
      <c r="L147" s="28" t="n">
        <f aca="false">'''file:///mnt/12tb/@roms/datasets/enron/EDRM%20Enron%20Email%20Data%20Set%20v2%20XML/filtered-attachments/xls/EMTW01CE.XLS''#Source'!L37</f>
        <v>1156</v>
      </c>
      <c r="M147" s="28" t="n">
        <f aca="false">'''file:///mnt/12tb/@roms/datasets/enron/EDRM%20Enron%20Email%20Data%20Set%20v2%20XML/filtered-attachments/xls/EMTW01CE.XLS''#Source'!M37</f>
        <v>1256</v>
      </c>
      <c r="N147" s="28" t="n">
        <f aca="false">'''file:///mnt/12tb/@roms/datasets/enron/EDRM%20Enron%20Email%20Data%20Set%20v2%20XML/filtered-attachments/xls/EMTW01CE.XLS''#Source'!N37</f>
        <v>1256</v>
      </c>
      <c r="O147" s="28" t="n">
        <f aca="false">'''file:///mnt/12tb/@roms/datasets/enron/EDRM%20Enron%20Email%20Data%20Set%20v2%20XML/filtered-attachments/xls/EMTW01CE.XLS''#Source'!O37</f>
        <v>1256</v>
      </c>
      <c r="P147" s="21" t="n">
        <f aca="false">SUM(D147:O147)</f>
        <v>13414</v>
      </c>
      <c r="Q147" s="25" t="n">
        <f aca="false">SUM(D147:J147)</f>
        <v>7334</v>
      </c>
      <c r="R147" s="21" t="n">
        <f aca="false">P147-Q147</f>
        <v>6080</v>
      </c>
    </row>
    <row r="148" customFormat="false" ht="14.65" hidden="false" customHeight="false" outlineLevel="0" collapsed="false">
      <c r="A148" s="22" t="s">
        <v>102</v>
      </c>
      <c r="B148" s="27" t="s">
        <v>34</v>
      </c>
      <c r="C148" s="31" t="n">
        <v>0</v>
      </c>
      <c r="D148" s="28" t="n">
        <f aca="false">-'''file:///mnt/12tb/@roms/datasets/enron/EDRM%20Enron%20Email%20Data%20Set%20v2%20XML/filtered-attachments/xls/EMTW01CE.XLS''#Source'!D38</f>
        <v>594</v>
      </c>
      <c r="E148" s="28" t="n">
        <f aca="false">-'''file:///mnt/12tb/@roms/datasets/enron/EDRM%20Enron%20Email%20Data%20Set%20v2%20XML/filtered-attachments/xls/EMTW01CE.XLS''#Source'!E38</f>
        <v>594</v>
      </c>
      <c r="F148" s="28" t="n">
        <f aca="false">-'''file:///mnt/12tb/@roms/datasets/enron/EDRM%20Enron%20Email%20Data%20Set%20v2%20XML/filtered-attachments/xls/EMTW01CE.XLS''#Source'!F38</f>
        <v>594</v>
      </c>
      <c r="G148" s="28" t="n">
        <f aca="false">-'''file:///mnt/12tb/@roms/datasets/enron/EDRM%20Enron%20Email%20Data%20Set%20v2%20XML/filtered-attachments/xls/EMTW01CE.XLS''#Source'!G38</f>
        <v>594</v>
      </c>
      <c r="H148" s="28" t="n">
        <f aca="false">-'''file:///mnt/12tb/@roms/datasets/enron/EDRM%20Enron%20Email%20Data%20Set%20v2%20XML/filtered-attachments/xls/EMTW01CE.XLS''#Source'!H38</f>
        <v>594</v>
      </c>
      <c r="I148" s="28" t="n">
        <f aca="false">-'''file:///mnt/12tb/@roms/datasets/enron/EDRM%20Enron%20Email%20Data%20Set%20v2%20XML/filtered-attachments/xls/EMTW01CE.XLS''#Source'!I38</f>
        <v>594</v>
      </c>
      <c r="J148" s="28" t="n">
        <f aca="false">-'''file:///mnt/12tb/@roms/datasets/enron/EDRM%20Enron%20Email%20Data%20Set%20v2%20XML/filtered-attachments/xls/EMTW01CE.XLS''#Source'!J38</f>
        <v>594</v>
      </c>
      <c r="K148" s="28" t="n">
        <f aca="false">-'''file:///mnt/12tb/@roms/datasets/enron/EDRM%20Enron%20Email%20Data%20Set%20v2%20XML/filtered-attachments/xls/EMTW01CE.XLS''#Source'!K38</f>
        <v>594</v>
      </c>
      <c r="L148" s="28" t="n">
        <f aca="false">-'''file:///mnt/12tb/@roms/datasets/enron/EDRM%20Enron%20Email%20Data%20Set%20v2%20XML/filtered-attachments/xls/EMTW01CE.XLS''#Source'!L38</f>
        <v>594</v>
      </c>
      <c r="M148" s="28" t="n">
        <f aca="false">-'''file:///mnt/12tb/@roms/datasets/enron/EDRM%20Enron%20Email%20Data%20Set%20v2%20XML/filtered-attachments/xls/EMTW01CE.XLS''#Source'!M38</f>
        <v>594</v>
      </c>
      <c r="N148" s="28" t="n">
        <f aca="false">-'''file:///mnt/12tb/@roms/datasets/enron/EDRM%20Enron%20Email%20Data%20Set%20v2%20XML/filtered-attachments/xls/EMTW01CE.XLS''#Source'!N38</f>
        <v>594</v>
      </c>
      <c r="O148" s="28" t="n">
        <f aca="false">-'''file:///mnt/12tb/@roms/datasets/enron/EDRM%20Enron%20Email%20Data%20Set%20v2%20XML/filtered-attachments/xls/EMTW01CE.XLS''#Source'!O38</f>
        <v>594</v>
      </c>
      <c r="P148" s="21" t="n">
        <f aca="false">SUM(D148:O148)</f>
        <v>7128</v>
      </c>
      <c r="Q148" s="25" t="n">
        <f aca="false">SUM(D148:J148)</f>
        <v>4158</v>
      </c>
      <c r="R148" s="21" t="n">
        <f aca="false">P148-Q148</f>
        <v>2970</v>
      </c>
    </row>
    <row r="149" customFormat="false" ht="14.65" hidden="false" customHeight="false" outlineLevel="0" collapsed="false">
      <c r="A149" s="22" t="s">
        <v>103</v>
      </c>
      <c r="C149" s="21"/>
      <c r="D149" s="25" t="n">
        <v>-14</v>
      </c>
      <c r="E149" s="25" t="n">
        <v>-19</v>
      </c>
      <c r="F149" s="26" t="n">
        <v>77</v>
      </c>
      <c r="G149" s="25" t="n">
        <v>56</v>
      </c>
      <c r="H149" s="26" t="n">
        <f aca="false">-70+58</f>
        <v>-12</v>
      </c>
      <c r="I149" s="25" t="n">
        <v>29</v>
      </c>
      <c r="J149" s="25" t="n">
        <v>-45</v>
      </c>
      <c r="K149" s="25" t="n">
        <v>0</v>
      </c>
      <c r="L149" s="25" t="n">
        <v>0</v>
      </c>
      <c r="M149" s="25" t="n">
        <v>0</v>
      </c>
      <c r="N149" s="25" t="n">
        <v>0</v>
      </c>
      <c r="O149" s="25" t="n">
        <v>0</v>
      </c>
      <c r="P149" s="21" t="n">
        <f aca="false">SUM(D149:O149)</f>
        <v>72</v>
      </c>
      <c r="Q149" s="25" t="n">
        <f aca="false">SUM(D149:J149)</f>
        <v>72</v>
      </c>
      <c r="R149" s="21" t="n">
        <f aca="false">P149-Q149</f>
        <v>0</v>
      </c>
    </row>
    <row r="150" customFormat="false" ht="14.65" hidden="false" customHeight="false" outlineLevel="0" collapsed="false">
      <c r="A150" s="22" t="s">
        <v>104</v>
      </c>
      <c r="D150" s="25" t="n">
        <v>0</v>
      </c>
      <c r="E150" s="25" t="n">
        <v>0</v>
      </c>
      <c r="F150" s="25" t="n">
        <v>0</v>
      </c>
      <c r="G150" s="25" t="n">
        <v>0</v>
      </c>
      <c r="H150" s="25" t="n">
        <v>0</v>
      </c>
      <c r="I150" s="25" t="n">
        <v>0</v>
      </c>
      <c r="J150" s="25" t="n">
        <v>0</v>
      </c>
      <c r="K150" s="25" t="n">
        <v>0</v>
      </c>
      <c r="L150" s="25" t="n">
        <v>0</v>
      </c>
      <c r="M150" s="25" t="n">
        <v>0</v>
      </c>
      <c r="N150" s="25" t="n">
        <v>0</v>
      </c>
      <c r="O150" s="25" t="n">
        <v>0</v>
      </c>
      <c r="P150" s="21" t="n">
        <f aca="false">SUM(D150:O150)</f>
        <v>0</v>
      </c>
      <c r="Q150" s="25" t="n">
        <f aca="false">SUM(D150:J150)</f>
        <v>0</v>
      </c>
      <c r="R150" s="21" t="n">
        <f aca="false">P150-Q150</f>
        <v>0</v>
      </c>
    </row>
    <row r="151" customFormat="false" ht="14.65" hidden="false" customHeight="false" outlineLevel="0" collapsed="false">
      <c r="A151" s="22" t="s">
        <v>105</v>
      </c>
      <c r="D151" s="25" t="n">
        <v>0</v>
      </c>
      <c r="E151" s="25" t="n">
        <v>0</v>
      </c>
      <c r="F151" s="25" t="n">
        <v>0</v>
      </c>
      <c r="G151" s="25" t="n">
        <v>0</v>
      </c>
      <c r="H151" s="25" t="n">
        <v>0</v>
      </c>
      <c r="I151" s="25" t="n">
        <v>0</v>
      </c>
      <c r="J151" s="25" t="n">
        <v>0</v>
      </c>
      <c r="K151" s="25" t="n">
        <v>0</v>
      </c>
      <c r="L151" s="25" t="n">
        <v>0</v>
      </c>
      <c r="M151" s="25" t="n">
        <v>0</v>
      </c>
      <c r="N151" s="25" t="n">
        <v>0</v>
      </c>
      <c r="O151" s="25" t="n">
        <v>0</v>
      </c>
      <c r="P151" s="21" t="n">
        <f aca="false">SUM(D151:O151)</f>
        <v>0</v>
      </c>
      <c r="Q151" s="25" t="n">
        <f aca="false">SUM(D151:J151)</f>
        <v>0</v>
      </c>
      <c r="R151" s="21" t="n">
        <f aca="false">P151-Q151</f>
        <v>0</v>
      </c>
    </row>
    <row r="152" customFormat="false" ht="14.65" hidden="false" customHeight="false" outlineLevel="0" collapsed="false">
      <c r="A152" s="22" t="s">
        <v>106</v>
      </c>
      <c r="D152" s="28" t="n">
        <f aca="false">'''file:///mnt/12tb/@roms/datasets/enron/EDRM%20Enron%20Email%20Data%20Set%20v2%20XML/filtered-attachments/xls/EMTW01CE.XLS''#Source'!D31+'''file:///mnt/12tb/@roms/datasets/enron/EDRM%20Enron%20Email%20Data%20Set%20v2%20XML/filtered-attachments/xls/EMTW01CE.XLS''#Source'!D32</f>
        <v>-67</v>
      </c>
      <c r="E152" s="28" t="n">
        <f aca="false">'''file:///mnt/12tb/@roms/datasets/enron/EDRM%20Enron%20Email%20Data%20Set%20v2%20XML/filtered-attachments/xls/EMTW01CE.XLS''#Source'!E31+'''file:///mnt/12tb/@roms/datasets/enron/EDRM%20Enron%20Email%20Data%20Set%20v2%20XML/filtered-attachments/xls/EMTW01CE.XLS''#Source'!E32</f>
        <v>-33</v>
      </c>
      <c r="F152" s="31" t="n">
        <f aca="false">'''file:///mnt/12tb/@roms/datasets/enron/EDRM%20Enron%20Email%20Data%20Set%20v2%20XML/filtered-attachments/xls/EMTW01CE.XLS''#Source'!F31+'''file:///mnt/12tb/@roms/datasets/enron/EDRM%20Enron%20Email%20Data%20Set%20v2%20XML/filtered-attachments/xls/EMTW01CE.XLS''#Source'!F32+31</f>
        <v>-71</v>
      </c>
      <c r="G152" s="31" t="n">
        <f aca="false">'''file:///mnt/12tb/@roms/datasets/enron/EDRM%20Enron%20Email%20Data%20Set%20v2%20XML/filtered-attachments/xls/EMTW01CE.XLS''#Source'!G31+'''file:///mnt/12tb/@roms/datasets/enron/EDRM%20Enron%20Email%20Data%20Set%20v2%20XML/filtered-attachments/xls/EMTW01CE.XLS''#Source'!G32-4</f>
        <v>-71</v>
      </c>
      <c r="H152" s="31" t="n">
        <f aca="false">'''file:///mnt/12tb/@roms/datasets/enron/EDRM%20Enron%20Email%20Data%20Set%20v2%20XML/filtered-attachments/xls/EMTW01CE.XLS''#Source'!H31+'''file:///mnt/12tb/@roms/datasets/enron/EDRM%20Enron%20Email%20Data%20Set%20v2%20XML/filtered-attachments/xls/EMTW01CE.XLS''#Source'!H32-4</f>
        <v>-71</v>
      </c>
      <c r="I152" s="31" t="n">
        <f aca="false">'''file:///mnt/12tb/@roms/datasets/enron/EDRM%20Enron%20Email%20Data%20Set%20v2%20XML/filtered-attachments/xls/EMTW01CE.XLS''#Source'!I31+'''file:///mnt/12tb/@roms/datasets/enron/EDRM%20Enron%20Email%20Data%20Set%20v2%20XML/filtered-attachments/xls/EMTW01CE.XLS''#Source'!I32-2</f>
        <v>-70</v>
      </c>
      <c r="J152" s="31" t="n">
        <f aca="false">'''file:///mnt/12tb/@roms/datasets/enron/EDRM%20Enron%20Email%20Data%20Set%20v2%20XML/filtered-attachments/xls/EMTW01CE.XLS''#Source'!J31+'''file:///mnt/12tb/@roms/datasets/enron/EDRM%20Enron%20Email%20Data%20Set%20v2%20XML/filtered-attachments/xls/EMTW01CE.XLS''#Source'!J32-4</f>
        <v>-71</v>
      </c>
      <c r="K152" s="28" t="n">
        <f aca="false">'''file:///mnt/12tb/@roms/datasets/enron/EDRM%20Enron%20Email%20Data%20Set%20v2%20XML/filtered-attachments/xls/EMTW01CE.XLS''#Source'!K31+'''file:///mnt/12tb/@roms/datasets/enron/EDRM%20Enron%20Email%20Data%20Set%20v2%20XML/filtered-attachments/xls/EMTW01CE.XLS''#Source'!K32</f>
        <v>-68</v>
      </c>
      <c r="L152" s="28" t="n">
        <f aca="false">'''file:///mnt/12tb/@roms/datasets/enron/EDRM%20Enron%20Email%20Data%20Set%20v2%20XML/filtered-attachments/xls/EMTW01CE.XLS''#Source'!L31+'''file:///mnt/12tb/@roms/datasets/enron/EDRM%20Enron%20Email%20Data%20Set%20v2%20XML/filtered-attachments/xls/EMTW01CE.XLS''#Source'!L32</f>
        <v>-67</v>
      </c>
      <c r="M152" s="28" t="n">
        <f aca="false">'''file:///mnt/12tb/@roms/datasets/enron/EDRM%20Enron%20Email%20Data%20Set%20v2%20XML/filtered-attachments/xls/EMTW01CE.XLS''#Source'!M31+'''file:///mnt/12tb/@roms/datasets/enron/EDRM%20Enron%20Email%20Data%20Set%20v2%20XML/filtered-attachments/xls/EMTW01CE.XLS''#Source'!M32</f>
        <v>-67</v>
      </c>
      <c r="N152" s="28" t="n">
        <f aca="false">'''file:///mnt/12tb/@roms/datasets/enron/EDRM%20Enron%20Email%20Data%20Set%20v2%20XML/filtered-attachments/xls/EMTW01CE.XLS''#Source'!N31+'''file:///mnt/12tb/@roms/datasets/enron/EDRM%20Enron%20Email%20Data%20Set%20v2%20XML/filtered-attachments/xls/EMTW01CE.XLS''#Source'!N32</f>
        <v>-68</v>
      </c>
      <c r="O152" s="28" t="n">
        <f aca="false">'''file:///mnt/12tb/@roms/datasets/enron/EDRM%20Enron%20Email%20Data%20Set%20v2%20XML/filtered-attachments/xls/EMTW01CE.XLS''#Source'!O31+'''file:///mnt/12tb/@roms/datasets/enron/EDRM%20Enron%20Email%20Data%20Set%20v2%20XML/filtered-attachments/xls/EMTW01CE.XLS''#Source'!O32</f>
        <v>-68</v>
      </c>
      <c r="P152" s="21" t="n">
        <f aca="false">SUM(D152:O152)</f>
        <v>-792</v>
      </c>
      <c r="Q152" s="25" t="n">
        <f aca="false">SUM(D152:J152)</f>
        <v>-454</v>
      </c>
      <c r="R152" s="21" t="n">
        <f aca="false">P152-Q152</f>
        <v>-338</v>
      </c>
    </row>
    <row r="153" customFormat="false" ht="14.65" hidden="false" customHeight="false" outlineLevel="0" collapsed="false">
      <c r="A153" s="22" t="s">
        <v>107</v>
      </c>
      <c r="D153" s="25" t="n">
        <v>0</v>
      </c>
      <c r="E153" s="25" t="n">
        <v>0</v>
      </c>
      <c r="F153" s="25" t="n">
        <v>0</v>
      </c>
      <c r="G153" s="25" t="n">
        <v>0</v>
      </c>
      <c r="H153" s="25" t="n">
        <v>0</v>
      </c>
      <c r="I153" s="25" t="n">
        <v>0</v>
      </c>
      <c r="J153" s="25" t="n">
        <v>0</v>
      </c>
      <c r="K153" s="25" t="n">
        <v>0</v>
      </c>
      <c r="L153" s="25" t="n">
        <v>0</v>
      </c>
      <c r="M153" s="25" t="n">
        <v>0</v>
      </c>
      <c r="N153" s="25" t="n">
        <v>0</v>
      </c>
      <c r="O153" s="25" t="n">
        <v>0</v>
      </c>
      <c r="P153" s="21" t="n">
        <f aca="false">SUM(D153:O153)</f>
        <v>0</v>
      </c>
      <c r="Q153" s="25" t="n">
        <f aca="false">SUM(D153:J153)</f>
        <v>0</v>
      </c>
      <c r="R153" s="21" t="n">
        <f aca="false">P153-Q153</f>
        <v>0</v>
      </c>
    </row>
    <row r="154" customFormat="false" ht="14.65" hidden="false" customHeight="false" outlineLevel="0" collapsed="false">
      <c r="A154" s="22" t="s">
        <v>108</v>
      </c>
      <c r="D154" s="31" t="n">
        <f aca="false">D139+3</f>
        <v>3</v>
      </c>
      <c r="E154" s="31" t="n">
        <f aca="false">E139+3</f>
        <v>3</v>
      </c>
      <c r="F154" s="31" t="n">
        <f aca="false">F139+3</f>
        <v>3</v>
      </c>
      <c r="G154" s="31" t="n">
        <f aca="false">G139+3</f>
        <v>3</v>
      </c>
      <c r="H154" s="31" t="n">
        <f aca="false">H139+3</f>
        <v>3</v>
      </c>
      <c r="I154" s="31" t="n">
        <f aca="false">I139+3</f>
        <v>3</v>
      </c>
      <c r="J154" s="31" t="n">
        <f aca="false">J139+3</f>
        <v>3</v>
      </c>
      <c r="K154" s="31" t="n">
        <f aca="false">K139+3</f>
        <v>3</v>
      </c>
      <c r="L154" s="31" t="n">
        <f aca="false">L139+3</f>
        <v>3</v>
      </c>
      <c r="M154" s="31" t="n">
        <f aca="false">M139+3</f>
        <v>3</v>
      </c>
      <c r="N154" s="31" t="n">
        <f aca="false">N139+3</f>
        <v>3</v>
      </c>
      <c r="O154" s="31" t="n">
        <f aca="false">O139+3</f>
        <v>3</v>
      </c>
      <c r="P154" s="21" t="n">
        <f aca="false">SUM(D154:O154)</f>
        <v>36</v>
      </c>
      <c r="Q154" s="25" t="n">
        <f aca="false">SUM(D154:J154)</f>
        <v>21</v>
      </c>
      <c r="R154" s="21" t="n">
        <f aca="false">P154-Q154</f>
        <v>15</v>
      </c>
    </row>
    <row r="155" customFormat="false" ht="14.65" hidden="false" customHeight="false" outlineLevel="0" collapsed="false">
      <c r="A155" s="22" t="s">
        <v>28</v>
      </c>
      <c r="C155" s="23" t="n">
        <v>0</v>
      </c>
      <c r="D155" s="23" t="n">
        <v>0</v>
      </c>
      <c r="E155" s="23" t="n">
        <v>0</v>
      </c>
      <c r="F155" s="23" t="n">
        <v>0</v>
      </c>
      <c r="G155" s="23" t="n">
        <v>0</v>
      </c>
      <c r="H155" s="23" t="n">
        <v>0</v>
      </c>
      <c r="I155" s="23" t="n">
        <v>0</v>
      </c>
      <c r="J155" s="23" t="n">
        <v>0</v>
      </c>
      <c r="K155" s="23" t="n">
        <v>0</v>
      </c>
      <c r="L155" s="23" t="n">
        <v>0</v>
      </c>
      <c r="M155" s="23" t="n">
        <v>0</v>
      </c>
      <c r="N155" s="23" t="n">
        <v>0</v>
      </c>
      <c r="O155" s="23" t="n">
        <v>0</v>
      </c>
      <c r="P155" s="24" t="n">
        <f aca="false">SUM(D155:O155)</f>
        <v>0</v>
      </c>
      <c r="Q155" s="23" t="n">
        <f aca="false">SUM(D155:J155)</f>
        <v>0</v>
      </c>
      <c r="R155" s="24" t="n">
        <f aca="false">P155-Q155</f>
        <v>0</v>
      </c>
    </row>
    <row r="156" customFormat="false" ht="3.95" hidden="false" customHeight="true" outlineLevel="0" collapsed="false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</row>
    <row r="157" customFormat="false" ht="14.65" hidden="false" customHeight="false" outlineLevel="0" collapsed="false">
      <c r="A157" s="20" t="s">
        <v>109</v>
      </c>
      <c r="C157" s="25" t="n">
        <v>104364</v>
      </c>
      <c r="D157" s="21" t="n">
        <f aca="false">SUM(D146:D156)</f>
        <v>105907</v>
      </c>
      <c r="E157" s="21" t="n">
        <f aca="false">SUM(E146:E156)</f>
        <v>107444</v>
      </c>
      <c r="F157" s="21" t="n">
        <f aca="false">SUM(F146:F156)</f>
        <v>109084</v>
      </c>
      <c r="G157" s="21" t="n">
        <f aca="false">SUM(G146:G156)</f>
        <v>110716</v>
      </c>
      <c r="H157" s="21" t="n">
        <f aca="false">SUM(H146:H156)</f>
        <v>112236</v>
      </c>
      <c r="I157" s="21" t="n">
        <f aca="false">SUM(I146:I156)</f>
        <v>113908</v>
      </c>
      <c r="J157" s="21" t="n">
        <f aca="false">SUM(J146:J156)</f>
        <v>115495</v>
      </c>
      <c r="K157" s="21" t="n">
        <f aca="false">SUM(K146:K156)</f>
        <v>117180</v>
      </c>
      <c r="L157" s="21" t="n">
        <f aca="false">SUM(L146:L156)</f>
        <v>118866</v>
      </c>
      <c r="M157" s="21" t="n">
        <f aca="false">SUM(M146:M156)</f>
        <v>120652</v>
      </c>
      <c r="N157" s="21" t="n">
        <f aca="false">SUM(N146:N156)</f>
        <v>122437</v>
      </c>
      <c r="O157" s="21" t="n">
        <f aca="false">SUM(O146:O156)</f>
        <v>124222</v>
      </c>
      <c r="P157" s="21"/>
    </row>
    <row r="158" customFormat="false" ht="3.95" hidden="false" customHeight="true" outlineLevel="0" collapsed="false"/>
    <row r="159" customFormat="false" ht="14.65" hidden="false" customHeight="false" outlineLevel="0" collapsed="false">
      <c r="A159" s="22" t="s">
        <v>30</v>
      </c>
      <c r="C159" s="21"/>
      <c r="D159" s="21" t="n">
        <f aca="false">D157-C157</f>
        <v>1543</v>
      </c>
      <c r="E159" s="21" t="n">
        <f aca="false">E157-D157</f>
        <v>1537</v>
      </c>
      <c r="F159" s="21" t="n">
        <f aca="false">F157-E157</f>
        <v>1640</v>
      </c>
      <c r="G159" s="21" t="n">
        <f aca="false">G157-F157</f>
        <v>1632</v>
      </c>
      <c r="H159" s="21" t="n">
        <f aca="false">H157-G157</f>
        <v>1520</v>
      </c>
      <c r="I159" s="21" t="n">
        <f aca="false">I157-H157</f>
        <v>1672</v>
      </c>
      <c r="J159" s="21" t="n">
        <f aca="false">J157-I157</f>
        <v>1587</v>
      </c>
      <c r="K159" s="21" t="n">
        <f aca="false">K157-J157</f>
        <v>1685</v>
      </c>
      <c r="L159" s="21" t="n">
        <f aca="false">L157-K157</f>
        <v>1686</v>
      </c>
      <c r="M159" s="21" t="n">
        <f aca="false">M157-L157</f>
        <v>1786</v>
      </c>
      <c r="N159" s="21" t="n">
        <f aca="false">N157-M157</f>
        <v>1785</v>
      </c>
      <c r="O159" s="21" t="n">
        <f aca="false">O157-N157</f>
        <v>1785</v>
      </c>
      <c r="P159" s="21" t="n">
        <f aca="false">SUM(D159:O159)</f>
        <v>19858</v>
      </c>
      <c r="Q159" s="21" t="n">
        <f aca="false">SUM(Q147:Q156)</f>
        <v>11131</v>
      </c>
      <c r="R159" s="21" t="n">
        <f aca="false">P159-Q159</f>
        <v>8727</v>
      </c>
    </row>
    <row r="161" customFormat="false" ht="14.65" hidden="false" customHeight="false" outlineLevel="0" collapsed="false">
      <c r="A161" s="20" t="s">
        <v>110</v>
      </c>
      <c r="C161" s="21"/>
      <c r="D161" s="21" t="n">
        <f aca="false">C167</f>
        <v>0</v>
      </c>
      <c r="E161" s="21" t="n">
        <f aca="false">D167</f>
        <v>0</v>
      </c>
      <c r="F161" s="21" t="n">
        <f aca="false">E167</f>
        <v>0</v>
      </c>
      <c r="G161" s="21" t="n">
        <f aca="false">F167</f>
        <v>0</v>
      </c>
      <c r="H161" s="21" t="n">
        <f aca="false">G167</f>
        <v>0</v>
      </c>
      <c r="I161" s="21" t="n">
        <f aca="false">H167</f>
        <v>0</v>
      </c>
      <c r="J161" s="21" t="n">
        <f aca="false">I167</f>
        <v>0</v>
      </c>
      <c r="K161" s="21" t="n">
        <f aca="false">J167</f>
        <v>0</v>
      </c>
      <c r="L161" s="21" t="n">
        <f aca="false">K167</f>
        <v>0</v>
      </c>
      <c r="M161" s="21" t="n">
        <f aca="false">L167</f>
        <v>0</v>
      </c>
      <c r="N161" s="21" t="n">
        <f aca="false">M167</f>
        <v>0</v>
      </c>
      <c r="O161" s="21" t="n">
        <f aca="false">N167</f>
        <v>0</v>
      </c>
      <c r="P161" s="21"/>
    </row>
    <row r="162" customFormat="false" ht="14.65" hidden="false" customHeight="false" outlineLevel="0" collapsed="false">
      <c r="A162" s="22" t="s">
        <v>40</v>
      </c>
      <c r="C162" s="31" t="n">
        <v>0</v>
      </c>
      <c r="D162" s="25" t="n">
        <v>0</v>
      </c>
      <c r="E162" s="25" t="n">
        <v>0</v>
      </c>
      <c r="F162" s="25" t="n">
        <v>0</v>
      </c>
      <c r="G162" s="25" t="n">
        <v>0</v>
      </c>
      <c r="H162" s="25" t="n">
        <v>0</v>
      </c>
      <c r="I162" s="25" t="n">
        <v>0</v>
      </c>
      <c r="J162" s="25" t="n">
        <v>0</v>
      </c>
      <c r="K162" s="25" t="n">
        <v>0</v>
      </c>
      <c r="L162" s="25" t="n">
        <v>0</v>
      </c>
      <c r="M162" s="25" t="n">
        <v>0</v>
      </c>
      <c r="N162" s="25" t="n">
        <v>0</v>
      </c>
      <c r="O162" s="25" t="n">
        <v>0</v>
      </c>
      <c r="P162" s="21" t="n">
        <f aca="false">SUM(D162:O162)</f>
        <v>0</v>
      </c>
      <c r="Q162" s="25" t="n">
        <f aca="false">SUM(D162:J162)</f>
        <v>0</v>
      </c>
      <c r="R162" s="21" t="n">
        <f aca="false">P162-Q162</f>
        <v>0</v>
      </c>
    </row>
    <row r="163" customFormat="false" ht="14.65" hidden="false" customHeight="false" outlineLevel="0" collapsed="false">
      <c r="A163" s="22" t="s">
        <v>40</v>
      </c>
      <c r="C163" s="31" t="n">
        <v>0</v>
      </c>
      <c r="D163" s="25" t="n">
        <v>0</v>
      </c>
      <c r="E163" s="25" t="n">
        <v>0</v>
      </c>
      <c r="F163" s="25" t="n">
        <v>0</v>
      </c>
      <c r="G163" s="25" t="n">
        <v>0</v>
      </c>
      <c r="H163" s="25" t="n">
        <v>0</v>
      </c>
      <c r="I163" s="25" t="n">
        <v>0</v>
      </c>
      <c r="J163" s="25" t="n">
        <v>0</v>
      </c>
      <c r="K163" s="25" t="n">
        <v>0</v>
      </c>
      <c r="L163" s="25" t="n">
        <v>0</v>
      </c>
      <c r="M163" s="25" t="n">
        <v>0</v>
      </c>
      <c r="N163" s="25" t="n">
        <v>0</v>
      </c>
      <c r="O163" s="25" t="n">
        <v>0</v>
      </c>
      <c r="P163" s="21" t="n">
        <f aca="false">SUM(D163:O163)</f>
        <v>0</v>
      </c>
      <c r="Q163" s="25" t="n">
        <f aca="false">SUM(D163:J163)</f>
        <v>0</v>
      </c>
      <c r="R163" s="21" t="n">
        <f aca="false">P163-Q163</f>
        <v>0</v>
      </c>
    </row>
    <row r="164" customFormat="false" ht="14.65" hidden="false" customHeight="false" outlineLevel="0" collapsed="false">
      <c r="A164" s="22" t="s">
        <v>40</v>
      </c>
      <c r="C164" s="31" t="n">
        <v>0</v>
      </c>
      <c r="D164" s="25" t="n">
        <v>0</v>
      </c>
      <c r="E164" s="25" t="n">
        <v>0</v>
      </c>
      <c r="F164" s="25" t="n">
        <v>0</v>
      </c>
      <c r="G164" s="25" t="n">
        <v>0</v>
      </c>
      <c r="H164" s="25" t="n">
        <v>0</v>
      </c>
      <c r="I164" s="25" t="n">
        <v>0</v>
      </c>
      <c r="J164" s="25" t="n">
        <v>0</v>
      </c>
      <c r="K164" s="25" t="n">
        <v>0</v>
      </c>
      <c r="L164" s="25" t="n">
        <v>0</v>
      </c>
      <c r="M164" s="25" t="n">
        <v>0</v>
      </c>
      <c r="N164" s="25" t="n">
        <v>0</v>
      </c>
      <c r="O164" s="25" t="n">
        <v>0</v>
      </c>
      <c r="P164" s="21" t="n">
        <f aca="false">SUM(D164:O164)</f>
        <v>0</v>
      </c>
      <c r="Q164" s="25" t="n">
        <f aca="false">SUM(D164:J164)</f>
        <v>0</v>
      </c>
      <c r="R164" s="21" t="n">
        <f aca="false">P164-Q164</f>
        <v>0</v>
      </c>
    </row>
    <row r="165" customFormat="false" ht="14.65" hidden="false" customHeight="false" outlineLevel="0" collapsed="false">
      <c r="A165" s="22" t="s">
        <v>28</v>
      </c>
      <c r="C165" s="23" t="n">
        <v>0</v>
      </c>
      <c r="D165" s="23" t="n">
        <v>0</v>
      </c>
      <c r="E165" s="23" t="n">
        <v>0</v>
      </c>
      <c r="F165" s="23" t="n">
        <v>0</v>
      </c>
      <c r="G165" s="23" t="n">
        <v>0</v>
      </c>
      <c r="H165" s="23" t="n">
        <v>0</v>
      </c>
      <c r="I165" s="23" t="n">
        <v>0</v>
      </c>
      <c r="J165" s="23" t="n">
        <v>0</v>
      </c>
      <c r="K165" s="23" t="n">
        <v>0</v>
      </c>
      <c r="L165" s="23" t="n">
        <v>0</v>
      </c>
      <c r="M165" s="23" t="n">
        <v>0</v>
      </c>
      <c r="N165" s="23" t="n">
        <v>0</v>
      </c>
      <c r="O165" s="23" t="n">
        <v>0</v>
      </c>
      <c r="P165" s="24" t="n">
        <f aca="false">SUM(D165:O165)</f>
        <v>0</v>
      </c>
      <c r="Q165" s="23" t="n">
        <f aca="false">SUM(D165:J165)</f>
        <v>0</v>
      </c>
      <c r="R165" s="24" t="n">
        <f aca="false">P165-Q165</f>
        <v>0</v>
      </c>
    </row>
    <row r="166" customFormat="false" ht="3.95" hidden="false" customHeight="true" outlineLevel="0" collapsed="false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</row>
    <row r="167" customFormat="false" ht="14.65" hidden="false" customHeight="false" outlineLevel="0" collapsed="false">
      <c r="A167" s="20" t="s">
        <v>111</v>
      </c>
      <c r="C167" s="21" t="n">
        <f aca="false">SUM(C161:C166)</f>
        <v>0</v>
      </c>
      <c r="D167" s="21" t="n">
        <f aca="false">SUM(D161:D166)</f>
        <v>0</v>
      </c>
      <c r="E167" s="21" t="n">
        <f aca="false">SUM(E161:E166)</f>
        <v>0</v>
      </c>
      <c r="F167" s="21" t="n">
        <f aca="false">SUM(F161:F166)</f>
        <v>0</v>
      </c>
      <c r="G167" s="21" t="n">
        <f aca="false">SUM(G161:G166)</f>
        <v>0</v>
      </c>
      <c r="H167" s="21" t="n">
        <f aca="false">SUM(H161:H166)</f>
        <v>0</v>
      </c>
      <c r="I167" s="21" t="n">
        <f aca="false">SUM(I161:I166)</f>
        <v>0</v>
      </c>
      <c r="J167" s="21" t="n">
        <f aca="false">SUM(J161:J166)</f>
        <v>0</v>
      </c>
      <c r="K167" s="21" t="n">
        <f aca="false">SUM(K161:K166)</f>
        <v>0</v>
      </c>
      <c r="L167" s="21" t="n">
        <f aca="false">SUM(L161:L166)</f>
        <v>0</v>
      </c>
      <c r="M167" s="21" t="n">
        <f aca="false">SUM(M161:M166)</f>
        <v>0</v>
      </c>
      <c r="N167" s="21" t="n">
        <f aca="false">SUM(N161:N166)</f>
        <v>0</v>
      </c>
      <c r="O167" s="21" t="n">
        <f aca="false">SUM(O161:O166)</f>
        <v>0</v>
      </c>
      <c r="P167" s="21"/>
    </row>
    <row r="168" customFormat="false" ht="3.95" hidden="false" customHeight="true" outlineLevel="0" collapsed="false"/>
    <row r="169" customFormat="false" ht="14.65" hidden="false" customHeight="false" outlineLevel="0" collapsed="false">
      <c r="A169" s="22" t="s">
        <v>30</v>
      </c>
      <c r="D169" s="21" t="n">
        <f aca="false">D167-C167</f>
        <v>0</v>
      </c>
      <c r="E169" s="21" t="n">
        <f aca="false">E167-D167</f>
        <v>0</v>
      </c>
      <c r="F169" s="21" t="n">
        <f aca="false">F167-E167</f>
        <v>0</v>
      </c>
      <c r="G169" s="21" t="n">
        <f aca="false">G167-F167</f>
        <v>0</v>
      </c>
      <c r="H169" s="21" t="n">
        <f aca="false">H167-G167</f>
        <v>0</v>
      </c>
      <c r="I169" s="21" t="n">
        <f aca="false">I167-H167</f>
        <v>0</v>
      </c>
      <c r="J169" s="21" t="n">
        <f aca="false">J167-I167</f>
        <v>0</v>
      </c>
      <c r="K169" s="21" t="n">
        <f aca="false">K167-J167</f>
        <v>0</v>
      </c>
      <c r="L169" s="21" t="n">
        <f aca="false">L167-K167</f>
        <v>0</v>
      </c>
      <c r="M169" s="21" t="n">
        <f aca="false">M167-L167</f>
        <v>0</v>
      </c>
      <c r="N169" s="21" t="n">
        <f aca="false">N167-M167</f>
        <v>0</v>
      </c>
      <c r="O169" s="21" t="n">
        <f aca="false">O167-N167</f>
        <v>0</v>
      </c>
      <c r="P169" s="21" t="n">
        <f aca="false">SUM(D169:O169)</f>
        <v>0</v>
      </c>
      <c r="Q169" s="21" t="n">
        <f aca="false">SUM(Q162:Q166)</f>
        <v>0</v>
      </c>
      <c r="R169" s="21" t="n">
        <f aca="false">P169-Q169</f>
        <v>0</v>
      </c>
    </row>
    <row r="171" customFormat="false" ht="14.65" hidden="false" customHeight="false" outlineLevel="0" collapsed="false">
      <c r="A171" s="20" t="s">
        <v>112</v>
      </c>
      <c r="D171" s="21" t="n">
        <f aca="false">C177</f>
        <v>0</v>
      </c>
      <c r="E171" s="21" t="n">
        <f aca="false">D177</f>
        <v>128</v>
      </c>
      <c r="F171" s="21" t="n">
        <f aca="false">E177</f>
        <v>128</v>
      </c>
      <c r="G171" s="21" t="n">
        <f aca="false">F177</f>
        <v>128</v>
      </c>
      <c r="H171" s="21" t="n">
        <f aca="false">G177</f>
        <v>86</v>
      </c>
      <c r="I171" s="21" t="n">
        <f aca="false">H177</f>
        <v>10987</v>
      </c>
      <c r="J171" s="21" t="n">
        <f aca="false">I177</f>
        <v>15539</v>
      </c>
      <c r="K171" s="21" t="n">
        <f aca="false">J177</f>
        <v>14193</v>
      </c>
      <c r="L171" s="21" t="n">
        <f aca="false">K177</f>
        <v>14193</v>
      </c>
      <c r="M171" s="21" t="n">
        <f aca="false">L177</f>
        <v>14193</v>
      </c>
      <c r="N171" s="21" t="n">
        <f aca="false">M177</f>
        <v>14193</v>
      </c>
      <c r="O171" s="21" t="n">
        <f aca="false">N177</f>
        <v>14193</v>
      </c>
    </row>
    <row r="172" customFormat="false" ht="14.65" hidden="false" customHeight="false" outlineLevel="0" collapsed="false">
      <c r="A172" s="22" t="s">
        <v>113</v>
      </c>
      <c r="C172" s="25" t="n">
        <v>0</v>
      </c>
      <c r="D172" s="25" t="n">
        <v>0</v>
      </c>
      <c r="E172" s="25" t="n">
        <v>0</v>
      </c>
      <c r="F172" s="25" t="n">
        <v>0</v>
      </c>
      <c r="G172" s="25" t="n">
        <v>0</v>
      </c>
      <c r="H172" s="25" t="n">
        <v>10912</v>
      </c>
      <c r="I172" s="25" t="n">
        <v>10428</v>
      </c>
      <c r="J172" s="25" t="n">
        <v>-1333</v>
      </c>
      <c r="K172" s="25" t="n">
        <v>0</v>
      </c>
      <c r="L172" s="25" t="n">
        <v>0</v>
      </c>
      <c r="M172" s="25" t="n">
        <v>0</v>
      </c>
      <c r="N172" s="25" t="n">
        <v>0</v>
      </c>
      <c r="O172" s="25" t="n">
        <v>0</v>
      </c>
      <c r="P172" s="21" t="n">
        <f aca="false">SUM(D172:O172)</f>
        <v>20007</v>
      </c>
      <c r="Q172" s="25" t="n">
        <f aca="false">SUM(D172:J172)</f>
        <v>20007</v>
      </c>
      <c r="R172" s="21" t="n">
        <f aca="false">P172-Q172</f>
        <v>0</v>
      </c>
    </row>
    <row r="173" customFormat="false" ht="14.65" hidden="false" customHeight="false" outlineLevel="0" collapsed="false">
      <c r="A173" s="22" t="s">
        <v>114</v>
      </c>
      <c r="C173" s="25" t="n">
        <v>0</v>
      </c>
      <c r="D173" s="25" t="n">
        <v>128</v>
      </c>
      <c r="E173" s="25" t="n">
        <v>0</v>
      </c>
      <c r="F173" s="25" t="n">
        <v>0</v>
      </c>
      <c r="G173" s="25" t="n">
        <v>-42</v>
      </c>
      <c r="H173" s="25" t="n">
        <v>-11</v>
      </c>
      <c r="I173" s="25" t="n">
        <v>-5940</v>
      </c>
      <c r="J173" s="25" t="n">
        <v>-13</v>
      </c>
      <c r="K173" s="25" t="n">
        <v>0</v>
      </c>
      <c r="L173" s="25" t="n">
        <v>0</v>
      </c>
      <c r="M173" s="25" t="n">
        <v>0</v>
      </c>
      <c r="N173" s="25" t="n">
        <v>0</v>
      </c>
      <c r="O173" s="25" t="n">
        <v>0</v>
      </c>
      <c r="P173" s="21" t="n">
        <f aca="false">SUM(D173:O173)</f>
        <v>-5878</v>
      </c>
      <c r="Q173" s="25" t="n">
        <f aca="false">SUM(D173:J173)</f>
        <v>-5878</v>
      </c>
      <c r="R173" s="21" t="n">
        <f aca="false">P173-Q173</f>
        <v>0</v>
      </c>
    </row>
    <row r="174" customFormat="false" ht="14.65" hidden="false" customHeight="false" outlineLevel="0" collapsed="false">
      <c r="A174" s="22" t="s">
        <v>40</v>
      </c>
      <c r="C174" s="25" t="n">
        <v>0</v>
      </c>
      <c r="D174" s="25" t="n">
        <v>0</v>
      </c>
      <c r="E174" s="25" t="n">
        <v>0</v>
      </c>
      <c r="F174" s="25" t="n">
        <v>0</v>
      </c>
      <c r="G174" s="25" t="n">
        <v>0</v>
      </c>
      <c r="H174" s="25" t="n">
        <v>0</v>
      </c>
      <c r="I174" s="25" t="n">
        <v>64</v>
      </c>
      <c r="J174" s="25" t="n">
        <v>0</v>
      </c>
      <c r="K174" s="25" t="n">
        <v>0</v>
      </c>
      <c r="L174" s="25" t="n">
        <v>0</v>
      </c>
      <c r="M174" s="25" t="n">
        <v>0</v>
      </c>
      <c r="N174" s="25" t="n">
        <v>0</v>
      </c>
      <c r="O174" s="25" t="n">
        <v>0</v>
      </c>
      <c r="P174" s="21" t="n">
        <f aca="false">SUM(D174:O174)</f>
        <v>64</v>
      </c>
      <c r="Q174" s="25" t="n">
        <f aca="false">SUM(D174:J174)</f>
        <v>64</v>
      </c>
      <c r="R174" s="21" t="n">
        <f aca="false">P174-Q174</f>
        <v>0</v>
      </c>
    </row>
    <row r="175" customFormat="false" ht="14.65" hidden="false" customHeight="false" outlineLevel="0" collapsed="false">
      <c r="A175" s="22" t="s">
        <v>28</v>
      </c>
      <c r="C175" s="23" t="n">
        <v>0</v>
      </c>
      <c r="D175" s="23" t="n">
        <v>0</v>
      </c>
      <c r="E175" s="23" t="n">
        <v>0</v>
      </c>
      <c r="F175" s="23" t="n">
        <v>0</v>
      </c>
      <c r="G175" s="23" t="n">
        <v>0</v>
      </c>
      <c r="H175" s="23" t="n">
        <v>0</v>
      </c>
      <c r="I175" s="23" t="n">
        <v>0</v>
      </c>
      <c r="J175" s="23" t="n">
        <v>0</v>
      </c>
      <c r="K175" s="23" t="n">
        <v>0</v>
      </c>
      <c r="L175" s="23" t="n">
        <v>0</v>
      </c>
      <c r="M175" s="23" t="n">
        <v>0</v>
      </c>
      <c r="N175" s="23" t="n">
        <v>0</v>
      </c>
      <c r="O175" s="23" t="n">
        <v>0</v>
      </c>
      <c r="P175" s="24" t="n">
        <f aca="false">SUM(D175:O175)</f>
        <v>0</v>
      </c>
      <c r="Q175" s="23" t="n">
        <f aca="false">SUM(D175:J175)</f>
        <v>0</v>
      </c>
      <c r="R175" s="24" t="n">
        <f aca="false">P175-Q175</f>
        <v>0</v>
      </c>
    </row>
    <row r="176" customFormat="false" ht="3.95" hidden="false" customHeight="true" outlineLevel="0" collapsed="false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</row>
    <row r="177" customFormat="false" ht="14.65" hidden="false" customHeight="false" outlineLevel="0" collapsed="false">
      <c r="A177" s="20" t="s">
        <v>115</v>
      </c>
      <c r="C177" s="21" t="n">
        <f aca="false">SUM(C171:C176)</f>
        <v>0</v>
      </c>
      <c r="D177" s="21" t="n">
        <f aca="false">SUM(D171:D176)</f>
        <v>128</v>
      </c>
      <c r="E177" s="21" t="n">
        <f aca="false">SUM(E171:E176)</f>
        <v>128</v>
      </c>
      <c r="F177" s="21" t="n">
        <f aca="false">SUM(F171:F176)</f>
        <v>128</v>
      </c>
      <c r="G177" s="21" t="n">
        <f aca="false">SUM(G171:G176)</f>
        <v>86</v>
      </c>
      <c r="H177" s="21" t="n">
        <f aca="false">SUM(H171:H176)</f>
        <v>10987</v>
      </c>
      <c r="I177" s="21" t="n">
        <f aca="false">SUM(I171:I176)</f>
        <v>15539</v>
      </c>
      <c r="J177" s="21" t="n">
        <f aca="false">SUM(J171:J176)</f>
        <v>14193</v>
      </c>
      <c r="K177" s="21" t="n">
        <f aca="false">SUM(K171:K176)</f>
        <v>14193</v>
      </c>
      <c r="L177" s="21" t="n">
        <f aca="false">SUM(L171:L176)</f>
        <v>14193</v>
      </c>
      <c r="M177" s="21" t="n">
        <f aca="false">SUM(M171:M176)</f>
        <v>14193</v>
      </c>
      <c r="N177" s="21" t="n">
        <f aca="false">SUM(N171:N176)</f>
        <v>14193</v>
      </c>
      <c r="O177" s="21" t="n">
        <f aca="false">SUM(O171:O176)</f>
        <v>14193</v>
      </c>
      <c r="P177" s="21"/>
    </row>
    <row r="178" customFormat="false" ht="3.95" hidden="false" customHeight="true" outlineLevel="0" collapsed="false"/>
    <row r="179" customFormat="false" ht="14.65" hidden="false" customHeight="false" outlineLevel="0" collapsed="false">
      <c r="A179" s="22" t="s">
        <v>30</v>
      </c>
      <c r="C179" s="21"/>
      <c r="D179" s="21" t="n">
        <f aca="false">D177-C177</f>
        <v>128</v>
      </c>
      <c r="E179" s="21" t="n">
        <f aca="false">E177-D177</f>
        <v>0</v>
      </c>
      <c r="F179" s="21" t="n">
        <f aca="false">F177-E177</f>
        <v>0</v>
      </c>
      <c r="G179" s="21" t="n">
        <f aca="false">G177-F177</f>
        <v>-42</v>
      </c>
      <c r="H179" s="21" t="n">
        <f aca="false">H177-G177</f>
        <v>10901</v>
      </c>
      <c r="I179" s="21" t="n">
        <f aca="false">I177-H177</f>
        <v>4552</v>
      </c>
      <c r="J179" s="21" t="n">
        <f aca="false">J177-I177</f>
        <v>-1346</v>
      </c>
      <c r="K179" s="21" t="n">
        <f aca="false">K177-J177</f>
        <v>0</v>
      </c>
      <c r="L179" s="21" t="n">
        <f aca="false">L177-K177</f>
        <v>0</v>
      </c>
      <c r="M179" s="21" t="n">
        <f aca="false">M177-L177</f>
        <v>0</v>
      </c>
      <c r="N179" s="21" t="n">
        <f aca="false">N177-M177</f>
        <v>0</v>
      </c>
      <c r="O179" s="21" t="n">
        <f aca="false">O177-N177</f>
        <v>0</v>
      </c>
      <c r="P179" s="21" t="n">
        <f aca="false">SUM(D179:O179)</f>
        <v>14193</v>
      </c>
      <c r="Q179" s="21" t="n">
        <f aca="false">SUM(Q172:Q176)</f>
        <v>14193</v>
      </c>
      <c r="R179" s="21" t="n">
        <f aca="false">P179-Q179</f>
        <v>0</v>
      </c>
    </row>
    <row r="180" customFormat="false" ht="8.1" hidden="false" customHeight="true" outlineLevel="0" collapsed="false"/>
    <row r="181" customFormat="false" ht="14.65" hidden="false" customHeight="false" outlineLevel="0" collapsed="false">
      <c r="U181" s="32" t="s">
        <v>116</v>
      </c>
    </row>
    <row r="182" customFormat="false" ht="14.65" hidden="false" customHeight="false" outlineLevel="0" collapsed="false">
      <c r="A182" s="20" t="s">
        <v>117</v>
      </c>
      <c r="D182" s="21" t="n">
        <f aca="false">C226</f>
        <v>79054</v>
      </c>
      <c r="E182" s="21" t="n">
        <f aca="false">D226</f>
        <v>78591</v>
      </c>
      <c r="F182" s="21" t="n">
        <f aca="false">E226</f>
        <v>78162</v>
      </c>
      <c r="G182" s="21" t="n">
        <f aca="false">F226</f>
        <v>77693</v>
      </c>
      <c r="H182" s="21" t="n">
        <f aca="false">G226</f>
        <v>77224</v>
      </c>
      <c r="I182" s="21" t="n">
        <f aca="false">H226</f>
        <v>76755</v>
      </c>
      <c r="J182" s="21" t="n">
        <f aca="false">I226</f>
        <v>76288</v>
      </c>
      <c r="K182" s="21" t="n">
        <f aca="false">J226</f>
        <v>75840</v>
      </c>
      <c r="L182" s="21" t="n">
        <f aca="false">K226</f>
        <v>75377</v>
      </c>
      <c r="M182" s="21" t="n">
        <f aca="false">L226</f>
        <v>74916</v>
      </c>
      <c r="N182" s="21" t="n">
        <f aca="false">M226</f>
        <v>74448</v>
      </c>
      <c r="O182" s="21" t="n">
        <f aca="false">N226</f>
        <v>73986</v>
      </c>
      <c r="U182" s="33" t="s">
        <v>118</v>
      </c>
    </row>
    <row r="183" customFormat="false" ht="14.65" hidden="false" customHeight="false" outlineLevel="0" collapsed="false">
      <c r="A183" s="22" t="s">
        <v>119</v>
      </c>
      <c r="C183" s="25" t="n">
        <v>0</v>
      </c>
      <c r="D183" s="25" t="n">
        <v>0</v>
      </c>
      <c r="E183" s="25" t="n">
        <v>0</v>
      </c>
      <c r="F183" s="25" t="n">
        <v>0</v>
      </c>
      <c r="G183" s="25" t="n">
        <v>0</v>
      </c>
      <c r="H183" s="25" t="n">
        <v>0</v>
      </c>
      <c r="I183" s="25" t="n">
        <v>0</v>
      </c>
      <c r="J183" s="25" t="n">
        <v>0</v>
      </c>
      <c r="K183" s="25" t="n">
        <v>0</v>
      </c>
      <c r="L183" s="25" t="n">
        <v>0</v>
      </c>
      <c r="M183" s="25" t="n">
        <v>0</v>
      </c>
      <c r="N183" s="25" t="n">
        <v>0</v>
      </c>
      <c r="O183" s="25" t="n">
        <v>0</v>
      </c>
      <c r="P183" s="21" t="n">
        <f aca="false">SUM(D183:O183)</f>
        <v>0</v>
      </c>
      <c r="Q183" s="25" t="n">
        <f aca="false">SUM(D183:J183)</f>
        <v>0</v>
      </c>
      <c r="R183" s="21" t="n">
        <f aca="false">P183-Q183</f>
        <v>0</v>
      </c>
      <c r="T183" s="25" t="n">
        <f aca="false">SUM(C183:J183)</f>
        <v>0</v>
      </c>
      <c r="U183" s="21"/>
      <c r="W183" s="34"/>
    </row>
    <row r="184" customFormat="false" ht="14.65" hidden="false" customHeight="false" outlineLevel="0" collapsed="false">
      <c r="A184" s="22" t="s">
        <v>120</v>
      </c>
      <c r="B184" s="27" t="s">
        <v>34</v>
      </c>
      <c r="C184" s="25" t="n">
        <v>46204</v>
      </c>
      <c r="D184" s="28" t="n">
        <f aca="false">'''file:///mnt/12tb/@roms/datasets/enron/EDRM%20Enron%20Email%20Data%20Set%20v2%20XML/filtered-attachments/xls/EMTW01CE.XLS''#Source'!D31</f>
        <v>-50</v>
      </c>
      <c r="E184" s="28" t="n">
        <f aca="false">'''file:///mnt/12tb/@roms/datasets/enron/EDRM%20Enron%20Email%20Data%20Set%20v2%20XML/filtered-attachments/xls/EMTW01CE.XLS''#Source'!E31</f>
        <v>-50</v>
      </c>
      <c r="F184" s="31" t="n">
        <f aca="false">'''file:///mnt/12tb/@roms/datasets/enron/EDRM%20Enron%20Email%20Data%20Set%20v2%20XML/filtered-attachments/xls/EMTW01CE.XLS''#Source'!F31-1</f>
        <v>-51</v>
      </c>
      <c r="G184" s="28" t="n">
        <f aca="false">'''file:///mnt/12tb/@roms/datasets/enron/EDRM%20Enron%20Email%20Data%20Set%20v2%20XML/filtered-attachments/xls/EMTW01CE.XLS''#Source'!G31</f>
        <v>-50</v>
      </c>
      <c r="H184" s="31" t="n">
        <f aca="false">'''file:///mnt/12tb/@roms/datasets/enron/EDRM%20Enron%20Email%20Data%20Set%20v2%20XML/filtered-attachments/xls/EMTW01CE.XLS''#Source'!H31+1</f>
        <v>-49</v>
      </c>
      <c r="I184" s="31" t="n">
        <f aca="false">'''file:///mnt/12tb/@roms/datasets/enron/EDRM%20Enron%20Email%20Data%20Set%20v2%20XML/filtered-attachments/xls/EMTW01CE.XLS''#Source'!I31-1</f>
        <v>-51</v>
      </c>
      <c r="J184" s="28" t="n">
        <f aca="false">'''file:///mnt/12tb/@roms/datasets/enron/EDRM%20Enron%20Email%20Data%20Set%20v2%20XML/filtered-attachments/xls/EMTW01CE.XLS''#Source'!J31</f>
        <v>-50</v>
      </c>
      <c r="K184" s="28" t="n">
        <f aca="false">'''file:///mnt/12tb/@roms/datasets/enron/EDRM%20Enron%20Email%20Data%20Set%20v2%20XML/filtered-attachments/xls/EMTW01CE.XLS''#Source'!K31</f>
        <v>-50</v>
      </c>
      <c r="L184" s="28" t="n">
        <f aca="false">'''file:///mnt/12tb/@roms/datasets/enron/EDRM%20Enron%20Email%20Data%20Set%20v2%20XML/filtered-attachments/xls/EMTW01CE.XLS''#Source'!L31</f>
        <v>-50</v>
      </c>
      <c r="M184" s="28" t="n">
        <f aca="false">'''file:///mnt/12tb/@roms/datasets/enron/EDRM%20Enron%20Email%20Data%20Set%20v2%20XML/filtered-attachments/xls/EMTW01CE.XLS''#Source'!M31</f>
        <v>-50</v>
      </c>
      <c r="N184" s="28" t="n">
        <f aca="false">'''file:///mnt/12tb/@roms/datasets/enron/EDRM%20Enron%20Email%20Data%20Set%20v2%20XML/filtered-attachments/xls/EMTW01CE.XLS''#Source'!N31</f>
        <v>-50</v>
      </c>
      <c r="O184" s="28" t="n">
        <f aca="false">'''file:///mnt/12tb/@roms/datasets/enron/EDRM%20Enron%20Email%20Data%20Set%20v2%20XML/filtered-attachments/xls/EMTW01CE.XLS''#Source'!O31</f>
        <v>-50</v>
      </c>
      <c r="P184" s="21" t="n">
        <f aca="false">SUM(D184:O184)</f>
        <v>-601</v>
      </c>
      <c r="Q184" s="25" t="n">
        <f aca="false">SUM(D184:J184)</f>
        <v>-351</v>
      </c>
      <c r="R184" s="21" t="n">
        <f aca="false">P184-Q184</f>
        <v>-250</v>
      </c>
      <c r="T184" s="25" t="n">
        <f aca="false">SUM(C184:J184)</f>
        <v>45853</v>
      </c>
      <c r="U184" s="21" t="n">
        <f aca="false">SUM(T183:T184)</f>
        <v>45853</v>
      </c>
      <c r="W184" s="34"/>
    </row>
    <row r="185" customFormat="false" ht="14.65" hidden="false" customHeight="false" outlineLevel="0" collapsed="false">
      <c r="A185" s="22" t="s">
        <v>121</v>
      </c>
      <c r="B185" s="27" t="s">
        <v>34</v>
      </c>
      <c r="C185" s="25" t="n">
        <v>0</v>
      </c>
      <c r="D185" s="28" t="n">
        <f aca="false">'''file:///mnt/12tb/@roms/datasets/enron/EDRM%20Enron%20Email%20Data%20Set%20v2%20XML/filtered-attachments/xls/EMTW01CE.XLS''#Source'!D58</f>
        <v>7</v>
      </c>
      <c r="E185" s="21" t="n">
        <f aca="false">'''file:///mnt/12tb/@roms/datasets/enron/EDRM%20Enron%20Email%20Data%20Set%20v2%20XML/filtered-attachments/xls/EMTW01CE.XLS''#Source'!E58</f>
        <v>7</v>
      </c>
      <c r="F185" s="21" t="n">
        <f aca="false">'''file:///mnt/12tb/@roms/datasets/enron/EDRM%20Enron%20Email%20Data%20Set%20v2%20XML/filtered-attachments/xls/EMTW01CE.XLS''#Source'!F58</f>
        <v>5</v>
      </c>
      <c r="G185" s="21" t="n">
        <f aca="false">'''file:///mnt/12tb/@roms/datasets/enron/EDRM%20Enron%20Email%20Data%20Set%20v2%20XML/filtered-attachments/xls/EMTW01CE.XLS''#Source'!G58</f>
        <v>5</v>
      </c>
      <c r="H185" s="31" t="n">
        <f aca="false">'''file:///mnt/12tb/@roms/datasets/enron/EDRM%20Enron%20Email%20Data%20Set%20v2%20XML/filtered-attachments/xls/EMTW01CE.XLS''#Source'!H58+1</f>
        <v>5</v>
      </c>
      <c r="I185" s="28" t="n">
        <f aca="false">'''file:///mnt/12tb/@roms/datasets/enron/EDRM%20Enron%20Email%20Data%20Set%20v2%20XML/filtered-attachments/xls/EMTW01CE.XLS''#Source'!I58</f>
        <v>7</v>
      </c>
      <c r="J185" s="28" t="n">
        <f aca="false">'''file:///mnt/12tb/@roms/datasets/enron/EDRM%20Enron%20Email%20Data%20Set%20v2%20XML/filtered-attachments/xls/EMTW01CE.XLS''#Source'!J58</f>
        <v>3</v>
      </c>
      <c r="K185" s="28" t="n">
        <f aca="false">'''file:///mnt/12tb/@roms/datasets/enron/EDRM%20Enron%20Email%20Data%20Set%20v2%20XML/filtered-attachments/xls/EMTW01CE.XLS''#Source'!K58</f>
        <v>10</v>
      </c>
      <c r="L185" s="28" t="n">
        <f aca="false">'''file:///mnt/12tb/@roms/datasets/enron/EDRM%20Enron%20Email%20Data%20Set%20v2%20XML/filtered-attachments/xls/EMTW01CE.XLS''#Source'!L58</f>
        <v>8</v>
      </c>
      <c r="M185" s="28" t="n">
        <f aca="false">'''file:///mnt/12tb/@roms/datasets/enron/EDRM%20Enron%20Email%20Data%20Set%20v2%20XML/filtered-attachments/xls/EMTW01CE.XLS''#Source'!M58</f>
        <v>5</v>
      </c>
      <c r="N185" s="28" t="n">
        <f aca="false">'''file:///mnt/12tb/@roms/datasets/enron/EDRM%20Enron%20Email%20Data%20Set%20v2%20XML/filtered-attachments/xls/EMTW01CE.XLS''#Source'!N58</f>
        <v>8</v>
      </c>
      <c r="O185" s="28" t="n">
        <f aca="false">'''file:///mnt/12tb/@roms/datasets/enron/EDRM%20Enron%20Email%20Data%20Set%20v2%20XML/filtered-attachments/xls/EMTW01CE.XLS''#Source'!O58</f>
        <v>8</v>
      </c>
      <c r="P185" s="21" t="n">
        <f aca="false">SUM(D185:O185)</f>
        <v>78</v>
      </c>
      <c r="Q185" s="25" t="n">
        <f aca="false">SUM(D185:J185)</f>
        <v>39</v>
      </c>
      <c r="R185" s="21" t="n">
        <f aca="false">P185-Q185</f>
        <v>39</v>
      </c>
      <c r="T185" s="25" t="n">
        <f aca="false">SUM(C185:J185)</f>
        <v>39</v>
      </c>
      <c r="U185" s="21"/>
      <c r="W185" s="34"/>
    </row>
    <row r="186" customFormat="false" ht="14.65" hidden="false" customHeight="false" outlineLevel="0" collapsed="false">
      <c r="A186" s="22" t="s">
        <v>120</v>
      </c>
      <c r="B186" s="27" t="s">
        <v>34</v>
      </c>
      <c r="C186" s="25" t="n">
        <v>7062</v>
      </c>
      <c r="D186" s="28" t="n">
        <f aca="false">'''file:///mnt/12tb/@roms/datasets/enron/EDRM%20Enron%20Email%20Data%20Set%20v2%20XML/filtered-attachments/xls/EMTW01CE.XLS''#Source'!D59</f>
        <v>-7</v>
      </c>
      <c r="E186" s="28" t="n">
        <f aca="false">'''file:///mnt/12tb/@roms/datasets/enron/EDRM%20Enron%20Email%20Data%20Set%20v2%20XML/filtered-attachments/xls/EMTW01CE.XLS''#Source'!E59</f>
        <v>-7</v>
      </c>
      <c r="F186" s="28" t="n">
        <f aca="false">'''file:///mnt/12tb/@roms/datasets/enron/EDRM%20Enron%20Email%20Data%20Set%20v2%20XML/filtered-attachments/xls/EMTW01CE.XLS''#Source'!F59</f>
        <v>-7</v>
      </c>
      <c r="G186" s="28" t="n">
        <f aca="false">'''file:///mnt/12tb/@roms/datasets/enron/EDRM%20Enron%20Email%20Data%20Set%20v2%20XML/filtered-attachments/xls/EMTW01CE.XLS''#Source'!G59</f>
        <v>-8</v>
      </c>
      <c r="H186" s="28" t="n">
        <f aca="false">'''file:///mnt/12tb/@roms/datasets/enron/EDRM%20Enron%20Email%20Data%20Set%20v2%20XML/filtered-attachments/xls/EMTW01CE.XLS''#Source'!H59</f>
        <v>-7</v>
      </c>
      <c r="I186" s="28" t="n">
        <f aca="false">'''file:///mnt/12tb/@roms/datasets/enron/EDRM%20Enron%20Email%20Data%20Set%20v2%20XML/filtered-attachments/xls/EMTW01CE.XLS''#Source'!I59</f>
        <v>-7</v>
      </c>
      <c r="J186" s="31" t="n">
        <f aca="false">'''file:///mnt/12tb/@roms/datasets/enron/EDRM%20Enron%20Email%20Data%20Set%20v2%20XML/filtered-attachments/xls/EMTW01CE.XLS''#Source'!J59-1</f>
        <v>-8</v>
      </c>
      <c r="K186" s="28" t="n">
        <f aca="false">'''file:///mnt/12tb/@roms/datasets/enron/EDRM%20Enron%20Email%20Data%20Set%20v2%20XML/filtered-attachments/xls/EMTW01CE.XLS''#Source'!K59</f>
        <v>-7</v>
      </c>
      <c r="L186" s="28" t="n">
        <f aca="false">'''file:///mnt/12tb/@roms/datasets/enron/EDRM%20Enron%20Email%20Data%20Set%20v2%20XML/filtered-attachments/xls/EMTW01CE.XLS''#Source'!L59</f>
        <v>-7</v>
      </c>
      <c r="M186" s="28" t="n">
        <f aca="false">'''file:///mnt/12tb/@roms/datasets/enron/EDRM%20Enron%20Email%20Data%20Set%20v2%20XML/filtered-attachments/xls/EMTW01CE.XLS''#Source'!M59</f>
        <v>-7</v>
      </c>
      <c r="N186" s="28" t="n">
        <f aca="false">'''file:///mnt/12tb/@roms/datasets/enron/EDRM%20Enron%20Email%20Data%20Set%20v2%20XML/filtered-attachments/xls/EMTW01CE.XLS''#Source'!N59</f>
        <v>-7</v>
      </c>
      <c r="O186" s="28" t="n">
        <f aca="false">'''file:///mnt/12tb/@roms/datasets/enron/EDRM%20Enron%20Email%20Data%20Set%20v2%20XML/filtered-attachments/xls/EMTW01CE.XLS''#Source'!O59</f>
        <v>-7</v>
      </c>
      <c r="P186" s="21" t="n">
        <f aca="false">SUM(D186:O186)</f>
        <v>-86</v>
      </c>
      <c r="Q186" s="25" t="n">
        <f aca="false">SUM(D186:J186)</f>
        <v>-51</v>
      </c>
      <c r="R186" s="21" t="n">
        <f aca="false">P186-Q186</f>
        <v>-35</v>
      </c>
      <c r="T186" s="25" t="n">
        <f aca="false">SUM(C186:J186)</f>
        <v>7011</v>
      </c>
      <c r="U186" s="21" t="n">
        <f aca="false">SUM(T185:T186)</f>
        <v>7050</v>
      </c>
      <c r="W186" s="34"/>
    </row>
    <row r="187" customFormat="false" ht="14.65" hidden="false" customHeight="false" outlineLevel="0" collapsed="false">
      <c r="A187" s="22" t="s">
        <v>122</v>
      </c>
      <c r="C187" s="25" t="n">
        <v>0</v>
      </c>
      <c r="D187" s="25" t="n">
        <v>0</v>
      </c>
      <c r="E187" s="25" t="n">
        <v>0</v>
      </c>
      <c r="F187" s="25" t="n">
        <v>0</v>
      </c>
      <c r="G187" s="25" t="n">
        <v>0</v>
      </c>
      <c r="H187" s="25" t="n">
        <v>0</v>
      </c>
      <c r="I187" s="25" t="n">
        <v>0</v>
      </c>
      <c r="J187" s="25" t="n">
        <v>0</v>
      </c>
      <c r="K187" s="25" t="n">
        <v>0</v>
      </c>
      <c r="L187" s="25" t="n">
        <v>0</v>
      </c>
      <c r="M187" s="25" t="n">
        <v>0</v>
      </c>
      <c r="N187" s="25" t="n">
        <v>0</v>
      </c>
      <c r="O187" s="25" t="n">
        <v>0</v>
      </c>
      <c r="P187" s="21" t="n">
        <f aca="false">SUM(D187:O187)</f>
        <v>0</v>
      </c>
      <c r="Q187" s="25" t="n">
        <f aca="false">SUM(D187:J187)</f>
        <v>0</v>
      </c>
      <c r="R187" s="21" t="n">
        <f aca="false">P187-Q187</f>
        <v>0</v>
      </c>
      <c r="T187" s="25" t="n">
        <f aca="false">SUM(C187:J187)</f>
        <v>0</v>
      </c>
      <c r="U187" s="21"/>
      <c r="W187" s="34"/>
    </row>
    <row r="188" customFormat="false" ht="14.65" hidden="false" customHeight="false" outlineLevel="0" collapsed="false">
      <c r="A188" s="22" t="s">
        <v>120</v>
      </c>
      <c r="B188" s="27" t="s">
        <v>34</v>
      </c>
      <c r="C188" s="25" t="n">
        <v>2832</v>
      </c>
      <c r="D188" s="28" t="n">
        <f aca="false">'''file:///mnt/12tb/@roms/datasets/enron/EDRM%20Enron%20Email%20Data%20Set%20v2%20XML/filtered-attachments/xls/EMTW01CE.XLS''#Source'!D30</f>
        <v>-4</v>
      </c>
      <c r="E188" s="31" t="n">
        <f aca="false">'''file:///mnt/12tb/@roms/datasets/enron/EDRM%20Enron%20Email%20Data%20Set%20v2%20XML/filtered-attachments/xls/EMTW01CE.XLS''#Source'!E30-1</f>
        <v>-5</v>
      </c>
      <c r="F188" s="28" t="n">
        <f aca="false">'''file:///mnt/12tb/@roms/datasets/enron/EDRM%20Enron%20Email%20Data%20Set%20v2%20XML/filtered-attachments/xls/EMTW01CE.XLS''#Source'!F30</f>
        <v>-4</v>
      </c>
      <c r="G188" s="28" t="n">
        <f aca="false">'''file:///mnt/12tb/@roms/datasets/enron/EDRM%20Enron%20Email%20Data%20Set%20v2%20XML/filtered-attachments/xls/EMTW01CE.XLS''#Source'!G30</f>
        <v>-4</v>
      </c>
      <c r="H188" s="28" t="n">
        <f aca="false">'''file:///mnt/12tb/@roms/datasets/enron/EDRM%20Enron%20Email%20Data%20Set%20v2%20XML/filtered-attachments/xls/EMTW01CE.XLS''#Source'!H30</f>
        <v>-4</v>
      </c>
      <c r="I188" s="28" t="n">
        <f aca="false">'''file:///mnt/12tb/@roms/datasets/enron/EDRM%20Enron%20Email%20Data%20Set%20v2%20XML/filtered-attachments/xls/EMTW01CE.XLS''#Source'!I30</f>
        <v>-4</v>
      </c>
      <c r="J188" s="28" t="n">
        <f aca="false">'''file:///mnt/12tb/@roms/datasets/enron/EDRM%20Enron%20Email%20Data%20Set%20v2%20XML/filtered-attachments/xls/EMTW01CE.XLS''#Source'!J30</f>
        <v>-4</v>
      </c>
      <c r="K188" s="28" t="n">
        <f aca="false">'''file:///mnt/12tb/@roms/datasets/enron/EDRM%20Enron%20Email%20Data%20Set%20v2%20XML/filtered-attachments/xls/EMTW01CE.XLS''#Source'!K30</f>
        <v>-4</v>
      </c>
      <c r="L188" s="28" t="n">
        <f aca="false">'''file:///mnt/12tb/@roms/datasets/enron/EDRM%20Enron%20Email%20Data%20Set%20v2%20XML/filtered-attachments/xls/EMTW01CE.XLS''#Source'!L30</f>
        <v>-4</v>
      </c>
      <c r="M188" s="28" t="n">
        <f aca="false">'''file:///mnt/12tb/@roms/datasets/enron/EDRM%20Enron%20Email%20Data%20Set%20v2%20XML/filtered-attachments/xls/EMTW01CE.XLS''#Source'!M30</f>
        <v>-4</v>
      </c>
      <c r="N188" s="28" t="n">
        <f aca="false">'''file:///mnt/12tb/@roms/datasets/enron/EDRM%20Enron%20Email%20Data%20Set%20v2%20XML/filtered-attachments/xls/EMTW01CE.XLS''#Source'!N30</f>
        <v>-4</v>
      </c>
      <c r="O188" s="28" t="n">
        <f aca="false">'''file:///mnt/12tb/@roms/datasets/enron/EDRM%20Enron%20Email%20Data%20Set%20v2%20XML/filtered-attachments/xls/EMTW01CE.XLS''#Source'!O30</f>
        <v>-4</v>
      </c>
      <c r="P188" s="21" t="n">
        <f aca="false">SUM(D188:O188)</f>
        <v>-49</v>
      </c>
      <c r="Q188" s="25" t="n">
        <f aca="false">SUM(D188:J188)</f>
        <v>-29</v>
      </c>
      <c r="R188" s="21" t="n">
        <f aca="false">P188-Q188</f>
        <v>-20</v>
      </c>
      <c r="T188" s="25" t="n">
        <f aca="false">SUM(C188:J188)</f>
        <v>2803</v>
      </c>
      <c r="U188" s="21" t="n">
        <f aca="false">SUM(T187:T188)</f>
        <v>2803</v>
      </c>
      <c r="W188" s="34"/>
    </row>
    <row r="189" customFormat="false" ht="14.65" hidden="false" customHeight="false" outlineLevel="0" collapsed="false">
      <c r="A189" s="22" t="s">
        <v>123</v>
      </c>
      <c r="C189" s="25" t="n">
        <v>0</v>
      </c>
      <c r="D189" s="25" t="n">
        <v>0</v>
      </c>
      <c r="E189" s="25" t="n">
        <v>0</v>
      </c>
      <c r="F189" s="25" t="n">
        <v>0</v>
      </c>
      <c r="G189" s="25" t="n">
        <v>0</v>
      </c>
      <c r="H189" s="25" t="n">
        <v>0</v>
      </c>
      <c r="I189" s="25" t="n">
        <v>0</v>
      </c>
      <c r="J189" s="25" t="n">
        <v>0</v>
      </c>
      <c r="K189" s="25" t="n">
        <v>0</v>
      </c>
      <c r="L189" s="25" t="n">
        <v>0</v>
      </c>
      <c r="M189" s="25" t="n">
        <v>0</v>
      </c>
      <c r="N189" s="25" t="n">
        <v>0</v>
      </c>
      <c r="O189" s="25" t="n">
        <v>0</v>
      </c>
      <c r="P189" s="21" t="n">
        <f aca="false">SUM(D189:O189)</f>
        <v>0</v>
      </c>
      <c r="Q189" s="25" t="n">
        <f aca="false">SUM(D189:J189)</f>
        <v>0</v>
      </c>
      <c r="R189" s="21" t="n">
        <f aca="false">P189-Q189</f>
        <v>0</v>
      </c>
      <c r="T189" s="25" t="n">
        <f aca="false">SUM(C189:J189)</f>
        <v>0</v>
      </c>
      <c r="U189" s="21"/>
      <c r="W189" s="34"/>
    </row>
    <row r="190" customFormat="false" ht="14.65" hidden="false" customHeight="false" outlineLevel="0" collapsed="false">
      <c r="A190" s="22" t="s">
        <v>120</v>
      </c>
      <c r="B190" s="27" t="s">
        <v>34</v>
      </c>
      <c r="C190" s="25" t="n">
        <v>1670</v>
      </c>
      <c r="D190" s="28" t="n">
        <f aca="false">'''file:///mnt/12tb/@roms/datasets/enron/EDRM%20Enron%20Email%20Data%20Set%20v2%20XML/filtered-attachments/xls/EMTW01CE.XLS''#Source'!D17</f>
        <v>-30</v>
      </c>
      <c r="E190" s="28" t="n">
        <f aca="false">'''file:///mnt/12tb/@roms/datasets/enron/EDRM%20Enron%20Email%20Data%20Set%20v2%20XML/filtered-attachments/xls/EMTW01CE.XLS''#Source'!E17</f>
        <v>-30</v>
      </c>
      <c r="F190" s="31" t="n">
        <f aca="false">'''file:///mnt/12tb/@roms/datasets/enron/EDRM%20Enron%20Email%20Data%20Set%20v2%20XML/filtered-attachments/xls/EMTW01CE.XLS''#Source'!F17+1</f>
        <v>-30</v>
      </c>
      <c r="G190" s="28" t="n">
        <f aca="false">'''file:///mnt/12tb/@roms/datasets/enron/EDRM%20Enron%20Email%20Data%20Set%20v2%20XML/filtered-attachments/xls/EMTW01CE.XLS''#Source'!G17</f>
        <v>-30</v>
      </c>
      <c r="H190" s="31" t="n">
        <f aca="false">'''file:///mnt/12tb/@roms/datasets/enron/EDRM%20Enron%20Email%20Data%20Set%20v2%20XML/filtered-attachments/xls/EMTW01CE.XLS''#Source'!H17-1</f>
        <v>-31</v>
      </c>
      <c r="I190" s="21" t="n">
        <f aca="false">'''file:///mnt/12tb/@roms/datasets/enron/EDRM%20Enron%20Email%20Data%20Set%20v2%20XML/filtered-attachments/xls/EMTW01CE.XLS''#Source'!I17</f>
        <v>-30</v>
      </c>
      <c r="J190" s="28" t="n">
        <f aca="false">'''file:///mnt/12tb/@roms/datasets/enron/EDRM%20Enron%20Email%20Data%20Set%20v2%20XML/filtered-attachments/xls/EMTW01CE.XLS''#Source'!J17</f>
        <v>-30</v>
      </c>
      <c r="K190" s="28" t="n">
        <f aca="false">'''file:///mnt/12tb/@roms/datasets/enron/EDRM%20Enron%20Email%20Data%20Set%20v2%20XML/filtered-attachments/xls/EMTW01CE.XLS''#Source'!K17</f>
        <v>-30</v>
      </c>
      <c r="L190" s="28" t="n">
        <f aca="false">'''file:///mnt/12tb/@roms/datasets/enron/EDRM%20Enron%20Email%20Data%20Set%20v2%20XML/filtered-attachments/xls/EMTW01CE.XLS''#Source'!L17</f>
        <v>-30</v>
      </c>
      <c r="M190" s="28" t="n">
        <f aca="false">'''file:///mnt/12tb/@roms/datasets/enron/EDRM%20Enron%20Email%20Data%20Set%20v2%20XML/filtered-attachments/xls/EMTW01CE.XLS''#Source'!M17</f>
        <v>-30</v>
      </c>
      <c r="N190" s="28" t="n">
        <f aca="false">'''file:///mnt/12tb/@roms/datasets/enron/EDRM%20Enron%20Email%20Data%20Set%20v2%20XML/filtered-attachments/xls/EMTW01CE.XLS''#Source'!N17</f>
        <v>-30</v>
      </c>
      <c r="O190" s="28" t="n">
        <f aca="false">'''file:///mnt/12tb/@roms/datasets/enron/EDRM%20Enron%20Email%20Data%20Set%20v2%20XML/filtered-attachments/xls/EMTW01CE.XLS''#Source'!O17</f>
        <v>-30</v>
      </c>
      <c r="P190" s="21" t="n">
        <f aca="false">SUM(D190:O190)</f>
        <v>-361</v>
      </c>
      <c r="Q190" s="25" t="n">
        <f aca="false">SUM(D190:J190)</f>
        <v>-211</v>
      </c>
      <c r="R190" s="21" t="n">
        <f aca="false">P190-Q190</f>
        <v>-150</v>
      </c>
      <c r="T190" s="25" t="n">
        <f aca="false">SUM(C190:J190)</f>
        <v>1459</v>
      </c>
      <c r="U190" s="21" t="n">
        <f aca="false">SUM(T189:T190)</f>
        <v>1459</v>
      </c>
      <c r="W190" s="34"/>
    </row>
    <row r="191" customFormat="false" ht="14.65" hidden="false" customHeight="false" outlineLevel="0" collapsed="false">
      <c r="A191" s="22" t="s">
        <v>124</v>
      </c>
      <c r="C191" s="25" t="n">
        <v>0</v>
      </c>
      <c r="D191" s="25" t="n">
        <v>0</v>
      </c>
      <c r="E191" s="25" t="n">
        <v>0</v>
      </c>
      <c r="F191" s="25" t="n">
        <v>0</v>
      </c>
      <c r="G191" s="25" t="n">
        <v>0</v>
      </c>
      <c r="H191" s="25" t="n">
        <v>0</v>
      </c>
      <c r="I191" s="25" t="n">
        <v>0</v>
      </c>
      <c r="J191" s="25" t="n">
        <v>22</v>
      </c>
      <c r="K191" s="25" t="n">
        <v>0</v>
      </c>
      <c r="L191" s="25" t="n">
        <v>0</v>
      </c>
      <c r="M191" s="25" t="n">
        <v>0</v>
      </c>
      <c r="N191" s="25" t="n">
        <v>0</v>
      </c>
      <c r="O191" s="25" t="n">
        <v>0</v>
      </c>
      <c r="P191" s="21" t="n">
        <f aca="false">SUM(D191:O191)</f>
        <v>22</v>
      </c>
      <c r="Q191" s="25" t="n">
        <f aca="false">SUM(D191:J191)</f>
        <v>22</v>
      </c>
      <c r="R191" s="21" t="n">
        <f aca="false">P191-Q191</f>
        <v>0</v>
      </c>
      <c r="T191" s="25" t="n">
        <f aca="false">SUM(C191:J191)</f>
        <v>22</v>
      </c>
      <c r="U191" s="21"/>
      <c r="W191" s="34"/>
    </row>
    <row r="192" customFormat="false" ht="14.65" hidden="false" customHeight="false" outlineLevel="0" collapsed="false">
      <c r="A192" s="22" t="s">
        <v>120</v>
      </c>
      <c r="B192" s="27" t="s">
        <v>34</v>
      </c>
      <c r="C192" s="25" t="n">
        <v>2496</v>
      </c>
      <c r="D192" s="28" t="n">
        <f aca="false">'''file:///mnt/12tb/@roms/datasets/enron/EDRM%20Enron%20Email%20Data%20Set%20v2%20XML/filtered-attachments/xls/EMTW01CE.XLS''#Source'!D18</f>
        <v>-42</v>
      </c>
      <c r="E192" s="28" t="n">
        <f aca="false">'''file:///mnt/12tb/@roms/datasets/enron/EDRM%20Enron%20Email%20Data%20Set%20v2%20XML/filtered-attachments/xls/EMTW01CE.XLS''#Source'!E18</f>
        <v>-42</v>
      </c>
      <c r="F192" s="28" t="n">
        <f aca="false">'''file:///mnt/12tb/@roms/datasets/enron/EDRM%20Enron%20Email%20Data%20Set%20v2%20XML/filtered-attachments/xls/EMTW01CE.XLS''#Source'!F18</f>
        <v>-42</v>
      </c>
      <c r="G192" s="28" t="n">
        <f aca="false">'''file:///mnt/12tb/@roms/datasets/enron/EDRM%20Enron%20Email%20Data%20Set%20v2%20XML/filtered-attachments/xls/EMTW01CE.XLS''#Source'!G18</f>
        <v>-42</v>
      </c>
      <c r="H192" s="28" t="n">
        <f aca="false">'''file:///mnt/12tb/@roms/datasets/enron/EDRM%20Enron%20Email%20Data%20Set%20v2%20XML/filtered-attachments/xls/EMTW01CE.XLS''#Source'!H18</f>
        <v>-42</v>
      </c>
      <c r="I192" s="28" t="n">
        <f aca="false">'''file:///mnt/12tb/@roms/datasets/enron/EDRM%20Enron%20Email%20Data%20Set%20v2%20XML/filtered-attachments/xls/EMTW01CE.XLS''#Source'!I18</f>
        <v>-42</v>
      </c>
      <c r="J192" s="28" t="n">
        <f aca="false">'''file:///mnt/12tb/@roms/datasets/enron/EDRM%20Enron%20Email%20Data%20Set%20v2%20XML/filtered-attachments/xls/EMTW01CE.XLS''#Source'!J18</f>
        <v>-42</v>
      </c>
      <c r="K192" s="28" t="n">
        <f aca="false">'''file:///mnt/12tb/@roms/datasets/enron/EDRM%20Enron%20Email%20Data%20Set%20v2%20XML/filtered-attachments/xls/EMTW01CE.XLS''#Source'!K18</f>
        <v>-43</v>
      </c>
      <c r="L192" s="28" t="n">
        <f aca="false">'''file:///mnt/12tb/@roms/datasets/enron/EDRM%20Enron%20Email%20Data%20Set%20v2%20XML/filtered-attachments/xls/EMTW01CE.XLS''#Source'!L18</f>
        <v>-42</v>
      </c>
      <c r="M192" s="28" t="n">
        <f aca="false">'''file:///mnt/12tb/@roms/datasets/enron/EDRM%20Enron%20Email%20Data%20Set%20v2%20XML/filtered-attachments/xls/EMTW01CE.XLS''#Source'!M18</f>
        <v>-43</v>
      </c>
      <c r="N192" s="28" t="n">
        <f aca="false">'''file:///mnt/12tb/@roms/datasets/enron/EDRM%20Enron%20Email%20Data%20Set%20v2%20XML/filtered-attachments/xls/EMTW01CE.XLS''#Source'!N18</f>
        <v>-43</v>
      </c>
      <c r="O192" s="28" t="n">
        <f aca="false">'''file:///mnt/12tb/@roms/datasets/enron/EDRM%20Enron%20Email%20Data%20Set%20v2%20XML/filtered-attachments/xls/EMTW01CE.XLS''#Source'!O18</f>
        <v>-43</v>
      </c>
      <c r="P192" s="21" t="n">
        <f aca="false">SUM(D192:O192)</f>
        <v>-508</v>
      </c>
      <c r="Q192" s="25" t="n">
        <f aca="false">SUM(D192:J192)</f>
        <v>-294</v>
      </c>
      <c r="R192" s="21" t="n">
        <f aca="false">P192-Q192</f>
        <v>-214</v>
      </c>
      <c r="T192" s="25" t="n">
        <f aca="false">SUM(C192:J192)</f>
        <v>2202</v>
      </c>
      <c r="U192" s="21" t="n">
        <f aca="false">SUM(T191:T192)</f>
        <v>2224</v>
      </c>
      <c r="W192" s="34"/>
    </row>
    <row r="193" customFormat="false" ht="14.65" hidden="false" customHeight="false" outlineLevel="0" collapsed="false">
      <c r="A193" s="22" t="s">
        <v>125</v>
      </c>
      <c r="C193" s="25" t="n">
        <v>0</v>
      </c>
      <c r="D193" s="25" t="n">
        <v>0</v>
      </c>
      <c r="E193" s="25" t="n">
        <v>0</v>
      </c>
      <c r="F193" s="25" t="n">
        <v>0</v>
      </c>
      <c r="G193" s="25" t="n">
        <v>0</v>
      </c>
      <c r="H193" s="25" t="n">
        <v>0</v>
      </c>
      <c r="I193" s="25" t="n">
        <v>0</v>
      </c>
      <c r="J193" s="25" t="n">
        <v>0</v>
      </c>
      <c r="K193" s="25" t="n">
        <v>0</v>
      </c>
      <c r="L193" s="25" t="n">
        <v>0</v>
      </c>
      <c r="M193" s="25" t="n">
        <v>0</v>
      </c>
      <c r="N193" s="25" t="n">
        <v>0</v>
      </c>
      <c r="O193" s="25" t="n">
        <v>0</v>
      </c>
      <c r="P193" s="21" t="n">
        <f aca="false">SUM(D193:O193)</f>
        <v>0</v>
      </c>
      <c r="Q193" s="25" t="n">
        <f aca="false">SUM(D193:J193)</f>
        <v>0</v>
      </c>
      <c r="R193" s="21" t="n">
        <f aca="false">P193-Q193</f>
        <v>0</v>
      </c>
      <c r="T193" s="25" t="n">
        <f aca="false">SUM(C193:J193)</f>
        <v>0</v>
      </c>
      <c r="U193" s="21"/>
      <c r="W193" s="34"/>
    </row>
    <row r="194" customFormat="false" ht="14.65" hidden="false" customHeight="false" outlineLevel="0" collapsed="false">
      <c r="A194" s="22" t="s">
        <v>120</v>
      </c>
      <c r="B194" s="27" t="s">
        <v>34</v>
      </c>
      <c r="C194" s="25" t="n">
        <v>608</v>
      </c>
      <c r="D194" s="31" t="n">
        <f aca="false">'''file:///mnt/12tb/@roms/datasets/enron/EDRM%20Enron%20Email%20Data%20Set%20v2%20XML/filtered-attachments/xls/EMTW01CE.XLS''#Source'!D19-1</f>
        <v>-11</v>
      </c>
      <c r="E194" s="28" t="n">
        <f aca="false">'''file:///mnt/12tb/@roms/datasets/enron/EDRM%20Enron%20Email%20Data%20Set%20v2%20XML/filtered-attachments/xls/EMTW01CE.XLS''#Source'!E19</f>
        <v>-10</v>
      </c>
      <c r="F194" s="31" t="n">
        <f aca="false">'''file:///mnt/12tb/@roms/datasets/enron/EDRM%20Enron%20Email%20Data%20Set%20v2%20XML/filtered-attachments/xls/EMTW01CE.XLS''#Source'!F19-1</f>
        <v>-11</v>
      </c>
      <c r="G194" s="28" t="n">
        <f aca="false">'''file:///mnt/12tb/@roms/datasets/enron/EDRM%20Enron%20Email%20Data%20Set%20v2%20XML/filtered-attachments/xls/EMTW01CE.XLS''#Source'!G19</f>
        <v>-10</v>
      </c>
      <c r="H194" s="31" t="n">
        <f aca="false">'''file:///mnt/12tb/@roms/datasets/enron/EDRM%20Enron%20Email%20Data%20Set%20v2%20XML/filtered-attachments/xls/EMTW01CE.XLS''#Source'!H19-1</f>
        <v>-11</v>
      </c>
      <c r="I194" s="28" t="n">
        <f aca="false">'''file:///mnt/12tb/@roms/datasets/enron/EDRM%20Enron%20Email%20Data%20Set%20v2%20XML/filtered-attachments/xls/EMTW01CE.XLS''#Source'!I19</f>
        <v>-10</v>
      </c>
      <c r="J194" s="31" t="n">
        <f aca="false">'''file:///mnt/12tb/@roms/datasets/enron/EDRM%20Enron%20Email%20Data%20Set%20v2%20XML/filtered-attachments/xls/EMTW01CE.XLS''#Source'!J19-1</f>
        <v>-11</v>
      </c>
      <c r="K194" s="28" t="n">
        <f aca="false">'''file:///mnt/12tb/@roms/datasets/enron/EDRM%20Enron%20Email%20Data%20Set%20v2%20XML/filtered-attachments/xls/EMTW01CE.XLS''#Source'!K19</f>
        <v>-10</v>
      </c>
      <c r="L194" s="28" t="n">
        <f aca="false">'''file:///mnt/12tb/@roms/datasets/enron/EDRM%20Enron%20Email%20Data%20Set%20v2%20XML/filtered-attachments/xls/EMTW01CE.XLS''#Source'!L19</f>
        <v>-11</v>
      </c>
      <c r="M194" s="28" t="n">
        <f aca="false">'''file:///mnt/12tb/@roms/datasets/enron/EDRM%20Enron%20Email%20Data%20Set%20v2%20XML/filtered-attachments/xls/EMTW01CE.XLS''#Source'!M19</f>
        <v>-10</v>
      </c>
      <c r="N194" s="28" t="n">
        <f aca="false">'''file:///mnt/12tb/@roms/datasets/enron/EDRM%20Enron%20Email%20Data%20Set%20v2%20XML/filtered-attachments/xls/EMTW01CE.XLS''#Source'!N19</f>
        <v>-11</v>
      </c>
      <c r="O194" s="28" t="n">
        <f aca="false">'''file:///mnt/12tb/@roms/datasets/enron/EDRM%20Enron%20Email%20Data%20Set%20v2%20XML/filtered-attachments/xls/EMTW01CE.XLS''#Source'!O19</f>
        <v>-10</v>
      </c>
      <c r="P194" s="21" t="n">
        <f aca="false">SUM(D194:O194)</f>
        <v>-126</v>
      </c>
      <c r="Q194" s="25" t="n">
        <f aca="false">SUM(D194:J194)</f>
        <v>-74</v>
      </c>
      <c r="R194" s="21" t="n">
        <f aca="false">P194-Q194</f>
        <v>-52</v>
      </c>
      <c r="T194" s="25" t="n">
        <f aca="false">SUM(C194:J194)</f>
        <v>534</v>
      </c>
      <c r="U194" s="21" t="n">
        <f aca="false">SUM(T193:T194)</f>
        <v>534</v>
      </c>
      <c r="W194" s="34"/>
    </row>
    <row r="195" customFormat="false" ht="14.65" hidden="false" customHeight="false" outlineLevel="0" collapsed="false">
      <c r="A195" s="22" t="s">
        <v>126</v>
      </c>
      <c r="C195" s="25" t="n">
        <v>0</v>
      </c>
      <c r="D195" s="25" t="n">
        <v>0</v>
      </c>
      <c r="E195" s="25" t="n">
        <v>0</v>
      </c>
      <c r="F195" s="25" t="n">
        <v>0</v>
      </c>
      <c r="G195" s="25" t="n">
        <v>0</v>
      </c>
      <c r="H195" s="25" t="n">
        <v>0</v>
      </c>
      <c r="I195" s="25" t="n">
        <v>0</v>
      </c>
      <c r="J195" s="25" t="n">
        <v>0</v>
      </c>
      <c r="K195" s="25" t="n">
        <v>0</v>
      </c>
      <c r="L195" s="25" t="n">
        <v>0</v>
      </c>
      <c r="M195" s="25" t="n">
        <v>0</v>
      </c>
      <c r="N195" s="25" t="n">
        <v>0</v>
      </c>
      <c r="O195" s="25" t="n">
        <v>0</v>
      </c>
      <c r="P195" s="21" t="n">
        <f aca="false">SUM(D195:O195)</f>
        <v>0</v>
      </c>
      <c r="Q195" s="25" t="n">
        <f aca="false">SUM(D195:J195)</f>
        <v>0</v>
      </c>
      <c r="R195" s="21" t="n">
        <f aca="false">P195-Q195</f>
        <v>0</v>
      </c>
      <c r="T195" s="25" t="n">
        <f aca="false">SUM(C195:J195)</f>
        <v>0</v>
      </c>
      <c r="U195" s="21"/>
      <c r="W195" s="34"/>
    </row>
    <row r="196" customFormat="false" ht="14.65" hidden="false" customHeight="false" outlineLevel="0" collapsed="false">
      <c r="A196" s="22" t="s">
        <v>120</v>
      </c>
      <c r="B196" s="27" t="s">
        <v>34</v>
      </c>
      <c r="C196" s="25" t="n">
        <v>1826</v>
      </c>
      <c r="D196" s="28" t="n">
        <f aca="false">'''file:///mnt/12tb/@roms/datasets/enron/EDRM%20Enron%20Email%20Data%20Set%20v2%20XML/filtered-attachments/xls/EMTW01CE.XLS''#Source'!D20</f>
        <v>-31</v>
      </c>
      <c r="E196" s="31" t="n">
        <f aca="false">'''file:///mnt/12tb/@roms/datasets/enron/EDRM%20Enron%20Email%20Data%20Set%20v2%20XML/filtered-attachments/xls/EMTW01CE.XLS''#Source'!E20-1</f>
        <v>-32</v>
      </c>
      <c r="F196" s="28" t="n">
        <f aca="false">'''file:///mnt/12tb/@roms/datasets/enron/EDRM%20Enron%20Email%20Data%20Set%20v2%20XML/filtered-attachments/xls/EMTW01CE.XLS''#Source'!F20</f>
        <v>-31</v>
      </c>
      <c r="G196" s="31" t="n">
        <f aca="false">'''file:///mnt/12tb/@roms/datasets/enron/EDRM%20Enron%20Email%20Data%20Set%20v2%20XML/filtered-attachments/xls/EMTW01CE.XLS''#Source'!G20-1</f>
        <v>-32</v>
      </c>
      <c r="H196" s="28" t="n">
        <f aca="false">'''file:///mnt/12tb/@roms/datasets/enron/EDRM%20Enron%20Email%20Data%20Set%20v2%20XML/filtered-attachments/xls/EMTW01CE.XLS''#Source'!H20</f>
        <v>-31</v>
      </c>
      <c r="I196" s="31" t="n">
        <f aca="false">'''file:///mnt/12tb/@roms/datasets/enron/EDRM%20Enron%20Email%20Data%20Set%20v2%20XML/filtered-attachments/xls/EMTW01CE.XLS''#Source'!I20-1</f>
        <v>-32</v>
      </c>
      <c r="J196" s="28" t="n">
        <f aca="false">'''file:///mnt/12tb/@roms/datasets/enron/EDRM%20Enron%20Email%20Data%20Set%20v2%20XML/filtered-attachments/xls/EMTW01CE.XLS''#Source'!J20</f>
        <v>-31</v>
      </c>
      <c r="K196" s="28" t="n">
        <f aca="false">'''file:///mnt/12tb/@roms/datasets/enron/EDRM%20Enron%20Email%20Data%20Set%20v2%20XML/filtered-attachments/xls/EMTW01CE.XLS''#Source'!K20</f>
        <v>-32</v>
      </c>
      <c r="L196" s="28" t="n">
        <f aca="false">'''file:///mnt/12tb/@roms/datasets/enron/EDRM%20Enron%20Email%20Data%20Set%20v2%20XML/filtered-attachments/xls/EMTW01CE.XLS''#Source'!L20</f>
        <v>-31</v>
      </c>
      <c r="M196" s="28" t="n">
        <f aca="false">'''file:///mnt/12tb/@roms/datasets/enron/EDRM%20Enron%20Email%20Data%20Set%20v2%20XML/filtered-attachments/xls/EMTW01CE.XLS''#Source'!M20</f>
        <v>-32</v>
      </c>
      <c r="N196" s="28" t="n">
        <f aca="false">'''file:///mnt/12tb/@roms/datasets/enron/EDRM%20Enron%20Email%20Data%20Set%20v2%20XML/filtered-attachments/xls/EMTW01CE.XLS''#Source'!N20</f>
        <v>-31</v>
      </c>
      <c r="O196" s="28" t="n">
        <f aca="false">'''file:///mnt/12tb/@roms/datasets/enron/EDRM%20Enron%20Email%20Data%20Set%20v2%20XML/filtered-attachments/xls/EMTW01CE.XLS''#Source'!O20</f>
        <v>-32</v>
      </c>
      <c r="P196" s="21" t="n">
        <f aca="false">SUM(D196:O196)</f>
        <v>-378</v>
      </c>
      <c r="Q196" s="25" t="n">
        <f aca="false">SUM(D196:J196)</f>
        <v>-220</v>
      </c>
      <c r="R196" s="21" t="n">
        <f aca="false">P196-Q196</f>
        <v>-158</v>
      </c>
      <c r="T196" s="25" t="n">
        <f aca="false">SUM(C196:J196)</f>
        <v>1606</v>
      </c>
      <c r="U196" s="21" t="n">
        <f aca="false">SUM(T195:T196)</f>
        <v>1606</v>
      </c>
      <c r="W196" s="34"/>
    </row>
    <row r="197" customFormat="false" ht="14.65" hidden="false" customHeight="false" outlineLevel="0" collapsed="false">
      <c r="A197" s="22" t="s">
        <v>127</v>
      </c>
      <c r="C197" s="25" t="n">
        <v>0</v>
      </c>
      <c r="D197" s="25" t="n">
        <v>0</v>
      </c>
      <c r="E197" s="25" t="n">
        <v>0</v>
      </c>
      <c r="F197" s="25" t="n">
        <v>0</v>
      </c>
      <c r="G197" s="25" t="n">
        <v>0</v>
      </c>
      <c r="H197" s="25" t="n">
        <v>0</v>
      </c>
      <c r="I197" s="25" t="n">
        <v>0</v>
      </c>
      <c r="J197" s="25" t="n">
        <v>0</v>
      </c>
      <c r="K197" s="25" t="n">
        <v>0</v>
      </c>
      <c r="L197" s="25" t="n">
        <v>0</v>
      </c>
      <c r="M197" s="25" t="n">
        <v>0</v>
      </c>
      <c r="N197" s="25" t="n">
        <v>0</v>
      </c>
      <c r="O197" s="25" t="n">
        <v>0</v>
      </c>
      <c r="P197" s="21" t="n">
        <f aca="false">SUM(D197:O197)</f>
        <v>0</v>
      </c>
      <c r="Q197" s="25" t="n">
        <f aca="false">SUM(D197:J197)</f>
        <v>0</v>
      </c>
      <c r="R197" s="21" t="n">
        <f aca="false">P197-Q197</f>
        <v>0</v>
      </c>
      <c r="T197" s="25" t="n">
        <f aca="false">SUM(C197:J197)</f>
        <v>0</v>
      </c>
      <c r="U197" s="21"/>
    </row>
    <row r="198" customFormat="false" ht="14.65" hidden="false" customHeight="false" outlineLevel="0" collapsed="false">
      <c r="A198" s="22" t="s">
        <v>120</v>
      </c>
      <c r="B198" s="27" t="s">
        <v>34</v>
      </c>
      <c r="C198" s="25" t="n">
        <v>2595</v>
      </c>
      <c r="D198" s="28" t="n">
        <f aca="false">'''file:///mnt/12tb/@roms/datasets/enron/EDRM%20Enron%20Email%20Data%20Set%20v2%20XML/filtered-attachments/xls/EMTW01CE.XLS''#Source'!D21</f>
        <v>-45</v>
      </c>
      <c r="E198" s="31" t="n">
        <f aca="false">'''file:///mnt/12tb/@roms/datasets/enron/EDRM%20Enron%20Email%20Data%20Set%20v2%20XML/filtered-attachments/xls/EMTW01CE.XLS''#Source'!E21+1</f>
        <v>-44</v>
      </c>
      <c r="F198" s="28" t="n">
        <f aca="false">'''file:///mnt/12tb/@roms/datasets/enron/EDRM%20Enron%20Email%20Data%20Set%20v2%20XML/filtered-attachments/xls/EMTW01CE.XLS''#Source'!F21</f>
        <v>-45</v>
      </c>
      <c r="G198" s="28" t="n">
        <f aca="false">'''file:///mnt/12tb/@roms/datasets/enron/EDRM%20Enron%20Email%20Data%20Set%20v2%20XML/filtered-attachments/xls/EMTW01CE.XLS''#Source'!G21</f>
        <v>-45</v>
      </c>
      <c r="H198" s="28" t="n">
        <f aca="false">'''file:///mnt/12tb/@roms/datasets/enron/EDRM%20Enron%20Email%20Data%20Set%20v2%20XML/filtered-attachments/xls/EMTW01CE.XLS''#Source'!H21</f>
        <v>-45</v>
      </c>
      <c r="I198" s="31" t="n">
        <f aca="false">'''file:///mnt/12tb/@roms/datasets/enron/EDRM%20Enron%20Email%20Data%20Set%20v2%20XML/filtered-attachments/xls/EMTW01CE.XLS''#Source'!I21+1</f>
        <v>-44</v>
      </c>
      <c r="J198" s="28" t="n">
        <f aca="false">'''file:///mnt/12tb/@roms/datasets/enron/EDRM%20Enron%20Email%20Data%20Set%20v2%20XML/filtered-attachments/xls/EMTW01CE.XLS''#Source'!J21</f>
        <v>-45</v>
      </c>
      <c r="K198" s="28" t="n">
        <f aca="false">'''file:///mnt/12tb/@roms/datasets/enron/EDRM%20Enron%20Email%20Data%20Set%20v2%20XML/filtered-attachments/xls/EMTW01CE.XLS''#Source'!K21</f>
        <v>-45</v>
      </c>
      <c r="L198" s="28" t="n">
        <f aca="false">'''file:///mnt/12tb/@roms/datasets/enron/EDRM%20Enron%20Email%20Data%20Set%20v2%20XML/filtered-attachments/xls/EMTW01CE.XLS''#Source'!L21</f>
        <v>-45</v>
      </c>
      <c r="M198" s="28" t="n">
        <f aca="false">'''file:///mnt/12tb/@roms/datasets/enron/EDRM%20Enron%20Email%20Data%20Set%20v2%20XML/filtered-attachments/xls/EMTW01CE.XLS''#Source'!M21</f>
        <v>-45</v>
      </c>
      <c r="N198" s="28" t="n">
        <f aca="false">'''file:///mnt/12tb/@roms/datasets/enron/EDRM%20Enron%20Email%20Data%20Set%20v2%20XML/filtered-attachments/xls/EMTW01CE.XLS''#Source'!N21</f>
        <v>-44</v>
      </c>
      <c r="O198" s="28" t="n">
        <f aca="false">'''file:///mnt/12tb/@roms/datasets/enron/EDRM%20Enron%20Email%20Data%20Set%20v2%20XML/filtered-attachments/xls/EMTW01CE.XLS''#Source'!O21</f>
        <v>-45</v>
      </c>
      <c r="P198" s="21" t="n">
        <f aca="false">SUM(D198:O198)</f>
        <v>-537</v>
      </c>
      <c r="Q198" s="25" t="n">
        <f aca="false">SUM(D198:J198)</f>
        <v>-313</v>
      </c>
      <c r="R198" s="21" t="n">
        <f aca="false">P198-Q198</f>
        <v>-224</v>
      </c>
      <c r="T198" s="25" t="n">
        <f aca="false">SUM(C198:J198)</f>
        <v>2282</v>
      </c>
      <c r="U198" s="21" t="n">
        <f aca="false">SUM(T197:T198)</f>
        <v>2282</v>
      </c>
    </row>
    <row r="199" customFormat="false" ht="14.65" hidden="false" customHeight="false" outlineLevel="0" collapsed="false">
      <c r="A199" s="22" t="s">
        <v>128</v>
      </c>
      <c r="C199" s="25" t="n">
        <v>0</v>
      </c>
      <c r="D199" s="25" t="n">
        <v>0</v>
      </c>
      <c r="E199" s="25" t="n">
        <v>0</v>
      </c>
      <c r="F199" s="25" t="n">
        <v>0</v>
      </c>
      <c r="G199" s="25" t="n">
        <v>0</v>
      </c>
      <c r="H199" s="25" t="n">
        <v>0</v>
      </c>
      <c r="I199" s="25" t="n">
        <v>0</v>
      </c>
      <c r="J199" s="25" t="n">
        <v>0</v>
      </c>
      <c r="K199" s="25" t="n">
        <v>0</v>
      </c>
      <c r="L199" s="25" t="n">
        <v>0</v>
      </c>
      <c r="M199" s="25" t="n">
        <v>0</v>
      </c>
      <c r="N199" s="25" t="n">
        <v>0</v>
      </c>
      <c r="O199" s="25" t="n">
        <v>0</v>
      </c>
      <c r="P199" s="21" t="n">
        <f aca="false">SUM(D199:O199)</f>
        <v>0</v>
      </c>
      <c r="Q199" s="25" t="n">
        <f aca="false">SUM(D199:J199)</f>
        <v>0</v>
      </c>
      <c r="R199" s="21" t="n">
        <f aca="false">P199-Q199</f>
        <v>0</v>
      </c>
      <c r="T199" s="25" t="n">
        <f aca="false">SUM(C199:J199)</f>
        <v>0</v>
      </c>
      <c r="U199" s="21"/>
      <c r="W199" s="34"/>
    </row>
    <row r="200" customFormat="false" ht="14.65" hidden="false" customHeight="false" outlineLevel="0" collapsed="false">
      <c r="A200" s="22" t="s">
        <v>120</v>
      </c>
      <c r="B200" s="27" t="s">
        <v>34</v>
      </c>
      <c r="C200" s="25" t="n">
        <v>3055</v>
      </c>
      <c r="D200" s="28" t="n">
        <f aca="false">'''file:///mnt/12tb/@roms/datasets/enron/EDRM%20Enron%20Email%20Data%20Set%20v2%20XML/filtered-attachments/xls/EMTW01CE.XLS''#Source'!D22</f>
        <v>-53</v>
      </c>
      <c r="E200" s="31" t="n">
        <f aca="false">'''file:///mnt/12tb/@roms/datasets/enron/EDRM%20Enron%20Email%20Data%20Set%20v2%20XML/filtered-attachments/xls/EMTW01CE.XLS''#Source'!E22+1</f>
        <v>-52</v>
      </c>
      <c r="F200" s="28" t="n">
        <f aca="false">'''file:///mnt/12tb/@roms/datasets/enron/EDRM%20Enron%20Email%20Data%20Set%20v2%20XML/filtered-attachments/xls/EMTW01CE.XLS''#Source'!F22</f>
        <v>-53</v>
      </c>
      <c r="G200" s="28" t="n">
        <f aca="false">'''file:///mnt/12tb/@roms/datasets/enron/EDRM%20Enron%20Email%20Data%20Set%20v2%20XML/filtered-attachments/xls/EMTW01CE.XLS''#Source'!G22</f>
        <v>-53</v>
      </c>
      <c r="H200" s="28" t="n">
        <f aca="false">'''file:///mnt/12tb/@roms/datasets/enron/EDRM%20Enron%20Email%20Data%20Set%20v2%20XML/filtered-attachments/xls/EMTW01CE.XLS''#Source'!H22</f>
        <v>-53</v>
      </c>
      <c r="I200" s="28" t="n">
        <f aca="false">'''file:///mnt/12tb/@roms/datasets/enron/EDRM%20Enron%20Email%20Data%20Set%20v2%20XML/filtered-attachments/xls/EMTW01CE.XLS''#Source'!I22</f>
        <v>-53</v>
      </c>
      <c r="J200" s="31" t="n">
        <f aca="false">'''file:///mnt/12tb/@roms/datasets/enron/EDRM%20Enron%20Email%20Data%20Set%20v2%20XML/filtered-attachments/xls/EMTW01CE.XLS''#Source'!J22+1</f>
        <v>-52</v>
      </c>
      <c r="K200" s="28" t="n">
        <f aca="false">'''file:///mnt/12tb/@roms/datasets/enron/EDRM%20Enron%20Email%20Data%20Set%20v2%20XML/filtered-attachments/xls/EMTW01CE.XLS''#Source'!K22</f>
        <v>-52</v>
      </c>
      <c r="L200" s="28" t="n">
        <f aca="false">'''file:///mnt/12tb/@roms/datasets/enron/EDRM%20Enron%20Email%20Data%20Set%20v2%20XML/filtered-attachments/xls/EMTW01CE.XLS''#Source'!L22</f>
        <v>-53</v>
      </c>
      <c r="M200" s="28" t="n">
        <f aca="false">'''file:///mnt/12tb/@roms/datasets/enron/EDRM%20Enron%20Email%20Data%20Set%20v2%20XML/filtered-attachments/xls/EMTW01CE.XLS''#Source'!M22</f>
        <v>-53</v>
      </c>
      <c r="N200" s="28" t="n">
        <f aca="false">'''file:///mnt/12tb/@roms/datasets/enron/EDRM%20Enron%20Email%20Data%20Set%20v2%20XML/filtered-attachments/xls/EMTW01CE.XLS''#Source'!N22</f>
        <v>-52</v>
      </c>
      <c r="O200" s="28" t="n">
        <f aca="false">'''file:///mnt/12tb/@roms/datasets/enron/EDRM%20Enron%20Email%20Data%20Set%20v2%20XML/filtered-attachments/xls/EMTW01CE.XLS''#Source'!O22</f>
        <v>-53</v>
      </c>
      <c r="P200" s="21" t="n">
        <f aca="false">SUM(D200:O200)</f>
        <v>-632</v>
      </c>
      <c r="Q200" s="25" t="n">
        <f aca="false">SUM(D200:J200)</f>
        <v>-369</v>
      </c>
      <c r="R200" s="21" t="n">
        <f aca="false">P200-Q200</f>
        <v>-263</v>
      </c>
      <c r="T200" s="25" t="n">
        <f aca="false">SUM(C200:J200)</f>
        <v>2686</v>
      </c>
      <c r="U200" s="21" t="n">
        <f aca="false">SUM(T199:T200)</f>
        <v>2686</v>
      </c>
      <c r="W200" s="34"/>
    </row>
    <row r="201" customFormat="false" ht="14.65" hidden="false" customHeight="false" outlineLevel="0" collapsed="false">
      <c r="A201" s="22" t="s">
        <v>129</v>
      </c>
      <c r="C201" s="25" t="n">
        <v>0</v>
      </c>
      <c r="D201" s="25" t="n">
        <v>0</v>
      </c>
      <c r="E201" s="25" t="n">
        <v>0</v>
      </c>
      <c r="F201" s="25" t="n">
        <v>0</v>
      </c>
      <c r="G201" s="25" t="n">
        <v>0</v>
      </c>
      <c r="H201" s="25" t="n">
        <v>0</v>
      </c>
      <c r="I201" s="25" t="n">
        <v>0</v>
      </c>
      <c r="J201" s="25" t="n">
        <v>0</v>
      </c>
      <c r="K201" s="25" t="n">
        <v>0</v>
      </c>
      <c r="L201" s="25" t="n">
        <v>0</v>
      </c>
      <c r="M201" s="25" t="n">
        <v>0</v>
      </c>
      <c r="N201" s="25" t="n">
        <v>0</v>
      </c>
      <c r="O201" s="25" t="n">
        <v>0</v>
      </c>
      <c r="P201" s="21" t="n">
        <f aca="false">SUM(D201:O201)</f>
        <v>0</v>
      </c>
      <c r="Q201" s="25" t="n">
        <f aca="false">SUM(D201:J201)</f>
        <v>0</v>
      </c>
      <c r="R201" s="21" t="n">
        <f aca="false">P201-Q201</f>
        <v>0</v>
      </c>
      <c r="T201" s="25" t="n">
        <f aca="false">SUM(C201:J201)</f>
        <v>0</v>
      </c>
      <c r="U201" s="21"/>
      <c r="W201" s="34"/>
    </row>
    <row r="202" customFormat="false" ht="14.65" hidden="false" customHeight="false" outlineLevel="0" collapsed="false">
      <c r="A202" s="22" t="s">
        <v>120</v>
      </c>
      <c r="B202" s="27" t="s">
        <v>34</v>
      </c>
      <c r="C202" s="25" t="n">
        <v>619</v>
      </c>
      <c r="D202" s="31" t="n">
        <f aca="false">'''file:///mnt/12tb/@roms/datasets/enron/EDRM%20Enron%20Email%20Data%20Set%20v2%20XML/filtered-attachments/xls/EMTW01CE.XLS''#Source'!D23+1</f>
        <v>-10</v>
      </c>
      <c r="E202" s="28" t="n">
        <f aca="false">'''file:///mnt/12tb/@roms/datasets/enron/EDRM%20Enron%20Email%20Data%20Set%20v2%20XML/filtered-attachments/xls/EMTW01CE.XLS''#Source'!E23</f>
        <v>-11</v>
      </c>
      <c r="F202" s="28" t="n">
        <f aca="false">'''file:///mnt/12tb/@roms/datasets/enron/EDRM%20Enron%20Email%20Data%20Set%20v2%20XML/filtered-attachments/xls/EMTW01CE.XLS''#Source'!F23</f>
        <v>-11</v>
      </c>
      <c r="G202" s="31" t="n">
        <f aca="false">'''file:///mnt/12tb/@roms/datasets/enron/EDRM%20Enron%20Email%20Data%20Set%20v2%20XML/filtered-attachments/xls/EMTW01CE.XLS''#Source'!G23+1</f>
        <v>-10</v>
      </c>
      <c r="H202" s="31" t="n">
        <f aca="false">'''file:///mnt/12tb/@roms/datasets/enron/EDRM%20Enron%20Email%20Data%20Set%20v2%20XML/filtered-attachments/xls/EMTW01CE.XLS''#Source'!H23+1</f>
        <v>-10</v>
      </c>
      <c r="I202" s="28" t="n">
        <f aca="false">'''file:///mnt/12tb/@roms/datasets/enron/EDRM%20Enron%20Email%20Data%20Set%20v2%20XML/filtered-attachments/xls/EMTW01CE.XLS''#Source'!I23</f>
        <v>-11</v>
      </c>
      <c r="J202" s="28" t="n">
        <f aca="false">'''file:///mnt/12tb/@roms/datasets/enron/EDRM%20Enron%20Email%20Data%20Set%20v2%20XML/filtered-attachments/xls/EMTW01CE.XLS''#Source'!J23</f>
        <v>-11</v>
      </c>
      <c r="K202" s="28" t="n">
        <f aca="false">'''file:///mnt/12tb/@roms/datasets/enron/EDRM%20Enron%20Email%20Data%20Set%20v2%20XML/filtered-attachments/xls/EMTW01CE.XLS''#Source'!K23</f>
        <v>-11</v>
      </c>
      <c r="L202" s="28" t="n">
        <f aca="false">'''file:///mnt/12tb/@roms/datasets/enron/EDRM%20Enron%20Email%20Data%20Set%20v2%20XML/filtered-attachments/xls/EMTW01CE.XLS''#Source'!L23</f>
        <v>-10</v>
      </c>
      <c r="M202" s="28" t="n">
        <f aca="false">'''file:///mnt/12tb/@roms/datasets/enron/EDRM%20Enron%20Email%20Data%20Set%20v2%20XML/filtered-attachments/xls/EMTW01CE.XLS''#Source'!M23</f>
        <v>-11</v>
      </c>
      <c r="N202" s="28" t="n">
        <f aca="false">'''file:///mnt/12tb/@roms/datasets/enron/EDRM%20Enron%20Email%20Data%20Set%20v2%20XML/filtered-attachments/xls/EMTW01CE.XLS''#Source'!N23</f>
        <v>-11</v>
      </c>
      <c r="O202" s="28" t="n">
        <f aca="false">'''file:///mnt/12tb/@roms/datasets/enron/EDRM%20Enron%20Email%20Data%20Set%20v2%20XML/filtered-attachments/xls/EMTW01CE.XLS''#Source'!O23</f>
        <v>-10</v>
      </c>
      <c r="P202" s="21" t="n">
        <f aca="false">SUM(D202:O202)</f>
        <v>-127</v>
      </c>
      <c r="Q202" s="25" t="n">
        <f aca="false">SUM(D202:J202)</f>
        <v>-74</v>
      </c>
      <c r="R202" s="21" t="n">
        <f aca="false">P202-Q202</f>
        <v>-53</v>
      </c>
      <c r="T202" s="25" t="n">
        <f aca="false">SUM(C202:J202)</f>
        <v>545</v>
      </c>
      <c r="U202" s="21" t="n">
        <f aca="false">SUM(T201:T202)</f>
        <v>545</v>
      </c>
      <c r="W202" s="34"/>
    </row>
    <row r="203" customFormat="false" ht="14.65" hidden="false" customHeight="false" outlineLevel="0" collapsed="false">
      <c r="A203" s="22" t="s">
        <v>130</v>
      </c>
      <c r="C203" s="25" t="n">
        <v>0</v>
      </c>
      <c r="D203" s="25" t="n">
        <v>0</v>
      </c>
      <c r="E203" s="25" t="n">
        <v>0</v>
      </c>
      <c r="F203" s="25" t="n">
        <v>0</v>
      </c>
      <c r="G203" s="25" t="n">
        <v>0</v>
      </c>
      <c r="H203" s="25" t="n">
        <v>0</v>
      </c>
      <c r="I203" s="25" t="n">
        <v>0</v>
      </c>
      <c r="J203" s="25" t="n">
        <v>0</v>
      </c>
      <c r="K203" s="25" t="n">
        <v>0</v>
      </c>
      <c r="L203" s="25" t="n">
        <v>0</v>
      </c>
      <c r="M203" s="25" t="n">
        <v>0</v>
      </c>
      <c r="N203" s="25" t="n">
        <v>0</v>
      </c>
      <c r="O203" s="25" t="n">
        <v>0</v>
      </c>
      <c r="P203" s="21" t="n">
        <f aca="false">SUM(D203:O203)</f>
        <v>0</v>
      </c>
      <c r="Q203" s="25" t="n">
        <f aca="false">SUM(D203:J203)</f>
        <v>0</v>
      </c>
      <c r="R203" s="21" t="n">
        <f aca="false">P203-Q203</f>
        <v>0</v>
      </c>
      <c r="T203" s="25" t="n">
        <f aca="false">SUM(C203:J203)</f>
        <v>0</v>
      </c>
      <c r="U203" s="21"/>
      <c r="W203" s="34"/>
    </row>
    <row r="204" customFormat="false" ht="14.65" hidden="false" customHeight="false" outlineLevel="0" collapsed="false">
      <c r="A204" s="22" t="s">
        <v>120</v>
      </c>
      <c r="B204" s="27" t="s">
        <v>34</v>
      </c>
      <c r="C204" s="25" t="n">
        <v>403</v>
      </c>
      <c r="D204" s="28" t="n">
        <f aca="false">'''file:///mnt/12tb/@roms/datasets/enron/EDRM%20Enron%20Email%20Data%20Set%20v2%20XML/filtered-attachments/xls/EMTW01CE.XLS''#Source'!D24</f>
        <v>-7</v>
      </c>
      <c r="E204" s="28" t="n">
        <f aca="false">'''file:///mnt/12tb/@roms/datasets/enron/EDRM%20Enron%20Email%20Data%20Set%20v2%20XML/filtered-attachments/xls/EMTW01CE.XLS''#Source'!E24</f>
        <v>-7</v>
      </c>
      <c r="F204" s="28" t="n">
        <f aca="false">'''file:///mnt/12tb/@roms/datasets/enron/EDRM%20Enron%20Email%20Data%20Set%20v2%20XML/filtered-attachments/xls/EMTW01CE.XLS''#Source'!F24</f>
        <v>-7</v>
      </c>
      <c r="G204" s="28" t="n">
        <f aca="false">'''file:///mnt/12tb/@roms/datasets/enron/EDRM%20Enron%20Email%20Data%20Set%20v2%20XML/filtered-attachments/xls/EMTW01CE.XLS''#Source'!G24</f>
        <v>-7</v>
      </c>
      <c r="H204" s="28" t="n">
        <f aca="false">'''file:///mnt/12tb/@roms/datasets/enron/EDRM%20Enron%20Email%20Data%20Set%20v2%20XML/filtered-attachments/xls/EMTW01CE.XLS''#Source'!H24</f>
        <v>-7</v>
      </c>
      <c r="I204" s="28" t="n">
        <f aca="false">'''file:///mnt/12tb/@roms/datasets/enron/EDRM%20Enron%20Email%20Data%20Set%20v2%20XML/filtered-attachments/xls/EMTW01CE.XLS''#Source'!I24</f>
        <v>-7</v>
      </c>
      <c r="J204" s="28" t="n">
        <f aca="false">'''file:///mnt/12tb/@roms/datasets/enron/EDRM%20Enron%20Email%20Data%20Set%20v2%20XML/filtered-attachments/xls/EMTW01CE.XLS''#Source'!J24</f>
        <v>-7</v>
      </c>
      <c r="K204" s="28" t="n">
        <f aca="false">'''file:///mnt/12tb/@roms/datasets/enron/EDRM%20Enron%20Email%20Data%20Set%20v2%20XML/filtered-attachments/xls/EMTW01CE.XLS''#Source'!K24</f>
        <v>-7</v>
      </c>
      <c r="L204" s="28" t="n">
        <f aca="false">'''file:///mnt/12tb/@roms/datasets/enron/EDRM%20Enron%20Email%20Data%20Set%20v2%20XML/filtered-attachments/xls/EMTW01CE.XLS''#Source'!L24</f>
        <v>-7</v>
      </c>
      <c r="M204" s="28" t="n">
        <f aca="false">'''file:///mnt/12tb/@roms/datasets/enron/EDRM%20Enron%20Email%20Data%20Set%20v2%20XML/filtered-attachments/xls/EMTW01CE.XLS''#Source'!M24</f>
        <v>-7</v>
      </c>
      <c r="N204" s="28" t="n">
        <f aca="false">'''file:///mnt/12tb/@roms/datasets/enron/EDRM%20Enron%20Email%20Data%20Set%20v2%20XML/filtered-attachments/xls/EMTW01CE.XLS''#Source'!N24</f>
        <v>-7</v>
      </c>
      <c r="O204" s="28" t="n">
        <f aca="false">'''file:///mnt/12tb/@roms/datasets/enron/EDRM%20Enron%20Email%20Data%20Set%20v2%20XML/filtered-attachments/xls/EMTW01CE.XLS''#Source'!O24</f>
        <v>-7</v>
      </c>
      <c r="P204" s="21" t="n">
        <f aca="false">SUM(D204:O204)</f>
        <v>-84</v>
      </c>
      <c r="Q204" s="25" t="n">
        <f aca="false">SUM(D204:J204)</f>
        <v>-49</v>
      </c>
      <c r="R204" s="21" t="n">
        <f aca="false">P204-Q204</f>
        <v>-35</v>
      </c>
      <c r="T204" s="25" t="n">
        <f aca="false">SUM(C204:J204)</f>
        <v>354</v>
      </c>
      <c r="U204" s="21" t="n">
        <f aca="false">SUM(T203:T204)</f>
        <v>354</v>
      </c>
      <c r="W204" s="34"/>
    </row>
    <row r="205" customFormat="false" ht="14.65" hidden="false" customHeight="false" outlineLevel="0" collapsed="false">
      <c r="A205" s="22" t="s">
        <v>131</v>
      </c>
      <c r="C205" s="25" t="n">
        <v>0</v>
      </c>
      <c r="D205" s="25" t="n">
        <v>0</v>
      </c>
      <c r="E205" s="25" t="n">
        <v>0</v>
      </c>
      <c r="F205" s="25" t="n">
        <v>0</v>
      </c>
      <c r="G205" s="25" t="n">
        <v>0</v>
      </c>
      <c r="H205" s="25" t="n">
        <v>0</v>
      </c>
      <c r="I205" s="25" t="n">
        <v>0</v>
      </c>
      <c r="J205" s="25" t="n">
        <v>0</v>
      </c>
      <c r="K205" s="25" t="n">
        <v>0</v>
      </c>
      <c r="L205" s="25" t="n">
        <v>0</v>
      </c>
      <c r="M205" s="25" t="n">
        <v>0</v>
      </c>
      <c r="N205" s="25" t="n">
        <v>0</v>
      </c>
      <c r="O205" s="25" t="n">
        <v>0</v>
      </c>
      <c r="P205" s="21" t="n">
        <f aca="false">SUM(D205:O205)</f>
        <v>0</v>
      </c>
      <c r="Q205" s="25" t="n">
        <f aca="false">SUM(D205:J205)</f>
        <v>0</v>
      </c>
      <c r="R205" s="21" t="n">
        <f aca="false">P205-Q205</f>
        <v>0</v>
      </c>
      <c r="T205" s="25" t="n">
        <f aca="false">SUM(C205:J205)</f>
        <v>0</v>
      </c>
      <c r="U205" s="21"/>
    </row>
    <row r="206" customFormat="false" ht="14.65" hidden="false" customHeight="false" outlineLevel="0" collapsed="false">
      <c r="A206" s="22" t="s">
        <v>132</v>
      </c>
      <c r="B206" s="27" t="s">
        <v>34</v>
      </c>
      <c r="C206" s="25" t="n">
        <v>1002</v>
      </c>
      <c r="D206" s="28" t="n">
        <f aca="false">'''file:///mnt/12tb/@roms/datasets/enron/EDRM%20Enron%20Email%20Data%20Set%20v2%20XML/filtered-attachments/xls/EMTW01CE.XLS''#Source'!D32</f>
        <v>-17</v>
      </c>
      <c r="E206" s="28" t="n">
        <f aca="false">'''file:///mnt/12tb/@roms/datasets/enron/EDRM%20Enron%20Email%20Data%20Set%20v2%20XML/filtered-attachments/xls/EMTW01CE.XLS''#Source'!E32</f>
        <v>17</v>
      </c>
      <c r="F206" s="31" t="n">
        <f aca="false">'''file:///mnt/12tb/@roms/datasets/enron/EDRM%20Enron%20Email%20Data%20Set%20v2%20XML/filtered-attachments/xls/EMTW01CE.XLS''#Source'!F32+31</f>
        <v>-21</v>
      </c>
      <c r="G206" s="31" t="n">
        <f aca="false">'''file:///mnt/12tb/@roms/datasets/enron/EDRM%20Enron%20Email%20Data%20Set%20v2%20XML/filtered-attachments/xls/EMTW01CE.XLS''#Source'!G32-3</f>
        <v>-20</v>
      </c>
      <c r="H206" s="31" t="n">
        <f aca="false">'''file:///mnt/12tb/@roms/datasets/enron/EDRM%20Enron%20Email%20Data%20Set%20v2%20XML/filtered-attachments/xls/EMTW01CE.XLS''#Source'!H32-4</f>
        <v>-21</v>
      </c>
      <c r="I206" s="31" t="n">
        <f aca="false">'''file:///mnt/12tb/@roms/datasets/enron/EDRM%20Enron%20Email%20Data%20Set%20v2%20XML/filtered-attachments/xls/EMTW01CE.XLS''#Source'!I32-3</f>
        <v>-21</v>
      </c>
      <c r="J206" s="31" t="n">
        <f aca="false">'''file:///mnt/12tb/@roms/datasets/enron/EDRM%20Enron%20Email%20Data%20Set%20v2%20XML/filtered-attachments/xls/EMTW01CE.XLS''#Source'!J32-3</f>
        <v>-20</v>
      </c>
      <c r="K206" s="28" t="n">
        <f aca="false">'''file:///mnt/12tb/@roms/datasets/enron/EDRM%20Enron%20Email%20Data%20Set%20v2%20XML/filtered-attachments/xls/EMTW01CE.XLS''#Source'!K32</f>
        <v>-18</v>
      </c>
      <c r="L206" s="28" t="n">
        <f aca="false">'''file:///mnt/12tb/@roms/datasets/enron/EDRM%20Enron%20Email%20Data%20Set%20v2%20XML/filtered-attachments/xls/EMTW01CE.XLS''#Source'!L32</f>
        <v>-17</v>
      </c>
      <c r="M206" s="28" t="n">
        <f aca="false">'''file:///mnt/12tb/@roms/datasets/enron/EDRM%20Enron%20Email%20Data%20Set%20v2%20XML/filtered-attachments/xls/EMTW01CE.XLS''#Source'!M32</f>
        <v>-17</v>
      </c>
      <c r="N206" s="28" t="n">
        <f aca="false">'''file:///mnt/12tb/@roms/datasets/enron/EDRM%20Enron%20Email%20Data%20Set%20v2%20XML/filtered-attachments/xls/EMTW01CE.XLS''#Source'!N32</f>
        <v>-18</v>
      </c>
      <c r="O206" s="28" t="n">
        <f aca="false">'''file:///mnt/12tb/@roms/datasets/enron/EDRM%20Enron%20Email%20Data%20Set%20v2%20XML/filtered-attachments/xls/EMTW01CE.XLS''#Source'!O32</f>
        <v>-18</v>
      </c>
      <c r="P206" s="21" t="n">
        <f aca="false">SUM(D206:O206)</f>
        <v>-191</v>
      </c>
      <c r="Q206" s="25" t="n">
        <f aca="false">SUM(D206:J206)</f>
        <v>-103</v>
      </c>
      <c r="R206" s="21" t="n">
        <f aca="false">P206-Q206</f>
        <v>-88</v>
      </c>
      <c r="T206" s="25" t="n">
        <f aca="false">SUM(C206:J206)</f>
        <v>899</v>
      </c>
      <c r="U206" s="21" t="n">
        <f aca="false">SUM(T205:T206)</f>
        <v>899</v>
      </c>
      <c r="W206" s="34"/>
    </row>
    <row r="207" customFormat="false" ht="14.65" hidden="false" customHeight="false" outlineLevel="0" collapsed="false">
      <c r="A207" s="22" t="s">
        <v>40</v>
      </c>
      <c r="B207" s="27"/>
      <c r="C207" s="25" t="n">
        <v>0</v>
      </c>
      <c r="D207" s="25" t="n">
        <v>0</v>
      </c>
      <c r="E207" s="25" t="n">
        <v>0</v>
      </c>
      <c r="F207" s="25" t="n">
        <v>0</v>
      </c>
      <c r="G207" s="25" t="n">
        <v>0</v>
      </c>
      <c r="H207" s="25" t="n">
        <v>0</v>
      </c>
      <c r="I207" s="25" t="n">
        <v>0</v>
      </c>
      <c r="J207" s="25" t="n">
        <v>0</v>
      </c>
      <c r="K207" s="25" t="n">
        <v>0</v>
      </c>
      <c r="L207" s="25" t="n">
        <v>0</v>
      </c>
      <c r="M207" s="25" t="n">
        <v>0</v>
      </c>
      <c r="N207" s="25" t="n">
        <v>0</v>
      </c>
      <c r="O207" s="25" t="n">
        <v>0</v>
      </c>
      <c r="P207" s="21" t="n">
        <f aca="false">SUM(D207:O207)</f>
        <v>0</v>
      </c>
      <c r="Q207" s="25" t="n">
        <f aca="false">SUM(D207:J207)</f>
        <v>0</v>
      </c>
      <c r="R207" s="21" t="n">
        <f aca="false">P207-Q207</f>
        <v>0</v>
      </c>
      <c r="T207" s="25" t="n">
        <f aca="false">SUM(C207:J207)</f>
        <v>0</v>
      </c>
      <c r="U207" s="21" t="n">
        <f aca="false">T207</f>
        <v>0</v>
      </c>
      <c r="W207" s="34"/>
    </row>
    <row r="208" customFormat="false" ht="14.65" hidden="false" customHeight="false" outlineLevel="0" collapsed="false">
      <c r="A208" s="22" t="s">
        <v>133</v>
      </c>
      <c r="B208" s="27" t="s">
        <v>34</v>
      </c>
      <c r="C208" s="25" t="n">
        <v>562</v>
      </c>
      <c r="D208" s="28" t="n">
        <f aca="false">'''file:///mnt/12tb/@roms/datasets/enron/EDRM%20Enron%20Email%20Data%20Set%20v2%20XML/filtered-attachments/xls/EMTW01CE.XLS''#Source'!D25</f>
        <v>-10</v>
      </c>
      <c r="E208" s="28" t="n">
        <f aca="false">'''file:///mnt/12tb/@roms/datasets/enron/EDRM%20Enron%20Email%20Data%20Set%20v2%20XML/filtered-attachments/xls/EMTW01CE.XLS''#Source'!E25</f>
        <v>-10</v>
      </c>
      <c r="F208" s="31" t="n">
        <f aca="false">'''file:///mnt/12tb/@roms/datasets/enron/EDRM%20Enron%20Email%20Data%20Set%20v2%20XML/filtered-attachments/xls/EMTW01CE.XLS''#Source'!F25+1</f>
        <v>-9</v>
      </c>
      <c r="G208" s="28" t="n">
        <f aca="false">'''file:///mnt/12tb/@roms/datasets/enron/EDRM%20Enron%20Email%20Data%20Set%20v2%20XML/filtered-attachments/xls/EMTW01CE.XLS''#Source'!G25</f>
        <v>-10</v>
      </c>
      <c r="H208" s="28" t="n">
        <f aca="false">'''file:///mnt/12tb/@roms/datasets/enron/EDRM%20Enron%20Email%20Data%20Set%20v2%20XML/filtered-attachments/xls/EMTW01CE.XLS''#Source'!H25</f>
        <v>-10</v>
      </c>
      <c r="I208" s="31" t="n">
        <f aca="false">'''file:///mnt/12tb/@roms/datasets/enron/EDRM%20Enron%20Email%20Data%20Set%20v2%20XML/filtered-attachments/xls/EMTW01CE.XLS''#Source'!I25+1</f>
        <v>-9</v>
      </c>
      <c r="J208" s="28" t="n">
        <f aca="false">'''file:///mnt/12tb/@roms/datasets/enron/EDRM%20Enron%20Email%20Data%20Set%20v2%20XML/filtered-attachments/xls/EMTW01CE.XLS''#Source'!J25</f>
        <v>-10</v>
      </c>
      <c r="K208" s="28" t="n">
        <f aca="false">'''file:///mnt/12tb/@roms/datasets/enron/EDRM%20Enron%20Email%20Data%20Set%20v2%20XML/filtered-attachments/xls/EMTW01CE.XLS''#Source'!K25</f>
        <v>-10</v>
      </c>
      <c r="L208" s="28" t="n">
        <f aca="false">'''file:///mnt/12tb/@roms/datasets/enron/EDRM%20Enron%20Email%20Data%20Set%20v2%20XML/filtered-attachments/xls/EMTW01CE.XLS''#Source'!L25</f>
        <v>-10</v>
      </c>
      <c r="M208" s="28" t="n">
        <f aca="false">'''file:///mnt/12tb/@roms/datasets/enron/EDRM%20Enron%20Email%20Data%20Set%20v2%20XML/filtered-attachments/xls/EMTW01CE.XLS''#Source'!M25</f>
        <v>-10</v>
      </c>
      <c r="N208" s="28" t="n">
        <f aca="false">'''file:///mnt/12tb/@roms/datasets/enron/EDRM%20Enron%20Email%20Data%20Set%20v2%20XML/filtered-attachments/xls/EMTW01CE.XLS''#Source'!N25</f>
        <v>-10</v>
      </c>
      <c r="O208" s="28" t="n">
        <f aca="false">'''file:///mnt/12tb/@roms/datasets/enron/EDRM%20Enron%20Email%20Data%20Set%20v2%20XML/filtered-attachments/xls/EMTW01CE.XLS''#Source'!O25</f>
        <v>-10</v>
      </c>
      <c r="P208" s="21" t="n">
        <f aca="false">SUM(D208:O208)</f>
        <v>-118</v>
      </c>
      <c r="Q208" s="25" t="n">
        <f aca="false">SUM(D208:J208)</f>
        <v>-68</v>
      </c>
      <c r="R208" s="21" t="n">
        <f aca="false">P208-Q208</f>
        <v>-50</v>
      </c>
      <c r="T208" s="25" t="n">
        <f aca="false">SUM(C208:J208)</f>
        <v>494</v>
      </c>
      <c r="U208" s="21"/>
      <c r="W208" s="34"/>
    </row>
    <row r="209" customFormat="false" ht="14.65" hidden="false" customHeight="false" outlineLevel="0" collapsed="false">
      <c r="A209" s="22" t="s">
        <v>134</v>
      </c>
      <c r="B209" s="27"/>
      <c r="C209" s="25" t="n">
        <v>0</v>
      </c>
      <c r="D209" s="25" t="n">
        <v>0</v>
      </c>
      <c r="E209" s="25" t="n">
        <v>0</v>
      </c>
      <c r="F209" s="25" t="n">
        <v>0</v>
      </c>
      <c r="G209" s="25" t="n">
        <v>0</v>
      </c>
      <c r="H209" s="25" t="n">
        <v>0</v>
      </c>
      <c r="I209" s="25" t="n">
        <v>0</v>
      </c>
      <c r="J209" s="25" t="n">
        <v>0</v>
      </c>
      <c r="K209" s="25" t="n">
        <v>0</v>
      </c>
      <c r="L209" s="25" t="n">
        <v>0</v>
      </c>
      <c r="M209" s="25" t="n">
        <v>0</v>
      </c>
      <c r="N209" s="25" t="n">
        <v>0</v>
      </c>
      <c r="O209" s="25" t="n">
        <v>0</v>
      </c>
      <c r="P209" s="21" t="n">
        <f aca="false">SUM(D209:O209)</f>
        <v>0</v>
      </c>
      <c r="Q209" s="25" t="n">
        <f aca="false">SUM(D209:J209)</f>
        <v>0</v>
      </c>
      <c r="R209" s="21" t="n">
        <f aca="false">P209-Q209</f>
        <v>0</v>
      </c>
      <c r="T209" s="25" t="n">
        <f aca="false">SUM(C209:J209)</f>
        <v>0</v>
      </c>
      <c r="U209" s="21" t="n">
        <f aca="false">SUM(T208:T209)</f>
        <v>494</v>
      </c>
      <c r="W209" s="34"/>
    </row>
    <row r="210" customFormat="false" ht="14.65" hidden="false" customHeight="false" outlineLevel="0" collapsed="false">
      <c r="A210" s="22" t="s">
        <v>135</v>
      </c>
      <c r="B210" s="27"/>
      <c r="C210" s="25" t="n">
        <v>409</v>
      </c>
      <c r="D210" s="25" t="n">
        <v>0</v>
      </c>
      <c r="E210" s="25" t="n">
        <v>0</v>
      </c>
      <c r="F210" s="25" t="n">
        <v>0</v>
      </c>
      <c r="G210" s="25" t="n">
        <v>0</v>
      </c>
      <c r="H210" s="25" t="n">
        <v>0</v>
      </c>
      <c r="I210" s="25" t="n">
        <v>0</v>
      </c>
      <c r="J210" s="25" t="n">
        <v>0</v>
      </c>
      <c r="K210" s="25" t="n">
        <v>0</v>
      </c>
      <c r="L210" s="25" t="n">
        <v>0</v>
      </c>
      <c r="M210" s="25" t="n">
        <v>0</v>
      </c>
      <c r="N210" s="25" t="n">
        <v>0</v>
      </c>
      <c r="O210" s="25" t="n">
        <v>0</v>
      </c>
      <c r="P210" s="21" t="n">
        <f aca="false">SUM(D210:O210)</f>
        <v>0</v>
      </c>
      <c r="Q210" s="25" t="n">
        <f aca="false">SUM(D210:J210)</f>
        <v>0</v>
      </c>
      <c r="R210" s="21" t="n">
        <f aca="false">P210-Q210</f>
        <v>0</v>
      </c>
      <c r="T210" s="25" t="n">
        <f aca="false">SUM(C210:J210)</f>
        <v>409</v>
      </c>
      <c r="U210" s="21" t="n">
        <f aca="false">T210</f>
        <v>409</v>
      </c>
      <c r="W210" s="34"/>
    </row>
    <row r="211" customFormat="false" ht="14.65" hidden="false" customHeight="false" outlineLevel="0" collapsed="false">
      <c r="A211" s="22" t="s">
        <v>65</v>
      </c>
      <c r="B211" s="27" t="s">
        <v>34</v>
      </c>
      <c r="C211" s="29" t="n">
        <f aca="false">5009+4</f>
        <v>5013</v>
      </c>
      <c r="D211" s="28" t="n">
        <f aca="false">'''file:///mnt/12tb/@roms/datasets/enron/EDRM%20Enron%20Email%20Data%20Set%20v2%20XML/filtered-attachments/xls/EMTW01CE.XLS''#Source'!D28</f>
        <v>-107</v>
      </c>
      <c r="E211" s="31" t="n">
        <f aca="false">'''file:///mnt/12tb/@roms/datasets/enron/EDRM%20Enron%20Email%20Data%20Set%20v2%20XML/filtered-attachments/xls/EMTW01CE.XLS''#Source'!E28+1</f>
        <v>-107</v>
      </c>
      <c r="F211" s="28" t="n">
        <f aca="false">'''file:///mnt/12tb/@roms/datasets/enron/EDRM%20Enron%20Email%20Data%20Set%20v2%20XML/filtered-attachments/xls/EMTW01CE.XLS''#Source'!F28</f>
        <v>-107</v>
      </c>
      <c r="G211" s="28" t="n">
        <f aca="false">'''file:///mnt/12tb/@roms/datasets/enron/EDRM%20Enron%20Email%20Data%20Set%20v2%20XML/filtered-attachments/xls/EMTW01CE.XLS''#Source'!G28</f>
        <v>-107</v>
      </c>
      <c r="H211" s="31" t="n">
        <f aca="false">'''file:///mnt/12tb/@roms/datasets/enron/EDRM%20Enron%20Email%20Data%20Set%20v2%20XML/filtered-attachments/xls/EMTW01CE.XLS''#Source'!H28-1</f>
        <v>-108</v>
      </c>
      <c r="I211" s="28" t="n">
        <f aca="false">'''file:///mnt/12tb/@roms/datasets/enron/EDRM%20Enron%20Email%20Data%20Set%20v2%20XML/filtered-attachments/xls/EMTW01CE.XLS''#Source'!I28</f>
        <v>-107</v>
      </c>
      <c r="J211" s="28" t="n">
        <f aca="false">'''file:///mnt/12tb/@roms/datasets/enron/EDRM%20Enron%20Email%20Data%20Set%20v2%20XML/filtered-attachments/xls/EMTW01CE.XLS''#Source'!J28</f>
        <v>-107</v>
      </c>
      <c r="K211" s="28" t="n">
        <f aca="false">'''file:///mnt/12tb/@roms/datasets/enron/EDRM%20Enron%20Email%20Data%20Set%20v2%20XML/filtered-attachments/xls/EMTW01CE.XLS''#Source'!K28</f>
        <v>-107</v>
      </c>
      <c r="L211" s="28" t="n">
        <f aca="false">'''file:///mnt/12tb/@roms/datasets/enron/EDRM%20Enron%20Email%20Data%20Set%20v2%20XML/filtered-attachments/xls/EMTW01CE.XLS''#Source'!L28</f>
        <v>-107</v>
      </c>
      <c r="M211" s="28" t="n">
        <f aca="false">'''file:///mnt/12tb/@roms/datasets/enron/EDRM%20Enron%20Email%20Data%20Set%20v2%20XML/filtered-attachments/xls/EMTW01CE.XLS''#Source'!M28</f>
        <v>-107</v>
      </c>
      <c r="N211" s="28" t="n">
        <f aca="false">'''file:///mnt/12tb/@roms/datasets/enron/EDRM%20Enron%20Email%20Data%20Set%20v2%20XML/filtered-attachments/xls/EMTW01CE.XLS''#Source'!N28</f>
        <v>-107</v>
      </c>
      <c r="O211" s="28" t="n">
        <f aca="false">'''file:///mnt/12tb/@roms/datasets/enron/EDRM%20Enron%20Email%20Data%20Set%20v2%20XML/filtered-attachments/xls/EMTW01CE.XLS''#Source'!O28</f>
        <v>-107</v>
      </c>
      <c r="P211" s="21" t="n">
        <f aca="false">SUM(D211:O211)</f>
        <v>-1285</v>
      </c>
      <c r="Q211" s="25" t="n">
        <f aca="false">SUM(D211:J211)</f>
        <v>-750</v>
      </c>
      <c r="R211" s="21" t="n">
        <f aca="false">P211-Q211</f>
        <v>-535</v>
      </c>
      <c r="T211" s="25" t="n">
        <f aca="false">SUM(C211:J211)</f>
        <v>4263</v>
      </c>
      <c r="U211" s="21"/>
      <c r="W211" s="34"/>
    </row>
    <row r="212" customFormat="false" ht="14.65" hidden="false" customHeight="false" outlineLevel="0" collapsed="false">
      <c r="A212" s="22" t="s">
        <v>136</v>
      </c>
      <c r="B212" s="27"/>
      <c r="C212" s="30" t="n">
        <v>114</v>
      </c>
      <c r="D212" s="25" t="n">
        <v>0</v>
      </c>
      <c r="E212" s="25" t="n">
        <v>0</v>
      </c>
      <c r="F212" s="25" t="n">
        <v>0</v>
      </c>
      <c r="G212" s="25" t="n">
        <v>0</v>
      </c>
      <c r="H212" s="25" t="n">
        <v>0</v>
      </c>
      <c r="I212" s="25" t="n">
        <v>0</v>
      </c>
      <c r="J212" s="25" t="n">
        <v>0</v>
      </c>
      <c r="K212" s="25" t="n">
        <v>0</v>
      </c>
      <c r="L212" s="25" t="n">
        <v>0</v>
      </c>
      <c r="M212" s="25" t="n">
        <v>0</v>
      </c>
      <c r="N212" s="25" t="n">
        <v>0</v>
      </c>
      <c r="O212" s="25" t="n">
        <v>0</v>
      </c>
      <c r="P212" s="21" t="n">
        <f aca="false">SUM(D212:O212)</f>
        <v>0</v>
      </c>
      <c r="Q212" s="25" t="n">
        <f aca="false">SUM(D212:J212)</f>
        <v>0</v>
      </c>
      <c r="R212" s="21" t="n">
        <f aca="false">P212-Q212</f>
        <v>0</v>
      </c>
      <c r="T212" s="25" t="n">
        <f aca="false">SUM(C212:J212)</f>
        <v>114</v>
      </c>
      <c r="U212" s="21"/>
      <c r="W212" s="34"/>
    </row>
    <row r="213" customFormat="false" ht="14.65" hidden="false" customHeight="false" outlineLevel="0" collapsed="false">
      <c r="A213" s="22" t="s">
        <v>137</v>
      </c>
      <c r="C213" s="30" t="n">
        <v>-42</v>
      </c>
      <c r="D213" s="25" t="n">
        <v>-1</v>
      </c>
      <c r="E213" s="25" t="n">
        <v>-1</v>
      </c>
      <c r="F213" s="25" t="n">
        <v>0</v>
      </c>
      <c r="G213" s="25" t="n">
        <v>-1</v>
      </c>
      <c r="H213" s="25" t="n">
        <v>0</v>
      </c>
      <c r="I213" s="25" t="n">
        <v>-1</v>
      </c>
      <c r="J213" s="25" t="n">
        <v>0</v>
      </c>
      <c r="K213" s="25" t="n">
        <v>-1</v>
      </c>
      <c r="L213" s="25" t="n">
        <v>0</v>
      </c>
      <c r="M213" s="25" t="n">
        <v>-1</v>
      </c>
      <c r="N213" s="25" t="n">
        <v>0</v>
      </c>
      <c r="O213" s="25" t="n">
        <v>-1</v>
      </c>
      <c r="P213" s="21" t="n">
        <f aca="false">SUM(D213:O213)</f>
        <v>-7</v>
      </c>
      <c r="Q213" s="25" t="n">
        <f aca="false">SUM(D213:J213)</f>
        <v>-4</v>
      </c>
      <c r="R213" s="21" t="n">
        <f aca="false">P213-Q213</f>
        <v>-3</v>
      </c>
      <c r="T213" s="25" t="n">
        <f aca="false">SUM(C213:J213)</f>
        <v>-46</v>
      </c>
      <c r="U213" s="21"/>
      <c r="W213" s="34"/>
    </row>
    <row r="214" customFormat="false" ht="14.65" hidden="false" customHeight="false" outlineLevel="0" collapsed="false">
      <c r="A214" s="22" t="s">
        <v>138</v>
      </c>
      <c r="B214" s="27"/>
      <c r="C214" s="25" t="n">
        <v>0</v>
      </c>
      <c r="D214" s="25" t="n">
        <v>0</v>
      </c>
      <c r="E214" s="25" t="n">
        <v>0</v>
      </c>
      <c r="F214" s="25" t="n">
        <v>0</v>
      </c>
      <c r="G214" s="25" t="n">
        <v>0</v>
      </c>
      <c r="H214" s="25" t="n">
        <v>0</v>
      </c>
      <c r="I214" s="25" t="n">
        <v>0</v>
      </c>
      <c r="J214" s="25" t="n">
        <v>0</v>
      </c>
      <c r="K214" s="25" t="n">
        <v>0</v>
      </c>
      <c r="L214" s="25" t="n">
        <v>0</v>
      </c>
      <c r="M214" s="25" t="n">
        <v>0</v>
      </c>
      <c r="N214" s="25" t="n">
        <v>0</v>
      </c>
      <c r="O214" s="25" t="n">
        <v>0</v>
      </c>
      <c r="P214" s="21" t="n">
        <f aca="false">SUM(D214:O214)</f>
        <v>0</v>
      </c>
      <c r="Q214" s="25" t="n">
        <f aca="false">SUM(D214:J214)</f>
        <v>0</v>
      </c>
      <c r="R214" s="21" t="n">
        <f aca="false">P214-Q214</f>
        <v>0</v>
      </c>
      <c r="T214" s="25" t="n">
        <f aca="false">SUM(C214:J214)</f>
        <v>0</v>
      </c>
      <c r="U214" s="21"/>
      <c r="W214" s="34"/>
    </row>
    <row r="215" customFormat="false" ht="14.65" hidden="false" customHeight="false" outlineLevel="0" collapsed="false">
      <c r="A215" s="22" t="s">
        <v>139</v>
      </c>
      <c r="B215" s="27" t="s">
        <v>34</v>
      </c>
      <c r="C215" s="25" t="n">
        <v>434</v>
      </c>
      <c r="D215" s="28" t="n">
        <f aca="false">'''file:///mnt/12tb/@roms/datasets/enron/EDRM%20Enron%20Email%20Data%20Set%20v2%20XML/filtered-attachments/xls/EMTW01CE.XLS''#Source'!D33</f>
        <v>-7</v>
      </c>
      <c r="E215" s="28" t="n">
        <f aca="false">'''file:///mnt/12tb/@roms/datasets/enron/EDRM%20Enron%20Email%20Data%20Set%20v2%20XML/filtered-attachments/xls/EMTW01CE.XLS''#Source'!E33</f>
        <v>-7</v>
      </c>
      <c r="F215" s="31" t="n">
        <f aca="false">'''file:///mnt/12tb/@roms/datasets/enron/EDRM%20Enron%20Email%20Data%20Set%20v2%20XML/filtered-attachments/xls/EMTW01CE.XLS''#Source'!F33-1</f>
        <v>-8</v>
      </c>
      <c r="G215" s="28" t="n">
        <f aca="false">'''file:///mnt/12tb/@roms/datasets/enron/EDRM%20Enron%20Email%20Data%20Set%20v2%20XML/filtered-attachments/xls/EMTW01CE.XLS''#Source'!G33</f>
        <v>-7</v>
      </c>
      <c r="H215" s="28" t="n">
        <f aca="false">'''file:///mnt/12tb/@roms/datasets/enron/EDRM%20Enron%20Email%20Data%20Set%20v2%20XML/filtered-attachments/xls/EMTW01CE.XLS''#Source'!H33</f>
        <v>-7</v>
      </c>
      <c r="I215" s="28" t="n">
        <f aca="false">'''file:///mnt/12tb/@roms/datasets/enron/EDRM%20Enron%20Email%20Data%20Set%20v2%20XML/filtered-attachments/xls/EMTW01CE.XLS''#Source'!I33</f>
        <v>-7</v>
      </c>
      <c r="J215" s="31" t="n">
        <f aca="false">'''file:///mnt/12tb/@roms/datasets/enron/EDRM%20Enron%20Email%20Data%20Set%20v2%20XML/filtered-attachments/xls/EMTW01CE.XLS''#Source'!J33-1</f>
        <v>-8</v>
      </c>
      <c r="K215" s="28" t="n">
        <f aca="false">'''file:///mnt/12tb/@roms/datasets/enron/EDRM%20Enron%20Email%20Data%20Set%20v2%20XML/filtered-attachments/xls/EMTW01CE.XLS''#Source'!K33</f>
        <v>-8</v>
      </c>
      <c r="L215" s="28" t="n">
        <f aca="false">'''file:///mnt/12tb/@roms/datasets/enron/EDRM%20Enron%20Email%20Data%20Set%20v2%20XML/filtered-attachments/xls/EMTW01CE.XLS''#Source'!L33</f>
        <v>-7</v>
      </c>
      <c r="M215" s="28" t="n">
        <f aca="false">'''file:///mnt/12tb/@roms/datasets/enron/EDRM%20Enron%20Email%20Data%20Set%20v2%20XML/filtered-attachments/xls/EMTW01CE.XLS''#Source'!M33</f>
        <v>-8</v>
      </c>
      <c r="N215" s="28" t="n">
        <f aca="false">'''file:///mnt/12tb/@roms/datasets/enron/EDRM%20Enron%20Email%20Data%20Set%20v2%20XML/filtered-attachments/xls/EMTW01CE.XLS''#Source'!N33</f>
        <v>-7</v>
      </c>
      <c r="O215" s="28" t="n">
        <f aca="false">'''file:///mnt/12tb/@roms/datasets/enron/EDRM%20Enron%20Email%20Data%20Set%20v2%20XML/filtered-attachments/xls/EMTW01CE.XLS''#Source'!O33</f>
        <v>-8</v>
      </c>
      <c r="P215" s="21" t="n">
        <f aca="false">SUM(D215:O215)</f>
        <v>-89</v>
      </c>
      <c r="Q215" s="25" t="n">
        <f aca="false">SUM(D215:J215)</f>
        <v>-51</v>
      </c>
      <c r="R215" s="21" t="n">
        <f aca="false">P215-Q215</f>
        <v>-38</v>
      </c>
      <c r="T215" s="25" t="n">
        <f aca="false">SUM(C215:J215)</f>
        <v>383</v>
      </c>
      <c r="U215" s="21" t="n">
        <f aca="false">SUM(T211:T215)</f>
        <v>4714</v>
      </c>
    </row>
    <row r="216" customFormat="false" ht="14.65" hidden="false" customHeight="false" outlineLevel="0" collapsed="false">
      <c r="A216" s="22" t="s">
        <v>140</v>
      </c>
      <c r="B216" s="27"/>
      <c r="C216" s="25" t="n">
        <v>0</v>
      </c>
      <c r="D216" s="25" t="n">
        <v>0</v>
      </c>
      <c r="E216" s="25" t="n">
        <v>0</v>
      </c>
      <c r="F216" s="25" t="n">
        <v>0</v>
      </c>
      <c r="G216" s="25" t="n">
        <v>0</v>
      </c>
      <c r="H216" s="25" t="n">
        <v>0</v>
      </c>
      <c r="I216" s="25" t="n">
        <v>0</v>
      </c>
      <c r="J216" s="25" t="n">
        <v>0</v>
      </c>
      <c r="K216" s="25" t="n">
        <v>0</v>
      </c>
      <c r="L216" s="25" t="n">
        <v>0</v>
      </c>
      <c r="M216" s="25" t="n">
        <v>0</v>
      </c>
      <c r="N216" s="25" t="n">
        <v>0</v>
      </c>
      <c r="O216" s="25" t="n">
        <v>0</v>
      </c>
      <c r="P216" s="21" t="n">
        <f aca="false">SUM(D216:O216)</f>
        <v>0</v>
      </c>
      <c r="Q216" s="25" t="n">
        <f aca="false">SUM(D216:J216)</f>
        <v>0</v>
      </c>
      <c r="R216" s="21" t="n">
        <f aca="false">P216-Q216</f>
        <v>0</v>
      </c>
      <c r="T216" s="25" t="n">
        <f aca="false">SUM(C216:J216)</f>
        <v>0</v>
      </c>
    </row>
    <row r="217" customFormat="false" ht="14.65" hidden="false" customHeight="false" outlineLevel="0" collapsed="false">
      <c r="A217" s="22" t="s">
        <v>139</v>
      </c>
      <c r="B217" s="27" t="s">
        <v>34</v>
      </c>
      <c r="C217" s="25" t="n">
        <v>2192</v>
      </c>
      <c r="D217" s="28" t="n">
        <f aca="false">'''file:///mnt/12tb/@roms/datasets/enron/EDRM%20Enron%20Email%20Data%20Set%20v2%20XML/filtered-attachments/xls/EMTW01CE.XLS''#Source'!D34</f>
        <v>-38</v>
      </c>
      <c r="E217" s="28" t="n">
        <f aca="false">'''file:///mnt/12tb/@roms/datasets/enron/EDRM%20Enron%20Email%20Data%20Set%20v2%20XML/filtered-attachments/xls/EMTW01CE.XLS''#Source'!E34</f>
        <v>-38</v>
      </c>
      <c r="F217" s="31" t="n">
        <f aca="false">'''file:///mnt/12tb/@roms/datasets/enron/EDRM%20Enron%20Email%20Data%20Set%20v2%20XML/filtered-attachments/xls/EMTW01CE.XLS''#Source'!F34+1</f>
        <v>-37</v>
      </c>
      <c r="G217" s="28" t="n">
        <f aca="false">'''file:///mnt/12tb/@roms/datasets/enron/EDRM%20Enron%20Email%20Data%20Set%20v2%20XML/filtered-attachments/xls/EMTW01CE.XLS''#Source'!G34</f>
        <v>-38</v>
      </c>
      <c r="H217" s="28" t="n">
        <f aca="false">'''file:///mnt/12tb/@roms/datasets/enron/EDRM%20Enron%20Email%20Data%20Set%20v2%20XML/filtered-attachments/xls/EMTW01CE.XLS''#Source'!H34</f>
        <v>-38</v>
      </c>
      <c r="I217" s="28" t="n">
        <f aca="false">'''file:///mnt/12tb/@roms/datasets/enron/EDRM%20Enron%20Email%20Data%20Set%20v2%20XML/filtered-attachments/xls/EMTW01CE.XLS''#Source'!I34</f>
        <v>-38</v>
      </c>
      <c r="J217" s="31" t="n">
        <f aca="false">'''file:///mnt/12tb/@roms/datasets/enron/EDRM%20Enron%20Email%20Data%20Set%20v2%20XML/filtered-attachments/xls/EMTW01CE.XLS''#Source'!J34+1</f>
        <v>-37</v>
      </c>
      <c r="K217" s="28" t="n">
        <f aca="false">'''file:///mnt/12tb/@roms/datasets/enron/EDRM%20Enron%20Email%20Data%20Set%20v2%20XML/filtered-attachments/xls/EMTW01CE.XLS''#Source'!K34</f>
        <v>-38</v>
      </c>
      <c r="L217" s="28" t="n">
        <f aca="false">'''file:///mnt/12tb/@roms/datasets/enron/EDRM%20Enron%20Email%20Data%20Set%20v2%20XML/filtered-attachments/xls/EMTW01CE.XLS''#Source'!L34</f>
        <v>-38</v>
      </c>
      <c r="M217" s="28" t="n">
        <f aca="false">'''file:///mnt/12tb/@roms/datasets/enron/EDRM%20Enron%20Email%20Data%20Set%20v2%20XML/filtered-attachments/xls/EMTW01CE.XLS''#Source'!M34</f>
        <v>-38</v>
      </c>
      <c r="N217" s="28" t="n">
        <f aca="false">'''file:///mnt/12tb/@roms/datasets/enron/EDRM%20Enron%20Email%20Data%20Set%20v2%20XML/filtered-attachments/xls/EMTW01CE.XLS''#Source'!N34</f>
        <v>-38</v>
      </c>
      <c r="O217" s="28" t="n">
        <f aca="false">'''file:///mnt/12tb/@roms/datasets/enron/EDRM%20Enron%20Email%20Data%20Set%20v2%20XML/filtered-attachments/xls/EMTW01CE.XLS''#Source'!O34</f>
        <v>-37</v>
      </c>
      <c r="P217" s="21" t="n">
        <f aca="false">SUM(D217:O217)</f>
        <v>-453</v>
      </c>
      <c r="Q217" s="25" t="n">
        <f aca="false">SUM(D217:J217)</f>
        <v>-264</v>
      </c>
      <c r="R217" s="21" t="n">
        <f aca="false">P217-Q217</f>
        <v>-189</v>
      </c>
      <c r="T217" s="25" t="n">
        <f aca="false">SUM(C217:J217)</f>
        <v>1928</v>
      </c>
      <c r="U217" s="21" t="n">
        <f aca="false">SUM(T216:T217)</f>
        <v>1928</v>
      </c>
    </row>
    <row r="218" customFormat="false" ht="14.65" hidden="false" customHeight="false" outlineLevel="0" collapsed="false">
      <c r="A218" s="22" t="s">
        <v>40</v>
      </c>
      <c r="C218" s="25" t="n">
        <v>0</v>
      </c>
      <c r="D218" s="25" t="n">
        <v>0</v>
      </c>
      <c r="E218" s="25" t="n">
        <v>0</v>
      </c>
      <c r="F218" s="25" t="n">
        <v>0</v>
      </c>
      <c r="G218" s="25" t="n">
        <v>0</v>
      </c>
      <c r="H218" s="25" t="n">
        <v>0</v>
      </c>
      <c r="I218" s="25" t="n">
        <v>0</v>
      </c>
      <c r="J218" s="25" t="n">
        <v>0</v>
      </c>
      <c r="K218" s="25" t="n">
        <v>0</v>
      </c>
      <c r="L218" s="25" t="n">
        <v>0</v>
      </c>
      <c r="M218" s="25" t="n">
        <v>0</v>
      </c>
      <c r="N218" s="25" t="n">
        <v>0</v>
      </c>
      <c r="O218" s="25" t="n">
        <v>0</v>
      </c>
      <c r="P218" s="21" t="n">
        <f aca="false">SUM(D218:O218)</f>
        <v>0</v>
      </c>
      <c r="Q218" s="25" t="n">
        <f aca="false">SUM(D218:J218)</f>
        <v>0</v>
      </c>
      <c r="R218" s="21" t="n">
        <f aca="false">P218-Q218</f>
        <v>0</v>
      </c>
      <c r="T218" s="25" t="n">
        <f aca="false">SUM(C218:J218)</f>
        <v>0</v>
      </c>
      <c r="U218" s="21" t="n">
        <f aca="false">T218</f>
        <v>0</v>
      </c>
    </row>
    <row r="219" customFormat="false" ht="14.65" hidden="false" customHeight="false" outlineLevel="0" collapsed="false">
      <c r="A219" s="22" t="s">
        <v>40</v>
      </c>
      <c r="C219" s="25" t="n">
        <v>0</v>
      </c>
      <c r="D219" s="25" t="n">
        <v>0</v>
      </c>
      <c r="E219" s="25" t="n">
        <v>0</v>
      </c>
      <c r="F219" s="25" t="n">
        <v>0</v>
      </c>
      <c r="G219" s="25" t="n">
        <v>0</v>
      </c>
      <c r="H219" s="25" t="n">
        <v>0</v>
      </c>
      <c r="I219" s="25" t="n">
        <v>0</v>
      </c>
      <c r="J219" s="25" t="n">
        <v>0</v>
      </c>
      <c r="K219" s="25" t="n">
        <v>0</v>
      </c>
      <c r="L219" s="25" t="n">
        <v>0</v>
      </c>
      <c r="M219" s="25" t="n">
        <v>0</v>
      </c>
      <c r="N219" s="25" t="n">
        <v>0</v>
      </c>
      <c r="O219" s="25" t="n">
        <v>0</v>
      </c>
      <c r="P219" s="21" t="n">
        <f aca="false">SUM(D219:O219)</f>
        <v>0</v>
      </c>
      <c r="Q219" s="25" t="n">
        <f aca="false">SUM(D219:J219)</f>
        <v>0</v>
      </c>
      <c r="R219" s="21" t="n">
        <f aca="false">P219-Q219</f>
        <v>0</v>
      </c>
      <c r="T219" s="25" t="n">
        <f aca="false">SUM(C219:J219)</f>
        <v>0</v>
      </c>
      <c r="U219" s="21" t="n">
        <f aca="false">T219</f>
        <v>0</v>
      </c>
    </row>
    <row r="220" customFormat="false" ht="14.65" hidden="false" customHeight="false" outlineLevel="0" collapsed="false">
      <c r="A220" s="22" t="s">
        <v>40</v>
      </c>
      <c r="C220" s="25" t="n">
        <v>0</v>
      </c>
      <c r="D220" s="25" t="n">
        <v>0</v>
      </c>
      <c r="E220" s="25" t="n">
        <v>0</v>
      </c>
      <c r="F220" s="25" t="n">
        <v>0</v>
      </c>
      <c r="G220" s="25" t="n">
        <v>0</v>
      </c>
      <c r="H220" s="25" t="n">
        <v>0</v>
      </c>
      <c r="I220" s="25" t="n">
        <v>0</v>
      </c>
      <c r="J220" s="25" t="n">
        <v>0</v>
      </c>
      <c r="K220" s="25" t="n">
        <v>0</v>
      </c>
      <c r="L220" s="25" t="n">
        <v>0</v>
      </c>
      <c r="M220" s="25" t="n">
        <v>0</v>
      </c>
      <c r="N220" s="25" t="n">
        <v>0</v>
      </c>
      <c r="O220" s="25" t="n">
        <v>0</v>
      </c>
      <c r="P220" s="21" t="n">
        <f aca="false">SUM(D220:O220)</f>
        <v>0</v>
      </c>
      <c r="Q220" s="25" t="n">
        <f aca="false">SUM(D220:J220)</f>
        <v>0</v>
      </c>
      <c r="R220" s="21" t="n">
        <f aca="false">P220-Q220</f>
        <v>0</v>
      </c>
      <c r="T220" s="25" t="n">
        <f aca="false">SUM(C220:J220)</f>
        <v>0</v>
      </c>
      <c r="U220" s="21" t="n">
        <f aca="false">T220</f>
        <v>0</v>
      </c>
    </row>
    <row r="221" customFormat="false" ht="14.65" hidden="false" customHeight="false" outlineLevel="0" collapsed="false">
      <c r="A221" s="22" t="s">
        <v>141</v>
      </c>
      <c r="C221" s="25" t="n">
        <v>0</v>
      </c>
      <c r="D221" s="25" t="n">
        <v>0</v>
      </c>
      <c r="E221" s="25" t="n">
        <v>0</v>
      </c>
      <c r="F221" s="25" t="n">
        <v>0</v>
      </c>
      <c r="G221" s="25" t="n">
        <v>0</v>
      </c>
      <c r="H221" s="25" t="n">
        <v>0</v>
      </c>
      <c r="I221" s="25" t="n">
        <v>0</v>
      </c>
      <c r="J221" s="25" t="n">
        <v>0</v>
      </c>
      <c r="K221" s="25" t="n">
        <v>0</v>
      </c>
      <c r="L221" s="25" t="n">
        <v>0</v>
      </c>
      <c r="M221" s="25" t="n">
        <v>0</v>
      </c>
      <c r="N221" s="25" t="n">
        <v>0</v>
      </c>
      <c r="O221" s="25" t="n">
        <v>500</v>
      </c>
      <c r="P221" s="21" t="n">
        <f aca="false">SUM(D221:O221)</f>
        <v>500</v>
      </c>
      <c r="Q221" s="25" t="n">
        <f aca="false">SUM(D221:J221)</f>
        <v>0</v>
      </c>
      <c r="R221" s="21" t="n">
        <f aca="false">P221-Q221</f>
        <v>500</v>
      </c>
      <c r="T221" s="25" t="n">
        <f aca="false">SUM(C221:J221)</f>
        <v>0</v>
      </c>
      <c r="U221" s="21" t="n">
        <f aca="false">T221</f>
        <v>0</v>
      </c>
    </row>
    <row r="222" customFormat="false" ht="14.65" hidden="false" customHeight="false" outlineLevel="0" collapsed="false">
      <c r="A222" s="22" t="s">
        <v>142</v>
      </c>
      <c r="C222" s="25" t="n">
        <v>0</v>
      </c>
      <c r="D222" s="25" t="n">
        <v>0</v>
      </c>
      <c r="E222" s="25" t="n">
        <v>0</v>
      </c>
      <c r="F222" s="25" t="n">
        <v>0</v>
      </c>
      <c r="G222" s="25" t="n">
        <v>0</v>
      </c>
      <c r="H222" s="25" t="n">
        <v>0</v>
      </c>
      <c r="I222" s="25" t="n">
        <v>0</v>
      </c>
      <c r="J222" s="25" t="n">
        <v>0</v>
      </c>
      <c r="K222" s="25" t="n">
        <v>0</v>
      </c>
      <c r="L222" s="25" t="n">
        <v>0</v>
      </c>
      <c r="M222" s="25" t="n">
        <v>0</v>
      </c>
      <c r="N222" s="25" t="n">
        <v>0</v>
      </c>
      <c r="O222" s="26" t="n">
        <f aca="false">1500-1500</f>
        <v>0</v>
      </c>
      <c r="P222" s="21" t="n">
        <f aca="false">SUM(D222:O222)</f>
        <v>0</v>
      </c>
      <c r="Q222" s="25" t="n">
        <f aca="false">SUM(D222:J222)</f>
        <v>0</v>
      </c>
      <c r="R222" s="21" t="n">
        <f aca="false">P222-Q222</f>
        <v>0</v>
      </c>
      <c r="T222" s="25" t="n">
        <f aca="false">SUM(C222:J222)</f>
        <v>0</v>
      </c>
      <c r="U222" s="21" t="n">
        <f aca="false">T222</f>
        <v>0</v>
      </c>
    </row>
    <row r="223" customFormat="false" ht="14.65" hidden="false" customHeight="false" outlineLevel="0" collapsed="false">
      <c r="A223" s="22" t="s">
        <v>143</v>
      </c>
      <c r="C223" s="25" t="n">
        <v>0</v>
      </c>
      <c r="D223" s="25" t="n">
        <v>0</v>
      </c>
      <c r="E223" s="25" t="n">
        <v>0</v>
      </c>
      <c r="F223" s="25" t="n">
        <v>0</v>
      </c>
      <c r="G223" s="25" t="n">
        <v>0</v>
      </c>
      <c r="H223" s="25" t="n">
        <v>0</v>
      </c>
      <c r="I223" s="25" t="n">
        <v>0</v>
      </c>
      <c r="J223" s="25" t="n">
        <v>0</v>
      </c>
      <c r="K223" s="25" t="n">
        <v>0</v>
      </c>
      <c r="L223" s="25" t="n">
        <v>0</v>
      </c>
      <c r="M223" s="25" t="n">
        <v>0</v>
      </c>
      <c r="N223" s="25" t="n">
        <v>0</v>
      </c>
      <c r="O223" s="26" t="n">
        <f aca="false">-279+279</f>
        <v>0</v>
      </c>
      <c r="P223" s="21" t="n">
        <f aca="false">SUM(D223:O223)</f>
        <v>0</v>
      </c>
      <c r="Q223" s="25" t="n">
        <f aca="false">SUM(D223:J223)</f>
        <v>0</v>
      </c>
      <c r="R223" s="21" t="n">
        <f aca="false">P223-Q223</f>
        <v>0</v>
      </c>
      <c r="T223" s="25" t="n">
        <f aca="false">SUM(C223:J223)</f>
        <v>0</v>
      </c>
      <c r="U223" s="21" t="n">
        <f aca="false">T223</f>
        <v>0</v>
      </c>
    </row>
    <row r="224" customFormat="false" ht="14.65" hidden="false" customHeight="false" outlineLevel="0" collapsed="false">
      <c r="A224" s="22" t="s">
        <v>28</v>
      </c>
      <c r="C224" s="35" t="n">
        <f aca="false">4-4</f>
        <v>0</v>
      </c>
      <c r="D224" s="23" t="n">
        <v>0</v>
      </c>
      <c r="E224" s="23" t="n">
        <v>0</v>
      </c>
      <c r="F224" s="23" t="n">
        <v>0</v>
      </c>
      <c r="G224" s="23" t="n">
        <v>0</v>
      </c>
      <c r="H224" s="23" t="n">
        <v>0</v>
      </c>
      <c r="I224" s="23" t="n">
        <v>0</v>
      </c>
      <c r="J224" s="23" t="n">
        <v>0</v>
      </c>
      <c r="K224" s="23" t="n">
        <v>0</v>
      </c>
      <c r="L224" s="23" t="n">
        <v>0</v>
      </c>
      <c r="M224" s="23" t="n">
        <v>0</v>
      </c>
      <c r="N224" s="23" t="n">
        <v>0</v>
      </c>
      <c r="O224" s="23" t="n">
        <v>0</v>
      </c>
      <c r="P224" s="24" t="n">
        <f aca="false">SUM(D224:O224)</f>
        <v>0</v>
      </c>
      <c r="Q224" s="23" t="n">
        <f aca="false">SUM(D224:J224)</f>
        <v>0</v>
      </c>
      <c r="R224" s="24" t="n">
        <f aca="false">P224-Q224</f>
        <v>0</v>
      </c>
      <c r="T224" s="25" t="n">
        <f aca="false">SUM(C224:J224)</f>
        <v>0</v>
      </c>
      <c r="U224" s="21" t="n">
        <f aca="false">T224</f>
        <v>0</v>
      </c>
      <c r="W224" s="34"/>
    </row>
    <row r="225" customFormat="false" ht="3.95" hidden="false" customHeight="true" outlineLevel="0" collapsed="false">
      <c r="C225" s="3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5"/>
      <c r="R225" s="21"/>
      <c r="W225" s="34"/>
    </row>
    <row r="226" customFormat="false" ht="14.65" hidden="false" customHeight="false" outlineLevel="0" collapsed="false">
      <c r="A226" s="20" t="s">
        <v>144</v>
      </c>
      <c r="C226" s="21" t="n">
        <f aca="false">SUM(C183:C224)</f>
        <v>79054</v>
      </c>
      <c r="D226" s="21" t="n">
        <f aca="false">SUM(D182:D225)</f>
        <v>78591</v>
      </c>
      <c r="E226" s="21" t="n">
        <f aca="false">SUM(E182:E225)</f>
        <v>78162</v>
      </c>
      <c r="F226" s="21" t="n">
        <f aca="false">SUM(F182:F225)</f>
        <v>77693</v>
      </c>
      <c r="G226" s="21" t="n">
        <f aca="false">SUM(G182:G225)</f>
        <v>77224</v>
      </c>
      <c r="H226" s="21" t="n">
        <f aca="false">SUM(H182:H225)</f>
        <v>76755</v>
      </c>
      <c r="I226" s="21" t="n">
        <f aca="false">SUM(I182:I225)</f>
        <v>76288</v>
      </c>
      <c r="J226" s="21" t="n">
        <f aca="false">SUM(J182:J225)</f>
        <v>75840</v>
      </c>
      <c r="K226" s="21" t="n">
        <f aca="false">SUM(K182:K225)</f>
        <v>75377</v>
      </c>
      <c r="L226" s="21" t="n">
        <f aca="false">SUM(L182:L225)</f>
        <v>74916</v>
      </c>
      <c r="M226" s="21" t="n">
        <f aca="false">SUM(M182:M225)</f>
        <v>74448</v>
      </c>
      <c r="N226" s="21" t="n">
        <f aca="false">SUM(N182:N225)</f>
        <v>73986</v>
      </c>
      <c r="O226" s="21" t="n">
        <f aca="false">SUM(O182:O225)</f>
        <v>74022</v>
      </c>
      <c r="P226" s="21"/>
      <c r="Q226" s="25"/>
    </row>
    <row r="227" customFormat="false" ht="3.95" hidden="false" customHeight="true" outlineLevel="0" collapsed="false">
      <c r="Q227" s="25"/>
    </row>
    <row r="228" customFormat="false" ht="14.65" hidden="false" customHeight="false" outlineLevel="0" collapsed="false">
      <c r="A228" s="22" t="s">
        <v>30</v>
      </c>
      <c r="C228" s="21"/>
      <c r="D228" s="21" t="n">
        <f aca="false">D226-C226</f>
        <v>-463</v>
      </c>
      <c r="E228" s="21" t="n">
        <f aca="false">E226-D226</f>
        <v>-429</v>
      </c>
      <c r="F228" s="21" t="n">
        <f aca="false">F226-E226</f>
        <v>-469</v>
      </c>
      <c r="G228" s="21" t="n">
        <f aca="false">G226-F226</f>
        <v>-469</v>
      </c>
      <c r="H228" s="21" t="n">
        <f aca="false">H226-G226</f>
        <v>-469</v>
      </c>
      <c r="I228" s="21" t="n">
        <f aca="false">I226-H226</f>
        <v>-467</v>
      </c>
      <c r="J228" s="21" t="n">
        <f aca="false">J226-I226</f>
        <v>-448</v>
      </c>
      <c r="K228" s="21" t="n">
        <f aca="false">K226-J226</f>
        <v>-463</v>
      </c>
      <c r="L228" s="21" t="n">
        <f aca="false">L226-K226</f>
        <v>-461</v>
      </c>
      <c r="M228" s="21" t="n">
        <f aca="false">M226-L226</f>
        <v>-468</v>
      </c>
      <c r="N228" s="21" t="n">
        <f aca="false">N226-M226</f>
        <v>-462</v>
      </c>
      <c r="O228" s="21" t="n">
        <f aca="false">O226-N226</f>
        <v>36</v>
      </c>
      <c r="P228" s="21" t="n">
        <f aca="false">SUM(D228:O228)</f>
        <v>-5032</v>
      </c>
      <c r="Q228" s="21" t="n">
        <f aca="false">SUM(Q183:Q224)</f>
        <v>-3214</v>
      </c>
      <c r="R228" s="21" t="n">
        <f aca="false">P228-Q228</f>
        <v>-1818</v>
      </c>
    </row>
    <row r="229" customFormat="false" ht="14.65" hidden="false" customHeight="false" outlineLevel="0" collapsed="false">
      <c r="A229" s="0"/>
      <c r="Q229" s="25"/>
    </row>
    <row r="230" customFormat="false" ht="8.1" hidden="false" customHeight="true" outlineLevel="0" collapsed="false">
      <c r="Q230" s="25"/>
    </row>
    <row r="231" customFormat="false" ht="14.65" hidden="false" customHeight="false" outlineLevel="0" collapsed="false">
      <c r="A231" s="20" t="s">
        <v>145</v>
      </c>
      <c r="C231" s="21"/>
      <c r="D231" s="21" t="n">
        <f aca="false">C245</f>
        <v>2254</v>
      </c>
      <c r="E231" s="21" t="n">
        <f aca="false">D245</f>
        <v>2205</v>
      </c>
      <c r="F231" s="21" t="n">
        <f aca="false">E245</f>
        <v>2928</v>
      </c>
      <c r="G231" s="21" t="n">
        <f aca="false">F245</f>
        <v>2560</v>
      </c>
      <c r="H231" s="21" t="n">
        <f aca="false">G245</f>
        <v>2828</v>
      </c>
      <c r="I231" s="21" t="n">
        <f aca="false">H245</f>
        <v>3401</v>
      </c>
      <c r="J231" s="21" t="n">
        <f aca="false">I245</f>
        <v>3786</v>
      </c>
      <c r="K231" s="21" t="n">
        <f aca="false">J245</f>
        <v>4026</v>
      </c>
      <c r="L231" s="21" t="n">
        <f aca="false">K245</f>
        <v>4013</v>
      </c>
      <c r="M231" s="21" t="n">
        <f aca="false">L245</f>
        <v>4001</v>
      </c>
      <c r="N231" s="21" t="n">
        <f aca="false">M245</f>
        <v>3988</v>
      </c>
      <c r="O231" s="21" t="n">
        <f aca="false">N245</f>
        <v>3976</v>
      </c>
      <c r="P231" s="21"/>
      <c r="Q231" s="25"/>
    </row>
    <row r="232" customFormat="false" ht="14.65" hidden="false" customHeight="false" outlineLevel="0" collapsed="false">
      <c r="A232" s="22" t="s">
        <v>146</v>
      </c>
      <c r="B232" s="27" t="s">
        <v>34</v>
      </c>
      <c r="C232" s="25" t="n">
        <v>0</v>
      </c>
      <c r="D232" s="28" t="n">
        <f aca="false">'''file:///mnt/12tb/@roms/datasets/enron/EDRM%20Enron%20Email%20Data%20Set%20v2%20XML/filtered-attachments/xls/EMTW01CE.XLS''#Source'!D47</f>
        <v>-0</v>
      </c>
      <c r="E232" s="28" t="n">
        <f aca="false">'''file:///mnt/12tb/@roms/datasets/enron/EDRM%20Enron%20Email%20Data%20Set%20v2%20XML/filtered-attachments/xls/EMTW01CE.XLS''#Source'!E47</f>
        <v>-0</v>
      </c>
      <c r="F232" s="28" t="n">
        <f aca="false">'''file:///mnt/12tb/@roms/datasets/enron/EDRM%20Enron%20Email%20Data%20Set%20v2%20XML/filtered-attachments/xls/EMTW01CE.XLS''#Source'!F47</f>
        <v>-0</v>
      </c>
      <c r="G232" s="28" t="n">
        <f aca="false">'''file:///mnt/12tb/@roms/datasets/enron/EDRM%20Enron%20Email%20Data%20Set%20v2%20XML/filtered-attachments/xls/EMTW01CE.XLS''#Source'!G47</f>
        <v>-0</v>
      </c>
      <c r="H232" s="28" t="n">
        <f aca="false">'''file:///mnt/12tb/@roms/datasets/enron/EDRM%20Enron%20Email%20Data%20Set%20v2%20XML/filtered-attachments/xls/EMTW01CE.XLS''#Source'!H47</f>
        <v>-0</v>
      </c>
      <c r="I232" s="28" t="n">
        <f aca="false">'''file:///mnt/12tb/@roms/datasets/enron/EDRM%20Enron%20Email%20Data%20Set%20v2%20XML/filtered-attachments/xls/EMTW01CE.XLS''#Source'!I47</f>
        <v>-0</v>
      </c>
      <c r="J232" s="28" t="n">
        <f aca="false">'''file:///mnt/12tb/@roms/datasets/enron/EDRM%20Enron%20Email%20Data%20Set%20v2%20XML/filtered-attachments/xls/EMTW01CE.XLS''#Source'!J47</f>
        <v>-0</v>
      </c>
      <c r="K232" s="28" t="n">
        <f aca="false">'''file:///mnt/12tb/@roms/datasets/enron/EDRM%20Enron%20Email%20Data%20Set%20v2%20XML/filtered-attachments/xls/EMTW01CE.XLS''#Source'!K47</f>
        <v>-0</v>
      </c>
      <c r="L232" s="28" t="n">
        <f aca="false">'''file:///mnt/12tb/@roms/datasets/enron/EDRM%20Enron%20Email%20Data%20Set%20v2%20XML/filtered-attachments/xls/EMTW01CE.XLS''#Source'!L47</f>
        <v>-0</v>
      </c>
      <c r="M232" s="28" t="n">
        <f aca="false">'''file:///mnt/12tb/@roms/datasets/enron/EDRM%20Enron%20Email%20Data%20Set%20v2%20XML/filtered-attachments/xls/EMTW01CE.XLS''#Source'!M47</f>
        <v>-0</v>
      </c>
      <c r="N232" s="28" t="n">
        <f aca="false">'''file:///mnt/12tb/@roms/datasets/enron/EDRM%20Enron%20Email%20Data%20Set%20v2%20XML/filtered-attachments/xls/EMTW01CE.XLS''#Source'!N47</f>
        <v>-0</v>
      </c>
      <c r="O232" s="28" t="n">
        <f aca="false">'''file:///mnt/12tb/@roms/datasets/enron/EDRM%20Enron%20Email%20Data%20Set%20v2%20XML/filtered-attachments/xls/EMTW01CE.XLS''#Source'!O47</f>
        <v>-0</v>
      </c>
      <c r="P232" s="21" t="n">
        <f aca="false">SUM(D232:O232)</f>
        <v>0</v>
      </c>
      <c r="Q232" s="25" t="n">
        <f aca="false">SUM(D232:J232)</f>
        <v>0</v>
      </c>
      <c r="R232" s="21" t="n">
        <f aca="false">P232-Q232</f>
        <v>0</v>
      </c>
    </row>
    <row r="233" customFormat="false" ht="14.65" hidden="false" customHeight="false" outlineLevel="0" collapsed="false">
      <c r="A233" s="22" t="s">
        <v>147</v>
      </c>
      <c r="C233" s="25" t="n">
        <v>1306</v>
      </c>
      <c r="D233" s="26" t="n">
        <v>-26</v>
      </c>
      <c r="E233" s="26" t="n">
        <v>746</v>
      </c>
      <c r="F233" s="26" t="n">
        <v>-316</v>
      </c>
      <c r="G233" s="26" t="n">
        <v>281</v>
      </c>
      <c r="H233" s="26" t="n">
        <v>586</v>
      </c>
      <c r="I233" s="26" t="n">
        <v>398</v>
      </c>
      <c r="J233" s="26" t="n">
        <v>252</v>
      </c>
      <c r="K233" s="25" t="n">
        <v>0</v>
      </c>
      <c r="L233" s="25" t="n">
        <v>0</v>
      </c>
      <c r="M233" s="25" t="n">
        <v>0</v>
      </c>
      <c r="N233" s="25" t="n">
        <v>0</v>
      </c>
      <c r="O233" s="25" t="n">
        <v>0</v>
      </c>
      <c r="P233" s="21" t="n">
        <f aca="false">SUM(D233:O233)</f>
        <v>1921</v>
      </c>
      <c r="Q233" s="25" t="n">
        <f aca="false">SUM(D233:J233)</f>
        <v>1921</v>
      </c>
      <c r="R233" s="21" t="n">
        <f aca="false">P233-Q233</f>
        <v>0</v>
      </c>
    </row>
    <row r="234" customFormat="false" ht="14.65" hidden="false" customHeight="false" outlineLevel="0" collapsed="false">
      <c r="A234" s="22" t="s">
        <v>148</v>
      </c>
      <c r="C234" s="25" t="n">
        <v>0</v>
      </c>
      <c r="D234" s="25" t="n">
        <v>0</v>
      </c>
      <c r="E234" s="25" t="n">
        <v>0</v>
      </c>
      <c r="F234" s="25" t="n">
        <v>0</v>
      </c>
      <c r="G234" s="25" t="n">
        <v>0</v>
      </c>
      <c r="H234" s="25" t="n">
        <v>0</v>
      </c>
      <c r="I234" s="25" t="n">
        <v>0</v>
      </c>
      <c r="J234" s="25" t="n">
        <v>0</v>
      </c>
      <c r="K234" s="25" t="n">
        <v>0</v>
      </c>
      <c r="L234" s="25" t="n">
        <v>0</v>
      </c>
      <c r="M234" s="25" t="n">
        <v>0</v>
      </c>
      <c r="N234" s="25" t="n">
        <v>0</v>
      </c>
      <c r="O234" s="25" t="n">
        <v>0</v>
      </c>
      <c r="P234" s="21" t="n">
        <f aca="false">SUM(D234:O234)</f>
        <v>0</v>
      </c>
      <c r="Q234" s="25" t="n">
        <f aca="false">SUM(D234:J234)</f>
        <v>0</v>
      </c>
      <c r="R234" s="21" t="n">
        <f aca="false">P234-Q234</f>
        <v>0</v>
      </c>
    </row>
    <row r="235" customFormat="false" ht="14.65" hidden="false" customHeight="false" outlineLevel="0" collapsed="false">
      <c r="A235" s="22" t="s">
        <v>149</v>
      </c>
      <c r="C235" s="25" t="n">
        <v>0</v>
      </c>
      <c r="D235" s="25" t="n">
        <v>0</v>
      </c>
      <c r="E235" s="25" t="n">
        <v>0</v>
      </c>
      <c r="F235" s="25" t="n">
        <v>0</v>
      </c>
      <c r="G235" s="25" t="n">
        <v>0</v>
      </c>
      <c r="H235" s="25" t="n">
        <v>0</v>
      </c>
      <c r="I235" s="25" t="n">
        <v>0</v>
      </c>
      <c r="J235" s="25" t="n">
        <v>0</v>
      </c>
      <c r="K235" s="25" t="n">
        <v>0</v>
      </c>
      <c r="L235" s="25" t="n">
        <v>0</v>
      </c>
      <c r="M235" s="25" t="n">
        <v>0</v>
      </c>
      <c r="N235" s="25" t="n">
        <v>0</v>
      </c>
      <c r="O235" s="25" t="n">
        <v>0</v>
      </c>
      <c r="P235" s="21" t="n">
        <f aca="false">SUM(D235:O235)</f>
        <v>0</v>
      </c>
      <c r="Q235" s="25" t="n">
        <f aca="false">SUM(D235:J235)</f>
        <v>0</v>
      </c>
      <c r="R235" s="21" t="n">
        <f aca="false">P235-Q235</f>
        <v>0</v>
      </c>
    </row>
    <row r="236" customFormat="false" ht="14.65" hidden="false" customHeight="false" outlineLevel="0" collapsed="false">
      <c r="A236" s="22" t="s">
        <v>150</v>
      </c>
      <c r="C236" s="25" t="n">
        <v>14</v>
      </c>
      <c r="D236" s="25" t="n">
        <v>-1</v>
      </c>
      <c r="E236" s="25" t="n">
        <v>0</v>
      </c>
      <c r="F236" s="25" t="n">
        <v>-1</v>
      </c>
      <c r="G236" s="25" t="n">
        <v>0</v>
      </c>
      <c r="H236" s="25" t="n">
        <v>-1</v>
      </c>
      <c r="I236" s="25" t="n">
        <v>0</v>
      </c>
      <c r="J236" s="25" t="n">
        <v>0</v>
      </c>
      <c r="K236" s="25" t="n">
        <v>0</v>
      </c>
      <c r="L236" s="25" t="n">
        <v>0</v>
      </c>
      <c r="M236" s="25" t="n">
        <v>0</v>
      </c>
      <c r="N236" s="25" t="n">
        <v>0</v>
      </c>
      <c r="O236" s="25" t="n">
        <v>0</v>
      </c>
      <c r="P236" s="21" t="n">
        <f aca="false">SUM(D236:O236)</f>
        <v>-3</v>
      </c>
      <c r="Q236" s="25" t="n">
        <f aca="false">SUM(D236:J236)</f>
        <v>-3</v>
      </c>
      <c r="R236" s="21" t="n">
        <f aca="false">P236-Q236</f>
        <v>0</v>
      </c>
    </row>
    <row r="237" customFormat="false" ht="14.65" hidden="false" customHeight="false" outlineLevel="0" collapsed="false">
      <c r="A237" s="22" t="s">
        <v>151</v>
      </c>
      <c r="C237" s="25" t="n">
        <v>59</v>
      </c>
      <c r="D237" s="25" t="n">
        <v>-10</v>
      </c>
      <c r="E237" s="25" t="n">
        <v>-10</v>
      </c>
      <c r="F237" s="26" t="n">
        <f aca="false">-10-29</f>
        <v>-39</v>
      </c>
      <c r="G237" s="25" t="n">
        <v>0</v>
      </c>
      <c r="H237" s="25" t="n">
        <v>0</v>
      </c>
      <c r="I237" s="25" t="n">
        <v>0</v>
      </c>
      <c r="J237" s="25" t="n">
        <v>0</v>
      </c>
      <c r="K237" s="25" t="n">
        <v>0</v>
      </c>
      <c r="L237" s="25" t="n">
        <v>0</v>
      </c>
      <c r="M237" s="25" t="n">
        <v>0</v>
      </c>
      <c r="N237" s="25" t="n">
        <v>0</v>
      </c>
      <c r="O237" s="25" t="n">
        <v>0</v>
      </c>
      <c r="P237" s="21" t="n">
        <f aca="false">SUM(D237:O237)</f>
        <v>-59</v>
      </c>
      <c r="Q237" s="25" t="n">
        <f aca="false">SUM(D237:J237)</f>
        <v>-59</v>
      </c>
      <c r="R237" s="21" t="n">
        <f aca="false">P237-Q237</f>
        <v>0</v>
      </c>
    </row>
    <row r="238" customFormat="false" ht="14.65" hidden="false" customHeight="false" outlineLevel="0" collapsed="false">
      <c r="A238" s="22" t="s">
        <v>40</v>
      </c>
      <c r="C238" s="25" t="n">
        <v>0</v>
      </c>
      <c r="D238" s="25" t="n">
        <v>0</v>
      </c>
      <c r="E238" s="25" t="n">
        <v>0</v>
      </c>
      <c r="F238" s="25" t="n">
        <v>0</v>
      </c>
      <c r="G238" s="25" t="n">
        <v>0</v>
      </c>
      <c r="H238" s="25" t="n">
        <v>0</v>
      </c>
      <c r="I238" s="25" t="n">
        <v>0</v>
      </c>
      <c r="J238" s="25" t="n">
        <v>0</v>
      </c>
      <c r="K238" s="25" t="n">
        <v>0</v>
      </c>
      <c r="L238" s="25" t="n">
        <v>0</v>
      </c>
      <c r="M238" s="25" t="n">
        <v>0</v>
      </c>
      <c r="N238" s="25" t="n">
        <v>0</v>
      </c>
      <c r="O238" s="25" t="n">
        <v>0</v>
      </c>
      <c r="P238" s="21" t="n">
        <f aca="false">SUM(D238:O238)</f>
        <v>0</v>
      </c>
      <c r="Q238" s="25" t="n">
        <f aca="false">SUM(D238:J238)</f>
        <v>0</v>
      </c>
      <c r="R238" s="21" t="n">
        <f aca="false">P238-Q238</f>
        <v>0</v>
      </c>
    </row>
    <row r="239" customFormat="false" ht="14.65" hidden="false" customHeight="false" outlineLevel="0" collapsed="false">
      <c r="A239" s="22" t="s">
        <v>152</v>
      </c>
      <c r="C239" s="25" t="n">
        <v>875</v>
      </c>
      <c r="D239" s="25" t="n">
        <v>-12</v>
      </c>
      <c r="E239" s="25" t="n">
        <v>-13</v>
      </c>
      <c r="F239" s="25" t="n">
        <v>-12</v>
      </c>
      <c r="G239" s="25" t="n">
        <v>-13</v>
      </c>
      <c r="H239" s="25" t="n">
        <v>-12</v>
      </c>
      <c r="I239" s="25" t="n">
        <v>-13</v>
      </c>
      <c r="J239" s="25" t="n">
        <v>-12</v>
      </c>
      <c r="K239" s="25" t="n">
        <v>-13</v>
      </c>
      <c r="L239" s="25" t="n">
        <v>-12</v>
      </c>
      <c r="M239" s="25" t="n">
        <v>-13</v>
      </c>
      <c r="N239" s="25" t="n">
        <v>-12</v>
      </c>
      <c r="O239" s="25" t="n">
        <v>-13</v>
      </c>
      <c r="P239" s="21" t="n">
        <f aca="false">SUM(D239:O239)</f>
        <v>-150</v>
      </c>
      <c r="Q239" s="25" t="n">
        <f aca="false">SUM(D239:J239)</f>
        <v>-87</v>
      </c>
      <c r="R239" s="21" t="n">
        <f aca="false">P239-Q239</f>
        <v>-63</v>
      </c>
    </row>
    <row r="240" customFormat="false" ht="14.65" hidden="false" customHeight="false" outlineLevel="0" collapsed="false">
      <c r="A240" s="22" t="s">
        <v>40</v>
      </c>
      <c r="C240" s="25" t="n">
        <v>0</v>
      </c>
      <c r="D240" s="25" t="n">
        <v>0</v>
      </c>
      <c r="E240" s="25" t="n">
        <v>0</v>
      </c>
      <c r="F240" s="25" t="n">
        <v>0</v>
      </c>
      <c r="G240" s="26" t="n">
        <v>0</v>
      </c>
      <c r="H240" s="26" t="n">
        <v>0</v>
      </c>
      <c r="I240" s="26" t="n">
        <v>0</v>
      </c>
      <c r="J240" s="26" t="n">
        <v>0</v>
      </c>
      <c r="K240" s="26" t="n">
        <v>0</v>
      </c>
      <c r="L240" s="26" t="n">
        <v>0</v>
      </c>
      <c r="M240" s="26" t="n">
        <v>0</v>
      </c>
      <c r="N240" s="26" t="n">
        <v>0</v>
      </c>
      <c r="O240" s="26" t="n">
        <v>0</v>
      </c>
      <c r="P240" s="21" t="n">
        <f aca="false">SUM(D240:O240)</f>
        <v>0</v>
      </c>
      <c r="Q240" s="25" t="n">
        <f aca="false">SUM(D240:J240)</f>
        <v>0</v>
      </c>
      <c r="R240" s="21" t="n">
        <f aca="false">P240-Q240</f>
        <v>0</v>
      </c>
    </row>
    <row r="241" customFormat="false" ht="14.65" hidden="false" customHeight="false" outlineLevel="0" collapsed="false">
      <c r="A241" s="22" t="s">
        <v>153</v>
      </c>
      <c r="C241" s="25" t="n">
        <v>0</v>
      </c>
      <c r="D241" s="25" t="n">
        <v>0</v>
      </c>
      <c r="E241" s="25" t="n">
        <v>0</v>
      </c>
      <c r="F241" s="25" t="n">
        <v>0</v>
      </c>
      <c r="G241" s="26" t="n">
        <f aca="false">838-838</f>
        <v>0</v>
      </c>
      <c r="H241" s="26" t="n">
        <f aca="false">838-838</f>
        <v>0</v>
      </c>
      <c r="I241" s="26" t="n">
        <f aca="false">838-838</f>
        <v>0</v>
      </c>
      <c r="J241" s="26" t="n">
        <f aca="false">838-838</f>
        <v>0</v>
      </c>
      <c r="K241" s="26" t="n">
        <f aca="false">838-838</f>
        <v>0</v>
      </c>
      <c r="L241" s="26" t="n">
        <f aca="false">838-838</f>
        <v>0</v>
      </c>
      <c r="M241" s="26" t="n">
        <f aca="false">838-838</f>
        <v>0</v>
      </c>
      <c r="N241" s="26" t="n">
        <f aca="false">838-838</f>
        <v>0</v>
      </c>
      <c r="O241" s="26" t="n">
        <f aca="false">838-838</f>
        <v>0</v>
      </c>
      <c r="P241" s="21" t="n">
        <f aca="false">SUM(D241:O241)</f>
        <v>0</v>
      </c>
      <c r="Q241" s="25" t="n">
        <f aca="false">SUM(D241:J241)</f>
        <v>0</v>
      </c>
      <c r="R241" s="21" t="n">
        <f aca="false">P241-Q241</f>
        <v>0</v>
      </c>
    </row>
    <row r="242" customFormat="false" ht="14.65" hidden="false" customHeight="false" outlineLevel="0" collapsed="false">
      <c r="A242" s="22" t="s">
        <v>154</v>
      </c>
      <c r="C242" s="25" t="n">
        <v>0</v>
      </c>
      <c r="D242" s="25" t="n">
        <v>0</v>
      </c>
      <c r="E242" s="25" t="n">
        <v>0</v>
      </c>
      <c r="F242" s="25" t="n">
        <v>0</v>
      </c>
      <c r="G242" s="25" t="n">
        <v>0</v>
      </c>
      <c r="H242" s="25" t="n">
        <v>0</v>
      </c>
      <c r="I242" s="25" t="n">
        <v>0</v>
      </c>
      <c r="J242" s="25" t="n">
        <v>0</v>
      </c>
      <c r="K242" s="25" t="n">
        <v>0</v>
      </c>
      <c r="L242" s="25" t="n">
        <v>0</v>
      </c>
      <c r="M242" s="25" t="n">
        <v>0</v>
      </c>
      <c r="N242" s="25" t="n">
        <v>0</v>
      </c>
      <c r="O242" s="25" t="n">
        <v>0</v>
      </c>
      <c r="P242" s="21" t="n">
        <f aca="false">SUM(D242:O242)</f>
        <v>0</v>
      </c>
      <c r="Q242" s="25" t="n">
        <f aca="false">SUM(D242:J242)</f>
        <v>0</v>
      </c>
      <c r="R242" s="21" t="n">
        <f aca="false">P242-Q242</f>
        <v>0</v>
      </c>
    </row>
    <row r="243" customFormat="false" ht="14.65" hidden="false" customHeight="false" outlineLevel="0" collapsed="false">
      <c r="A243" s="22" t="s">
        <v>28</v>
      </c>
      <c r="C243" s="23" t="n">
        <v>0</v>
      </c>
      <c r="D243" s="23" t="n">
        <v>0</v>
      </c>
      <c r="E243" s="23" t="n">
        <v>0</v>
      </c>
      <c r="F243" s="23" t="n">
        <v>0</v>
      </c>
      <c r="G243" s="23" t="n">
        <v>0</v>
      </c>
      <c r="H243" s="23" t="n">
        <v>0</v>
      </c>
      <c r="I243" s="23" t="n">
        <v>0</v>
      </c>
      <c r="J243" s="23" t="n">
        <v>0</v>
      </c>
      <c r="K243" s="23" t="n">
        <v>0</v>
      </c>
      <c r="L243" s="23" t="n">
        <v>0</v>
      </c>
      <c r="M243" s="23" t="n">
        <v>0</v>
      </c>
      <c r="N243" s="23" t="n">
        <v>0</v>
      </c>
      <c r="O243" s="23" t="n">
        <v>0</v>
      </c>
      <c r="P243" s="24" t="n">
        <f aca="false">SUM(D243:O243)</f>
        <v>0</v>
      </c>
      <c r="Q243" s="23" t="n">
        <f aca="false">SUM(D243:J243)</f>
        <v>0</v>
      </c>
      <c r="R243" s="24" t="n">
        <f aca="false">P243-Q243</f>
        <v>0</v>
      </c>
    </row>
    <row r="244" customFormat="false" ht="3.95" hidden="false" customHeight="true" outlineLevel="0" collapsed="false"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</row>
    <row r="245" customFormat="false" ht="14.65" hidden="false" customHeight="false" outlineLevel="0" collapsed="false">
      <c r="A245" s="20" t="s">
        <v>155</v>
      </c>
      <c r="C245" s="21" t="n">
        <f aca="false">SUM(C232:C244)</f>
        <v>2254</v>
      </c>
      <c r="D245" s="21" t="n">
        <f aca="false">SUM(D231:D244)</f>
        <v>2205</v>
      </c>
      <c r="E245" s="21" t="n">
        <f aca="false">SUM(E231:E244)</f>
        <v>2928</v>
      </c>
      <c r="F245" s="21" t="n">
        <f aca="false">SUM(F231:F244)</f>
        <v>2560</v>
      </c>
      <c r="G245" s="21" t="n">
        <f aca="false">SUM(G231:G244)</f>
        <v>2828</v>
      </c>
      <c r="H245" s="21" t="n">
        <f aca="false">SUM(H231:H244)</f>
        <v>3401</v>
      </c>
      <c r="I245" s="21" t="n">
        <f aca="false">SUM(I231:I244)</f>
        <v>3786</v>
      </c>
      <c r="J245" s="21" t="n">
        <f aca="false">SUM(J231:J244)</f>
        <v>4026</v>
      </c>
      <c r="K245" s="21" t="n">
        <f aca="false">SUM(K231:K244)</f>
        <v>4013</v>
      </c>
      <c r="L245" s="21" t="n">
        <f aca="false">SUM(L231:L244)</f>
        <v>4001</v>
      </c>
      <c r="M245" s="21" t="n">
        <f aca="false">SUM(M231:M244)</f>
        <v>3988</v>
      </c>
      <c r="N245" s="21" t="n">
        <f aca="false">SUM(N231:N244)</f>
        <v>3976</v>
      </c>
      <c r="O245" s="21" t="n">
        <f aca="false">SUM(O231:O244)</f>
        <v>3963</v>
      </c>
      <c r="P245" s="21"/>
    </row>
    <row r="246" customFormat="false" ht="3.95" hidden="false" customHeight="true" outlineLevel="0" collapsed="false"/>
    <row r="247" customFormat="false" ht="14.65" hidden="false" customHeight="false" outlineLevel="0" collapsed="false">
      <c r="A247" s="22" t="s">
        <v>30</v>
      </c>
      <c r="C247" s="21"/>
      <c r="D247" s="21" t="n">
        <f aca="false">D245-C245</f>
        <v>-49</v>
      </c>
      <c r="E247" s="21" t="n">
        <f aca="false">E245-D245</f>
        <v>723</v>
      </c>
      <c r="F247" s="21" t="n">
        <f aca="false">F245-E245</f>
        <v>-368</v>
      </c>
      <c r="G247" s="21" t="n">
        <f aca="false">G245-F245</f>
        <v>268</v>
      </c>
      <c r="H247" s="21" t="n">
        <f aca="false">H245-G245</f>
        <v>573</v>
      </c>
      <c r="I247" s="21" t="n">
        <f aca="false">I245-H245</f>
        <v>385</v>
      </c>
      <c r="J247" s="21" t="n">
        <f aca="false">J245-I245</f>
        <v>240</v>
      </c>
      <c r="K247" s="21" t="n">
        <f aca="false">K245-J245</f>
        <v>-13</v>
      </c>
      <c r="L247" s="21" t="n">
        <f aca="false">L245-K245</f>
        <v>-12</v>
      </c>
      <c r="M247" s="21" t="n">
        <f aca="false">M245-L245</f>
        <v>-13</v>
      </c>
      <c r="N247" s="21" t="n">
        <f aca="false">N245-M245</f>
        <v>-12</v>
      </c>
      <c r="O247" s="21" t="n">
        <f aca="false">O245-N245</f>
        <v>-13</v>
      </c>
      <c r="P247" s="21" t="n">
        <f aca="false">SUM(D247:O247)</f>
        <v>1709</v>
      </c>
      <c r="Q247" s="21" t="n">
        <f aca="false">SUM(Q232:Q244)</f>
        <v>1772</v>
      </c>
      <c r="R247" s="21" t="n">
        <f aca="false">P247-Q247</f>
        <v>-63</v>
      </c>
    </row>
    <row r="248" customFormat="false" ht="6" hidden="false" customHeight="true" outlineLevel="0" collapsed="false"/>
    <row r="249" customFormat="false" ht="14.65" hidden="false" customHeight="false" outlineLevel="0" collapsed="false">
      <c r="A249" s="20" t="s">
        <v>156</v>
      </c>
      <c r="C249" s="36" t="n">
        <f aca="false">C13+C34+C42+C53+C60+C67+C98+C107+C116+C124+C142-C157+C167+C177+C226+C245-C284-C449</f>
        <v>1372399</v>
      </c>
      <c r="D249" s="36" t="n">
        <f aca="false">D13+D34+D42+D53+D60+D67+D98+D107+D116+D124+D142-D157+D167+D177+D226+D245-D284-D449</f>
        <v>1382503</v>
      </c>
      <c r="E249" s="36" t="n">
        <f aca="false">E13+E34+E42+E53+E60+E67+E98+E107+E116+E124+E142-E157+E167+E177+E226+E245-E284-E449</f>
        <v>1391026</v>
      </c>
      <c r="F249" s="36" t="n">
        <f aca="false">F13+F34+F42+F53+F60+F67+F98+F107+F116+F124+F142-F157+F167+F177+F226+F245-F284-F449</f>
        <v>1416581</v>
      </c>
      <c r="G249" s="36" t="n">
        <f aca="false">G13+G34+G42+G53+G60+G67+G98+G107+G116+G124+G142-G157+G167+G177+G226+G245-G284-G449</f>
        <v>1408881</v>
      </c>
      <c r="H249" s="36" t="n">
        <f aca="false">H13+H34+H42+H53+H60+H67+H98+H107+H116+H124+H142-H157+H167+H177+H226+H245-H284-H449</f>
        <v>1428255</v>
      </c>
      <c r="I249" s="36" t="n">
        <f aca="false">I13+I34+I42+I53+I60+I67+I98+I107+I116+I124+I142-I157+I167+I177+I226+I245-I284-I449</f>
        <v>1295684</v>
      </c>
      <c r="J249" s="36" t="n">
        <f aca="false">J13+J34+J42+J53+J60+J67+J98+J107+J116+J124+J142-J157+J167+J177+J226+J245-J284-J449</f>
        <v>1301464</v>
      </c>
      <c r="K249" s="36" t="n">
        <f aca="false">K13+K34+K42+K53+K60+K67+K98+K107+K116+K124+K142-K157+K167+K177+K226+K245-K284-K449</f>
        <v>1314458</v>
      </c>
      <c r="L249" s="36" t="n">
        <f aca="false">L13+L34+L42+L53+L60+L67+L98+L107+L116+L124+L142-L157+L167+L177+L226+L245-L284-L449</f>
        <v>1322980</v>
      </c>
      <c r="M249" s="36" t="n">
        <f aca="false">M13+M34+M42+M53+M60+M67+M98+M107+M116+M124+M142-M157+M167+M177+M226+M245-M284-M449</f>
        <v>1331016</v>
      </c>
      <c r="N249" s="36" t="n">
        <f aca="false">N13+N34+N42+N53+N60+N67+N98+N107+N116+N124+N142-N157+N167+N177+N226+N245-N284-N449</f>
        <v>1333872</v>
      </c>
      <c r="O249" s="36" t="n">
        <f aca="false">O13+O34+O42+O53+O60+O67+O98+O107+O116+O124+O142-O157+O167+O177+O226+O245-O284-O449</f>
        <v>1338501</v>
      </c>
    </row>
    <row r="250" customFormat="false" ht="6" hidden="false" customHeight="true" outlineLevel="0" collapsed="false"/>
    <row r="251" customFormat="false" ht="14.65" hidden="false" customHeight="false" outlineLevel="0" collapsed="false">
      <c r="A251" s="22" t="s">
        <v>157</v>
      </c>
      <c r="D251" s="21" t="n">
        <f aca="false">D249-C249</f>
        <v>10104</v>
      </c>
      <c r="E251" s="21" t="n">
        <f aca="false">E249-D249</f>
        <v>8523</v>
      </c>
      <c r="F251" s="21" t="n">
        <f aca="false">F249-E249</f>
        <v>25555</v>
      </c>
      <c r="G251" s="21" t="n">
        <f aca="false">G249-F249</f>
        <v>-7700</v>
      </c>
      <c r="H251" s="21" t="n">
        <f aca="false">H249-G249</f>
        <v>19374</v>
      </c>
      <c r="I251" s="21" t="n">
        <f aca="false">I249-H249</f>
        <v>-132571</v>
      </c>
      <c r="J251" s="21" t="n">
        <f aca="false">J249-I249</f>
        <v>5780</v>
      </c>
      <c r="K251" s="21" t="n">
        <f aca="false">K249-J249</f>
        <v>12994</v>
      </c>
      <c r="L251" s="21" t="n">
        <f aca="false">L249-K249</f>
        <v>8522</v>
      </c>
      <c r="M251" s="21" t="n">
        <f aca="false">M249-L249</f>
        <v>8036</v>
      </c>
      <c r="N251" s="21" t="n">
        <f aca="false">N249-M249</f>
        <v>2856</v>
      </c>
      <c r="O251" s="21" t="n">
        <f aca="false">O249-N249</f>
        <v>4629</v>
      </c>
      <c r="P251" s="21" t="n">
        <f aca="false">SUM(D251:O251)</f>
        <v>-33898</v>
      </c>
      <c r="Q251" s="25" t="n">
        <f aca="false">SUM(D251:J251)</f>
        <v>-70935</v>
      </c>
      <c r="R251" s="21" t="n">
        <f aca="false">P251-Q251</f>
        <v>37037</v>
      </c>
    </row>
    <row r="253" customFormat="false" ht="8.1" hidden="false" customHeight="true" outlineLevel="0" collapsed="false"/>
    <row r="256" customFormat="false" ht="14.65" hidden="false" customHeight="false" outlineLevel="0" collapsed="false">
      <c r="A256" s="20" t="s">
        <v>158</v>
      </c>
      <c r="C256" s="26" t="n">
        <f aca="false">12715-10554</f>
        <v>2161</v>
      </c>
      <c r="D256" s="21" t="n">
        <f aca="false">C275</f>
        <v>7735</v>
      </c>
      <c r="E256" s="21" t="n">
        <f aca="false">D275</f>
        <v>10169</v>
      </c>
      <c r="F256" s="21" t="n">
        <f aca="false">E275</f>
        <v>9207</v>
      </c>
      <c r="G256" s="21" t="n">
        <f aca="false">F275</f>
        <v>20539</v>
      </c>
      <c r="H256" s="21" t="n">
        <f aca="false">G275</f>
        <v>8787</v>
      </c>
      <c r="I256" s="21" t="n">
        <f aca="false">H275</f>
        <v>8434</v>
      </c>
      <c r="J256" s="21" t="n">
        <f aca="false">I275</f>
        <v>10259</v>
      </c>
      <c r="K256" s="21" t="n">
        <f aca="false">J275</f>
        <v>7327</v>
      </c>
      <c r="L256" s="21" t="n">
        <f aca="false">K275</f>
        <v>7327</v>
      </c>
      <c r="M256" s="21" t="n">
        <f aca="false">L275</f>
        <v>7327</v>
      </c>
      <c r="N256" s="21" t="n">
        <f aca="false">M275</f>
        <v>7327</v>
      </c>
      <c r="O256" s="21" t="n">
        <f aca="false">N275</f>
        <v>7327</v>
      </c>
    </row>
    <row r="257" customFormat="false" ht="14.65" hidden="false" customHeight="false" outlineLevel="0" collapsed="false">
      <c r="A257" s="22" t="s">
        <v>32</v>
      </c>
      <c r="C257" s="25" t="n">
        <v>0</v>
      </c>
      <c r="D257" s="21" t="n">
        <f aca="false">-C266</f>
        <v>-0</v>
      </c>
      <c r="E257" s="21" t="n">
        <f aca="false">-D266</f>
        <v>-0</v>
      </c>
      <c r="F257" s="21" t="n">
        <f aca="false">-E266</f>
        <v>-0</v>
      </c>
      <c r="G257" s="21" t="n">
        <f aca="false">-F266</f>
        <v>-0</v>
      </c>
      <c r="H257" s="21" t="n">
        <f aca="false">-G266</f>
        <v>-0</v>
      </c>
      <c r="I257" s="21" t="n">
        <f aca="false">-H266</f>
        <v>-0</v>
      </c>
      <c r="J257" s="21" t="n">
        <f aca="false">-I266</f>
        <v>-0</v>
      </c>
      <c r="K257" s="21" t="n">
        <f aca="false">-J266</f>
        <v>-0</v>
      </c>
      <c r="L257" s="21" t="n">
        <f aca="false">-K266</f>
        <v>-0</v>
      </c>
      <c r="M257" s="21" t="n">
        <f aca="false">-L266</f>
        <v>-0</v>
      </c>
      <c r="N257" s="21" t="n">
        <f aca="false">-M266</f>
        <v>-0</v>
      </c>
      <c r="O257" s="21" t="n">
        <f aca="false">-N266</f>
        <v>-0</v>
      </c>
    </row>
    <row r="258" customFormat="false" ht="8.1" hidden="false" customHeight="true" outlineLevel="0" collapsed="false">
      <c r="C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</row>
    <row r="259" customFormat="false" ht="14.65" hidden="false" customHeight="false" outlineLevel="0" collapsed="false">
      <c r="A259" s="22" t="s">
        <v>159</v>
      </c>
      <c r="B259" s="27" t="s">
        <v>160</v>
      </c>
      <c r="C259" s="25" t="n">
        <v>0</v>
      </c>
      <c r="D259" s="25" t="n">
        <v>0</v>
      </c>
      <c r="E259" s="25" t="n">
        <v>0</v>
      </c>
      <c r="F259" s="25" t="n">
        <v>0</v>
      </c>
      <c r="G259" s="25" t="n">
        <v>0</v>
      </c>
      <c r="H259" s="25" t="n">
        <v>0</v>
      </c>
      <c r="I259" s="25" t="n">
        <v>0</v>
      </c>
      <c r="J259" s="25" t="n">
        <v>0</v>
      </c>
      <c r="K259" s="25" t="n">
        <v>0</v>
      </c>
      <c r="L259" s="25" t="n">
        <v>0</v>
      </c>
      <c r="M259" s="25" t="n">
        <v>0</v>
      </c>
      <c r="N259" s="25" t="n">
        <v>0</v>
      </c>
      <c r="O259" s="25" t="n">
        <v>0</v>
      </c>
      <c r="P259" s="21" t="n">
        <f aca="false">SUM(D259:O259)</f>
        <v>0</v>
      </c>
      <c r="Q259" s="25" t="n">
        <f aca="false">SUM(D259:J259)</f>
        <v>0</v>
      </c>
      <c r="R259" s="21" t="n">
        <f aca="false">P259-Q259</f>
        <v>0</v>
      </c>
    </row>
    <row r="260" customFormat="false" ht="14.65" hidden="false" customHeight="false" outlineLevel="0" collapsed="false">
      <c r="A260" s="22" t="s">
        <v>161</v>
      </c>
      <c r="B260" s="27" t="s">
        <v>160</v>
      </c>
      <c r="C260" s="25" t="n">
        <v>0</v>
      </c>
      <c r="D260" s="25" t="n">
        <v>0</v>
      </c>
      <c r="E260" s="25" t="n">
        <v>0</v>
      </c>
      <c r="F260" s="25" t="n">
        <v>0</v>
      </c>
      <c r="G260" s="25" t="n">
        <v>0</v>
      </c>
      <c r="H260" s="25" t="n">
        <v>0</v>
      </c>
      <c r="I260" s="25" t="n">
        <v>0</v>
      </c>
      <c r="J260" s="25" t="n">
        <v>0</v>
      </c>
      <c r="K260" s="25" t="n">
        <v>0</v>
      </c>
      <c r="L260" s="25" t="n">
        <v>0</v>
      </c>
      <c r="M260" s="25" t="n">
        <v>0</v>
      </c>
      <c r="N260" s="25" t="n">
        <v>0</v>
      </c>
      <c r="O260" s="25" t="n">
        <v>0</v>
      </c>
      <c r="P260" s="21" t="n">
        <f aca="false">SUM(D260:O260)</f>
        <v>0</v>
      </c>
      <c r="Q260" s="25" t="n">
        <f aca="false">SUM(D260:J260)</f>
        <v>0</v>
      </c>
      <c r="R260" s="21" t="n">
        <f aca="false">P260-Q260</f>
        <v>0</v>
      </c>
    </row>
    <row r="261" customFormat="false" ht="14.65" hidden="false" customHeight="false" outlineLevel="0" collapsed="false">
      <c r="A261" s="22" t="s">
        <v>162</v>
      </c>
      <c r="B261" s="27" t="s">
        <v>160</v>
      </c>
      <c r="C261" s="25" t="n">
        <v>0</v>
      </c>
      <c r="D261" s="25" t="n">
        <v>0</v>
      </c>
      <c r="E261" s="25" t="n">
        <v>0</v>
      </c>
      <c r="F261" s="25" t="n">
        <v>0</v>
      </c>
      <c r="G261" s="25" t="n">
        <v>0</v>
      </c>
      <c r="H261" s="25" t="n">
        <v>0</v>
      </c>
      <c r="I261" s="25" t="n">
        <v>0</v>
      </c>
      <c r="J261" s="25" t="n">
        <v>0</v>
      </c>
      <c r="K261" s="25" t="n">
        <v>0</v>
      </c>
      <c r="L261" s="25" t="n">
        <v>0</v>
      </c>
      <c r="M261" s="25" t="n">
        <v>0</v>
      </c>
      <c r="N261" s="25" t="n">
        <v>0</v>
      </c>
      <c r="O261" s="25" t="n">
        <v>0</v>
      </c>
      <c r="P261" s="21" t="n">
        <f aca="false">SUM(D261:O261)</f>
        <v>0</v>
      </c>
      <c r="Q261" s="25" t="n">
        <f aca="false">SUM(D261:J261)</f>
        <v>0</v>
      </c>
      <c r="R261" s="21" t="n">
        <f aca="false">P261-Q261</f>
        <v>0</v>
      </c>
    </row>
    <row r="262" customFormat="false" ht="14.65" hidden="false" customHeight="false" outlineLevel="0" collapsed="false">
      <c r="A262" s="22" t="s">
        <v>40</v>
      </c>
      <c r="C262" s="25" t="n">
        <v>0</v>
      </c>
      <c r="D262" s="25" t="n">
        <v>0</v>
      </c>
      <c r="E262" s="25" t="n">
        <v>0</v>
      </c>
      <c r="F262" s="25" t="n">
        <v>0</v>
      </c>
      <c r="G262" s="25" t="n">
        <v>0</v>
      </c>
      <c r="H262" s="25" t="n">
        <v>0</v>
      </c>
      <c r="I262" s="25" t="n">
        <v>0</v>
      </c>
      <c r="J262" s="25" t="n">
        <v>0</v>
      </c>
      <c r="K262" s="25" t="n">
        <v>0</v>
      </c>
      <c r="L262" s="25" t="n">
        <v>0</v>
      </c>
      <c r="M262" s="25" t="n">
        <v>0</v>
      </c>
      <c r="N262" s="25" t="n">
        <v>0</v>
      </c>
      <c r="O262" s="25" t="n">
        <v>0</v>
      </c>
      <c r="P262" s="21" t="n">
        <f aca="false">SUM(D262:O262)</f>
        <v>0</v>
      </c>
      <c r="Q262" s="25" t="n">
        <f aca="false">SUM(D262:J262)</f>
        <v>0</v>
      </c>
      <c r="R262" s="21" t="n">
        <f aca="false">P262-Q262</f>
        <v>0</v>
      </c>
    </row>
    <row r="263" customFormat="false" ht="14.65" hidden="false" customHeight="false" outlineLevel="0" collapsed="false">
      <c r="A263" s="22" t="s">
        <v>163</v>
      </c>
      <c r="C263" s="25" t="n">
        <v>0</v>
      </c>
      <c r="D263" s="25" t="n">
        <v>0</v>
      </c>
      <c r="E263" s="25" t="n">
        <v>0</v>
      </c>
      <c r="F263" s="25" t="n">
        <v>0</v>
      </c>
      <c r="G263" s="25" t="n">
        <v>0</v>
      </c>
      <c r="H263" s="25" t="n">
        <v>0</v>
      </c>
      <c r="I263" s="25" t="n">
        <v>0</v>
      </c>
      <c r="J263" s="25" t="n">
        <v>0</v>
      </c>
      <c r="K263" s="25" t="n">
        <v>0</v>
      </c>
      <c r="L263" s="25" t="n">
        <v>0</v>
      </c>
      <c r="M263" s="25" t="n">
        <v>0</v>
      </c>
      <c r="N263" s="25" t="n">
        <v>0</v>
      </c>
      <c r="O263" s="25" t="n">
        <v>0</v>
      </c>
      <c r="P263" s="21" t="n">
        <f aca="false">SUM(D263:O263)</f>
        <v>0</v>
      </c>
      <c r="Q263" s="25" t="n">
        <f aca="false">SUM(D263:J263)</f>
        <v>0</v>
      </c>
      <c r="R263" s="21" t="n">
        <f aca="false">P263-Q263</f>
        <v>0</v>
      </c>
    </row>
    <row r="264" customFormat="false" ht="14.65" hidden="false" customHeight="false" outlineLevel="0" collapsed="false">
      <c r="A264" s="22" t="s">
        <v>28</v>
      </c>
      <c r="C264" s="23" t="n">
        <v>0</v>
      </c>
      <c r="D264" s="23" t="n">
        <v>0</v>
      </c>
      <c r="E264" s="23" t="n">
        <v>0</v>
      </c>
      <c r="F264" s="23" t="n">
        <v>0</v>
      </c>
      <c r="G264" s="23" t="n">
        <v>0</v>
      </c>
      <c r="H264" s="23" t="n">
        <v>0</v>
      </c>
      <c r="I264" s="23" t="n">
        <v>0</v>
      </c>
      <c r="J264" s="23" t="n">
        <v>0</v>
      </c>
      <c r="K264" s="23" t="n">
        <v>0</v>
      </c>
      <c r="L264" s="23" t="n">
        <v>0</v>
      </c>
      <c r="M264" s="23" t="n">
        <v>0</v>
      </c>
      <c r="N264" s="23" t="n">
        <v>0</v>
      </c>
      <c r="O264" s="23" t="n">
        <v>0</v>
      </c>
      <c r="P264" s="24" t="n">
        <f aca="false">SUM(D264:O264)</f>
        <v>0</v>
      </c>
      <c r="Q264" s="23" t="n">
        <f aca="false">SUM(D264:J264)</f>
        <v>0</v>
      </c>
      <c r="R264" s="24" t="n">
        <f aca="false">P264-Q264</f>
        <v>0</v>
      </c>
    </row>
    <row r="265" customFormat="false" ht="3.95" hidden="false" customHeight="true" outlineLevel="0" collapsed="false"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</row>
    <row r="266" customFormat="false" ht="14.65" hidden="false" customHeight="false" outlineLevel="0" collapsed="false">
      <c r="A266" s="22" t="s">
        <v>164</v>
      </c>
      <c r="C266" s="21" t="n">
        <f aca="false">SUM(C259:C265)</f>
        <v>0</v>
      </c>
      <c r="D266" s="21" t="n">
        <f aca="false">SUM(D259:D265)</f>
        <v>0</v>
      </c>
      <c r="E266" s="21" t="n">
        <f aca="false">SUM(E259:E265)</f>
        <v>0</v>
      </c>
      <c r="F266" s="21" t="n">
        <f aca="false">SUM(F259:F265)</f>
        <v>0</v>
      </c>
      <c r="G266" s="21" t="n">
        <f aca="false">SUM(G259:G265)</f>
        <v>0</v>
      </c>
      <c r="H266" s="21" t="n">
        <f aca="false">SUM(H259:H265)</f>
        <v>0</v>
      </c>
      <c r="I266" s="21" t="n">
        <f aca="false">SUM(I259:I265)</f>
        <v>0</v>
      </c>
      <c r="J266" s="21" t="n">
        <f aca="false">SUM(J259:J265)</f>
        <v>0</v>
      </c>
      <c r="K266" s="21" t="n">
        <f aca="false">SUM(K259:K265)</f>
        <v>0</v>
      </c>
      <c r="L266" s="21" t="n">
        <f aca="false">SUM(L259:L265)</f>
        <v>0</v>
      </c>
      <c r="M266" s="21" t="n">
        <f aca="false">SUM(M259:M265)</f>
        <v>0</v>
      </c>
      <c r="N266" s="21" t="n">
        <f aca="false">SUM(N259:N265)</f>
        <v>0</v>
      </c>
      <c r="O266" s="21" t="n">
        <f aca="false">SUM(O259:O265)</f>
        <v>0</v>
      </c>
      <c r="P266" s="21" t="n">
        <f aca="false">SUM(P259:P265)</f>
        <v>0</v>
      </c>
      <c r="Q266" s="21" t="n">
        <f aca="false">SUM(Q259:Q265)</f>
        <v>0</v>
      </c>
      <c r="R266" s="21" t="n">
        <f aca="false">P266-Q266</f>
        <v>0</v>
      </c>
    </row>
    <row r="267" customFormat="false" ht="6" hidden="false" customHeight="true" outlineLevel="0" collapsed="false"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customFormat="false" ht="14.65" hidden="false" customHeight="false" outlineLevel="0" collapsed="false">
      <c r="A268" s="22" t="s">
        <v>165</v>
      </c>
      <c r="C268" s="25" t="n">
        <v>0</v>
      </c>
      <c r="D268" s="25" t="n">
        <v>0</v>
      </c>
      <c r="E268" s="25" t="n">
        <v>0</v>
      </c>
      <c r="F268" s="25" t="n">
        <v>0</v>
      </c>
      <c r="G268" s="25" t="n">
        <v>0</v>
      </c>
      <c r="H268" s="25" t="n">
        <v>0</v>
      </c>
      <c r="I268" s="25" t="n">
        <v>0</v>
      </c>
      <c r="J268" s="25" t="n">
        <v>0</v>
      </c>
      <c r="K268" s="25" t="n">
        <v>0</v>
      </c>
      <c r="L268" s="25" t="n">
        <v>0</v>
      </c>
      <c r="M268" s="25" t="n">
        <v>0</v>
      </c>
      <c r="N268" s="25" t="n">
        <v>0</v>
      </c>
      <c r="O268" s="25" t="n">
        <v>0</v>
      </c>
      <c r="P268" s="21" t="n">
        <f aca="false">SUM(D268:O268)</f>
        <v>0</v>
      </c>
      <c r="Q268" s="25" t="n">
        <f aca="false">SUM(D268:J268)</f>
        <v>0</v>
      </c>
      <c r="R268" s="21" t="n">
        <f aca="false">P268-Q268</f>
        <v>0</v>
      </c>
      <c r="S268" s="21"/>
    </row>
    <row r="269" customFormat="false" ht="14.65" hidden="false" customHeight="false" outlineLevel="0" collapsed="false">
      <c r="A269" s="22" t="s">
        <v>40</v>
      </c>
      <c r="B269" s="27"/>
      <c r="C269" s="25" t="n">
        <v>0</v>
      </c>
      <c r="D269" s="25" t="n">
        <v>0</v>
      </c>
      <c r="E269" s="25" t="n">
        <v>0</v>
      </c>
      <c r="F269" s="25" t="n">
        <v>0</v>
      </c>
      <c r="G269" s="25" t="n">
        <v>0</v>
      </c>
      <c r="H269" s="25" t="n">
        <v>0</v>
      </c>
      <c r="I269" s="25" t="n">
        <v>0</v>
      </c>
      <c r="J269" s="25" t="n">
        <v>0</v>
      </c>
      <c r="K269" s="25" t="n">
        <v>0</v>
      </c>
      <c r="L269" s="25" t="n">
        <v>0</v>
      </c>
      <c r="M269" s="25" t="n">
        <v>0</v>
      </c>
      <c r="N269" s="25" t="n">
        <v>0</v>
      </c>
      <c r="O269" s="25" t="n">
        <v>0</v>
      </c>
      <c r="P269" s="21" t="n">
        <f aca="false">SUM(D269:O269)</f>
        <v>0</v>
      </c>
      <c r="Q269" s="25" t="n">
        <f aca="false">SUM(D269:J269)</f>
        <v>0</v>
      </c>
      <c r="R269" s="21" t="n">
        <f aca="false">P269-Q269</f>
        <v>0</v>
      </c>
    </row>
    <row r="270" customFormat="false" ht="14.65" hidden="false" customHeight="false" outlineLevel="0" collapsed="false">
      <c r="A270" s="22" t="s">
        <v>166</v>
      </c>
      <c r="C270" s="25" t="n">
        <v>0</v>
      </c>
      <c r="D270" s="25" t="n">
        <v>0</v>
      </c>
      <c r="E270" s="25" t="n">
        <v>0</v>
      </c>
      <c r="F270" s="25" t="n">
        <v>12962</v>
      </c>
      <c r="G270" s="25" t="n">
        <v>-12962</v>
      </c>
      <c r="H270" s="25" t="n">
        <v>0</v>
      </c>
      <c r="I270" s="25" t="n">
        <v>0</v>
      </c>
      <c r="J270" s="25" t="n">
        <v>0</v>
      </c>
      <c r="K270" s="25" t="n">
        <v>0</v>
      </c>
      <c r="L270" s="25" t="n">
        <v>0</v>
      </c>
      <c r="M270" s="25" t="n">
        <v>0</v>
      </c>
      <c r="N270" s="25" t="n">
        <v>0</v>
      </c>
      <c r="O270" s="25" t="n">
        <v>0</v>
      </c>
      <c r="P270" s="21" t="n">
        <f aca="false">SUM(D270:O270)</f>
        <v>0</v>
      </c>
      <c r="Q270" s="25" t="n">
        <f aca="false">SUM(D270:J270)</f>
        <v>0</v>
      </c>
      <c r="R270" s="21" t="n">
        <f aca="false">P270-Q270</f>
        <v>0</v>
      </c>
    </row>
    <row r="271" customFormat="false" ht="14.65" hidden="false" customHeight="false" outlineLevel="0" collapsed="false">
      <c r="A271" s="22" t="s">
        <v>167</v>
      </c>
      <c r="C271" s="25" t="n">
        <v>1724</v>
      </c>
      <c r="D271" s="25" t="n">
        <v>2667</v>
      </c>
      <c r="E271" s="25" t="n">
        <v>-1215</v>
      </c>
      <c r="F271" s="25" t="n">
        <v>-2036</v>
      </c>
      <c r="G271" s="25" t="n">
        <v>246</v>
      </c>
      <c r="H271" s="25" t="n">
        <v>543</v>
      </c>
      <c r="I271" s="25" t="n">
        <v>-694</v>
      </c>
      <c r="J271" s="25" t="n">
        <v>-54</v>
      </c>
      <c r="K271" s="25" t="n">
        <v>0</v>
      </c>
      <c r="L271" s="25" t="n">
        <v>0</v>
      </c>
      <c r="M271" s="25" t="n">
        <v>0</v>
      </c>
      <c r="N271" s="25" t="n">
        <v>0</v>
      </c>
      <c r="O271" s="25" t="n">
        <v>0</v>
      </c>
      <c r="P271" s="21" t="n">
        <f aca="false">SUM(D271:O271)</f>
        <v>-543</v>
      </c>
      <c r="Q271" s="25" t="n">
        <f aca="false">SUM(D271:J271)</f>
        <v>-543</v>
      </c>
      <c r="R271" s="21" t="n">
        <f aca="false">P271-Q271</f>
        <v>0</v>
      </c>
    </row>
    <row r="272" customFormat="false" ht="14.65" hidden="false" customHeight="false" outlineLevel="0" collapsed="false">
      <c r="A272" s="22" t="s">
        <v>168</v>
      </c>
      <c r="C272" s="25" t="n">
        <v>3850</v>
      </c>
      <c r="D272" s="25" t="n">
        <v>0</v>
      </c>
      <c r="E272" s="25" t="n">
        <v>0</v>
      </c>
      <c r="F272" s="25" t="n">
        <v>0</v>
      </c>
      <c r="G272" s="25" t="n">
        <v>0</v>
      </c>
      <c r="H272" s="25" t="n">
        <v>0</v>
      </c>
      <c r="I272" s="25" t="n">
        <v>0</v>
      </c>
      <c r="J272" s="25" t="n">
        <v>0</v>
      </c>
      <c r="K272" s="25" t="n">
        <v>0</v>
      </c>
      <c r="L272" s="25" t="n">
        <v>0</v>
      </c>
      <c r="M272" s="25" t="n">
        <v>0</v>
      </c>
      <c r="N272" s="25" t="n">
        <v>0</v>
      </c>
      <c r="O272" s="25" t="n">
        <v>0</v>
      </c>
      <c r="P272" s="21" t="n">
        <f aca="false">SUM(D272:O272)</f>
        <v>0</v>
      </c>
      <c r="Q272" s="25" t="n">
        <f aca="false">SUM(D272:J272)</f>
        <v>0</v>
      </c>
      <c r="R272" s="21" t="n">
        <f aca="false">P272-Q272</f>
        <v>0</v>
      </c>
    </row>
    <row r="273" customFormat="false" ht="14.65" hidden="false" customHeight="false" outlineLevel="0" collapsed="false">
      <c r="A273" s="22" t="s">
        <v>40</v>
      </c>
      <c r="C273" s="23" t="n">
        <v>0</v>
      </c>
      <c r="D273" s="23" t="n">
        <v>-233</v>
      </c>
      <c r="E273" s="23" t="n">
        <v>253</v>
      </c>
      <c r="F273" s="23" t="n">
        <v>406</v>
      </c>
      <c r="G273" s="23" t="n">
        <v>964</v>
      </c>
      <c r="H273" s="23" t="n">
        <v>-896</v>
      </c>
      <c r="I273" s="23" t="n">
        <v>2519</v>
      </c>
      <c r="J273" s="23" t="n">
        <v>-2878</v>
      </c>
      <c r="K273" s="23" t="n">
        <v>0</v>
      </c>
      <c r="L273" s="23" t="n">
        <v>0</v>
      </c>
      <c r="M273" s="23" t="n">
        <v>0</v>
      </c>
      <c r="N273" s="23" t="n">
        <v>0</v>
      </c>
      <c r="O273" s="23" t="n">
        <v>0</v>
      </c>
      <c r="P273" s="24" t="n">
        <f aca="false">SUM(D273:O273)</f>
        <v>135</v>
      </c>
      <c r="Q273" s="23" t="n">
        <f aca="false">SUM(D273:J273)</f>
        <v>135</v>
      </c>
      <c r="R273" s="24" t="n">
        <f aca="false">P273-Q273</f>
        <v>0</v>
      </c>
    </row>
    <row r="274" customFormat="false" ht="3.95" hidden="false" customHeight="true" outlineLevel="0" collapsed="false"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</row>
    <row r="275" customFormat="false" ht="14.65" hidden="false" customHeight="false" outlineLevel="0" collapsed="false">
      <c r="A275" s="20" t="s">
        <v>169</v>
      </c>
      <c r="C275" s="21" t="n">
        <f aca="false">C256+C257+C266+SUM(C268:C273)</f>
        <v>7735</v>
      </c>
      <c r="D275" s="21" t="n">
        <f aca="false">D256+D257+D266+SUM(D268:D273)</f>
        <v>10169</v>
      </c>
      <c r="E275" s="21" t="n">
        <f aca="false">E256+E257+E266+SUM(E268:E273)</f>
        <v>9207</v>
      </c>
      <c r="F275" s="21" t="n">
        <f aca="false">F256+F257+F266+SUM(F268:F273)</f>
        <v>20539</v>
      </c>
      <c r="G275" s="21" t="n">
        <f aca="false">G256+G257+G266+SUM(G268:G273)</f>
        <v>8787</v>
      </c>
      <c r="H275" s="21" t="n">
        <f aca="false">H256+H257+H266+SUM(H268:H273)</f>
        <v>8434</v>
      </c>
      <c r="I275" s="21" t="n">
        <f aca="false">I256+I257+I266+SUM(I268:I273)</f>
        <v>10259</v>
      </c>
      <c r="J275" s="21" t="n">
        <f aca="false">J256+J257+J266+SUM(J268:J273)</f>
        <v>7327</v>
      </c>
      <c r="K275" s="21" t="n">
        <f aca="false">K256+K257+K266+SUM(K268:K273)</f>
        <v>7327</v>
      </c>
      <c r="L275" s="21" t="n">
        <f aca="false">L256+L257+L266+SUM(L268:L273)</f>
        <v>7327</v>
      </c>
      <c r="M275" s="21" t="n">
        <f aca="false">M256+M257+M266+SUM(M268:M273)</f>
        <v>7327</v>
      </c>
      <c r="N275" s="21" t="n">
        <f aca="false">N256+N257+N266+SUM(N268:N273)</f>
        <v>7327</v>
      </c>
      <c r="O275" s="21" t="n">
        <f aca="false">O256+O257+O266+SUM(O268:O273)</f>
        <v>7327</v>
      </c>
    </row>
    <row r="276" customFormat="false" ht="3.95" hidden="false" customHeight="true" outlineLevel="0" collapsed="false"/>
    <row r="277" customFormat="false" ht="14.65" hidden="false" customHeight="false" outlineLevel="0" collapsed="false">
      <c r="A277" s="22" t="s">
        <v>30</v>
      </c>
      <c r="D277" s="21" t="n">
        <f aca="false">D275-C275</f>
        <v>2434</v>
      </c>
      <c r="E277" s="21" t="n">
        <f aca="false">E275-D275</f>
        <v>-962</v>
      </c>
      <c r="F277" s="21" t="n">
        <f aca="false">F275-E275</f>
        <v>11332</v>
      </c>
      <c r="G277" s="21" t="n">
        <f aca="false">G275-F275</f>
        <v>-11752</v>
      </c>
      <c r="H277" s="21" t="n">
        <f aca="false">H275-G275</f>
        <v>-353</v>
      </c>
      <c r="I277" s="21" t="n">
        <f aca="false">I275-H275</f>
        <v>1825</v>
      </c>
      <c r="J277" s="21" t="n">
        <f aca="false">J275-I275</f>
        <v>-2932</v>
      </c>
      <c r="K277" s="21" t="n">
        <f aca="false">K275-J275</f>
        <v>0</v>
      </c>
      <c r="L277" s="21" t="n">
        <f aca="false">L275-K275</f>
        <v>0</v>
      </c>
      <c r="M277" s="21" t="n">
        <f aca="false">M275-L275</f>
        <v>0</v>
      </c>
      <c r="N277" s="21" t="n">
        <f aca="false">N275-M275</f>
        <v>0</v>
      </c>
      <c r="O277" s="21" t="n">
        <f aca="false">O275-N275</f>
        <v>0</v>
      </c>
      <c r="P277" s="21" t="n">
        <f aca="false">SUM(D277:O277)</f>
        <v>-408</v>
      </c>
      <c r="Q277" s="25" t="n">
        <f aca="false">SUM(D277:J277)</f>
        <v>-408</v>
      </c>
      <c r="R277" s="21" t="n">
        <f aca="false">P277-Q277</f>
        <v>0</v>
      </c>
    </row>
    <row r="279" customFormat="false" ht="14.65" hidden="false" customHeight="false" outlineLevel="0" collapsed="false">
      <c r="A279" s="20" t="s">
        <v>170</v>
      </c>
      <c r="C279" s="25" t="n">
        <v>0</v>
      </c>
      <c r="D279" s="21" t="n">
        <f aca="false">C284</f>
        <v>146935</v>
      </c>
      <c r="E279" s="21" t="n">
        <f aca="false">D284</f>
        <v>153155</v>
      </c>
      <c r="F279" s="21" t="n">
        <f aca="false">E284</f>
        <v>161015</v>
      </c>
      <c r="G279" s="21" t="n">
        <f aca="false">F284</f>
        <v>166023</v>
      </c>
      <c r="H279" s="21" t="n">
        <f aca="false">G284</f>
        <v>183650</v>
      </c>
      <c r="I279" s="21" t="n">
        <f aca="false">H284</f>
        <v>189083</v>
      </c>
      <c r="J279" s="21" t="n">
        <f aca="false">I284</f>
        <v>194082</v>
      </c>
      <c r="K279" s="21" t="n">
        <f aca="false">J284</f>
        <v>199390</v>
      </c>
      <c r="L279" s="21" t="n">
        <f aca="false">K284</f>
        <v>204790</v>
      </c>
      <c r="M279" s="21" t="n">
        <f aca="false">L284</f>
        <v>209690</v>
      </c>
      <c r="N279" s="21" t="n">
        <f aca="false">M284</f>
        <v>211690</v>
      </c>
      <c r="O279" s="21" t="n">
        <f aca="false">N284</f>
        <v>217490</v>
      </c>
      <c r="P279" s="21"/>
    </row>
    <row r="280" customFormat="false" ht="14.65" hidden="false" customHeight="false" outlineLevel="0" collapsed="false">
      <c r="A280" s="22" t="s">
        <v>171</v>
      </c>
      <c r="C280" s="25" t="n">
        <v>146935</v>
      </c>
      <c r="D280" s="25" t="n">
        <v>6220</v>
      </c>
      <c r="E280" s="25" t="n">
        <v>7860</v>
      </c>
      <c r="F280" s="25" t="n">
        <v>5008</v>
      </c>
      <c r="G280" s="25" t="n">
        <v>17627</v>
      </c>
      <c r="H280" s="25" t="n">
        <v>5433</v>
      </c>
      <c r="I280" s="25" t="n">
        <v>4999</v>
      </c>
      <c r="J280" s="25" t="n">
        <v>5308</v>
      </c>
      <c r="K280" s="25" t="n">
        <v>5400</v>
      </c>
      <c r="L280" s="25" t="n">
        <v>4900</v>
      </c>
      <c r="M280" s="25" t="n">
        <v>2000</v>
      </c>
      <c r="N280" s="25" t="n">
        <v>5800</v>
      </c>
      <c r="O280" s="25" t="n">
        <v>5400</v>
      </c>
      <c r="P280" s="21" t="n">
        <f aca="false">SUM(D280:O280)</f>
        <v>75955</v>
      </c>
      <c r="Q280" s="25" t="n">
        <f aca="false">SUM(D280:J280)</f>
        <v>52455</v>
      </c>
      <c r="R280" s="21" t="n">
        <f aca="false">P280-Q280</f>
        <v>23500</v>
      </c>
    </row>
    <row r="281" customFormat="false" ht="14.65" hidden="false" customHeight="false" outlineLevel="0" collapsed="false">
      <c r="A281" s="22" t="s">
        <v>172</v>
      </c>
      <c r="B281" s="27" t="s">
        <v>173</v>
      </c>
      <c r="C281" s="25" t="n">
        <v>0</v>
      </c>
      <c r="D281" s="25" t="n">
        <v>0</v>
      </c>
      <c r="E281" s="25" t="n">
        <v>0</v>
      </c>
      <c r="F281" s="25" t="n">
        <v>0</v>
      </c>
      <c r="G281" s="25" t="n">
        <v>0</v>
      </c>
      <c r="H281" s="25" t="n">
        <v>0</v>
      </c>
      <c r="I281" s="25" t="n">
        <v>0</v>
      </c>
      <c r="J281" s="25" t="n">
        <v>0</v>
      </c>
      <c r="K281" s="25" t="n">
        <v>0</v>
      </c>
      <c r="L281" s="25" t="n">
        <v>0</v>
      </c>
      <c r="M281" s="25" t="n">
        <v>0</v>
      </c>
      <c r="N281" s="25" t="n">
        <v>0</v>
      </c>
      <c r="O281" s="25" t="n">
        <v>0</v>
      </c>
      <c r="P281" s="21" t="n">
        <f aca="false">SUM(D281:O281)</f>
        <v>0</v>
      </c>
      <c r="Q281" s="25" t="n">
        <f aca="false">SUM(D281:J281)</f>
        <v>0</v>
      </c>
      <c r="R281" s="21" t="n">
        <f aca="false">P281-Q281</f>
        <v>0</v>
      </c>
    </row>
    <row r="282" customFormat="false" ht="14.65" hidden="false" customHeight="false" outlineLevel="0" collapsed="false">
      <c r="A282" s="22" t="s">
        <v>174</v>
      </c>
      <c r="C282" s="23" t="n">
        <v>0</v>
      </c>
      <c r="D282" s="23" t="n">
        <v>0</v>
      </c>
      <c r="E282" s="23" t="n">
        <v>0</v>
      </c>
      <c r="F282" s="23" t="n">
        <v>0</v>
      </c>
      <c r="G282" s="23" t="n">
        <v>0</v>
      </c>
      <c r="H282" s="23" t="n">
        <v>0</v>
      </c>
      <c r="I282" s="23" t="n">
        <v>0</v>
      </c>
      <c r="J282" s="23" t="n">
        <v>0</v>
      </c>
      <c r="K282" s="23" t="n">
        <v>0</v>
      </c>
      <c r="L282" s="23" t="n">
        <v>0</v>
      </c>
      <c r="M282" s="23" t="n">
        <v>0</v>
      </c>
      <c r="N282" s="23" t="n">
        <v>0</v>
      </c>
      <c r="O282" s="23" t="n">
        <v>0</v>
      </c>
      <c r="P282" s="24" t="n">
        <f aca="false">SUM(D282:O282)</f>
        <v>0</v>
      </c>
      <c r="Q282" s="23" t="n">
        <f aca="false">SUM(D282:J282)</f>
        <v>0</v>
      </c>
      <c r="R282" s="24" t="n">
        <f aca="false">P282-Q282</f>
        <v>0</v>
      </c>
    </row>
    <row r="283" customFormat="false" ht="3.95" hidden="false" customHeight="true" outlineLevel="0" collapsed="false"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</row>
    <row r="284" customFormat="false" ht="14.65" hidden="false" customHeight="false" outlineLevel="0" collapsed="false">
      <c r="A284" s="20" t="s">
        <v>175</v>
      </c>
      <c r="C284" s="21" t="n">
        <f aca="false">SUM(C279:C283)</f>
        <v>146935</v>
      </c>
      <c r="D284" s="21" t="n">
        <f aca="false">SUM(D279:D283)</f>
        <v>153155</v>
      </c>
      <c r="E284" s="21" t="n">
        <f aca="false">SUM(E279:E283)</f>
        <v>161015</v>
      </c>
      <c r="F284" s="21" t="n">
        <f aca="false">SUM(F279:F283)</f>
        <v>166023</v>
      </c>
      <c r="G284" s="21" t="n">
        <f aca="false">SUM(G279:G283)</f>
        <v>183650</v>
      </c>
      <c r="H284" s="21" t="n">
        <f aca="false">SUM(H279:H283)</f>
        <v>189083</v>
      </c>
      <c r="I284" s="21" t="n">
        <f aca="false">SUM(I279:I283)</f>
        <v>194082</v>
      </c>
      <c r="J284" s="21" t="n">
        <f aca="false">SUM(J279:J283)</f>
        <v>199390</v>
      </c>
      <c r="K284" s="21" t="n">
        <f aca="false">SUM(K279:K283)</f>
        <v>204790</v>
      </c>
      <c r="L284" s="21" t="n">
        <f aca="false">SUM(L279:L283)</f>
        <v>209690</v>
      </c>
      <c r="M284" s="21" t="n">
        <f aca="false">SUM(M279:M283)</f>
        <v>211690</v>
      </c>
      <c r="N284" s="21" t="n">
        <f aca="false">SUM(N279:N283)</f>
        <v>217490</v>
      </c>
      <c r="O284" s="21" t="n">
        <f aca="false">SUM(O279:O283)</f>
        <v>222890</v>
      </c>
      <c r="P284" s="21"/>
    </row>
    <row r="285" customFormat="false" ht="3.95" hidden="false" customHeight="true" outlineLevel="0" collapsed="false"/>
    <row r="286" customFormat="false" ht="14.65" hidden="false" customHeight="false" outlineLevel="0" collapsed="false">
      <c r="A286" s="22" t="s">
        <v>30</v>
      </c>
      <c r="D286" s="21" t="n">
        <f aca="false">D284-C284</f>
        <v>6220</v>
      </c>
      <c r="E286" s="21" t="n">
        <f aca="false">E284-D284</f>
        <v>7860</v>
      </c>
      <c r="F286" s="21" t="n">
        <f aca="false">F284-E284</f>
        <v>5008</v>
      </c>
      <c r="G286" s="21" t="n">
        <f aca="false">G284-F284</f>
        <v>17627</v>
      </c>
      <c r="H286" s="21" t="n">
        <f aca="false">H284-G284</f>
        <v>5433</v>
      </c>
      <c r="I286" s="21" t="n">
        <f aca="false">I284-H284</f>
        <v>4999</v>
      </c>
      <c r="J286" s="21" t="n">
        <f aca="false">J284-I284</f>
        <v>5308</v>
      </c>
      <c r="K286" s="21" t="n">
        <f aca="false">K284-J284</f>
        <v>5400</v>
      </c>
      <c r="L286" s="21" t="n">
        <f aca="false">L284-K284</f>
        <v>4900</v>
      </c>
      <c r="M286" s="21" t="n">
        <f aca="false">M284-L284</f>
        <v>2000</v>
      </c>
      <c r="N286" s="21" t="n">
        <f aca="false">N284-M284</f>
        <v>5800</v>
      </c>
      <c r="O286" s="21" t="n">
        <f aca="false">O284-N284</f>
        <v>5400</v>
      </c>
      <c r="P286" s="21" t="n">
        <f aca="false">SUM(D286:O286)</f>
        <v>75955</v>
      </c>
      <c r="Q286" s="21" t="n">
        <f aca="false">SUM(Q280:Q283)</f>
        <v>52455</v>
      </c>
      <c r="R286" s="21" t="n">
        <f aca="false">P286-Q286</f>
        <v>23500</v>
      </c>
    </row>
    <row r="288" customFormat="false" ht="14.65" hidden="false" customHeight="false" outlineLevel="0" collapsed="false">
      <c r="A288" s="20" t="s">
        <v>176</v>
      </c>
      <c r="D288" s="21" t="n">
        <f aca="false">C293</f>
        <v>0</v>
      </c>
      <c r="E288" s="21" t="n">
        <f aca="false">D293</f>
        <v>0</v>
      </c>
      <c r="F288" s="21" t="n">
        <f aca="false">E293</f>
        <v>0</v>
      </c>
      <c r="G288" s="21" t="n">
        <f aca="false">F293</f>
        <v>0</v>
      </c>
      <c r="H288" s="21" t="n">
        <f aca="false">G293</f>
        <v>0</v>
      </c>
      <c r="I288" s="21" t="n">
        <f aca="false">H293</f>
        <v>0</v>
      </c>
      <c r="J288" s="21" t="n">
        <f aca="false">I293</f>
        <v>0</v>
      </c>
      <c r="K288" s="21" t="n">
        <f aca="false">J293</f>
        <v>0</v>
      </c>
      <c r="L288" s="21" t="n">
        <f aca="false">K293</f>
        <v>2571</v>
      </c>
      <c r="M288" s="21" t="n">
        <f aca="false">L293</f>
        <v>6765</v>
      </c>
      <c r="N288" s="21" t="n">
        <f aca="false">M293</f>
        <v>7076</v>
      </c>
      <c r="O288" s="21" t="n">
        <f aca="false">N293</f>
        <v>8768</v>
      </c>
      <c r="P288" s="21"/>
    </row>
    <row r="289" customFormat="false" ht="14.65" hidden="false" customHeight="false" outlineLevel="0" collapsed="false">
      <c r="A289" s="22" t="s">
        <v>177</v>
      </c>
      <c r="C289" s="25" t="n">
        <v>0</v>
      </c>
      <c r="D289" s="25" t="n">
        <v>0</v>
      </c>
      <c r="E289" s="25" t="n">
        <v>0</v>
      </c>
      <c r="F289" s="25" t="n">
        <v>0</v>
      </c>
      <c r="G289" s="25" t="n">
        <v>0</v>
      </c>
      <c r="H289" s="25" t="n">
        <v>0</v>
      </c>
      <c r="I289" s="25" t="n">
        <v>0</v>
      </c>
      <c r="J289" s="25" t="n">
        <v>0</v>
      </c>
      <c r="K289" s="25" t="n">
        <v>0</v>
      </c>
      <c r="L289" s="25" t="n">
        <v>0</v>
      </c>
      <c r="M289" s="25" t="n">
        <v>0</v>
      </c>
      <c r="N289" s="25" t="n">
        <v>0</v>
      </c>
      <c r="O289" s="25" t="n">
        <v>0</v>
      </c>
      <c r="P289" s="21" t="n">
        <f aca="false">SUM(D289:O289)</f>
        <v>0</v>
      </c>
      <c r="Q289" s="25" t="n">
        <f aca="false">SUM(D289:J289)</f>
        <v>0</v>
      </c>
      <c r="R289" s="21" t="n">
        <f aca="false">P289-Q289</f>
        <v>0</v>
      </c>
    </row>
    <row r="290" customFormat="false" ht="14.65" hidden="false" customHeight="false" outlineLevel="0" collapsed="false">
      <c r="A290" s="22" t="s">
        <v>40</v>
      </c>
      <c r="C290" s="25" t="n">
        <v>0</v>
      </c>
      <c r="D290" s="25" t="n">
        <v>0</v>
      </c>
      <c r="E290" s="25" t="n">
        <v>0</v>
      </c>
      <c r="F290" s="25" t="n">
        <v>0</v>
      </c>
      <c r="G290" s="25" t="n">
        <v>0</v>
      </c>
      <c r="H290" s="25" t="n">
        <v>0</v>
      </c>
      <c r="I290" s="25" t="n">
        <v>0</v>
      </c>
      <c r="J290" s="25" t="n">
        <v>0</v>
      </c>
      <c r="K290" s="25" t="n">
        <v>2571</v>
      </c>
      <c r="L290" s="25" t="n">
        <v>4194</v>
      </c>
      <c r="M290" s="25" t="n">
        <v>311</v>
      </c>
      <c r="N290" s="25" t="n">
        <v>1692</v>
      </c>
      <c r="O290" s="25" t="n">
        <v>-1034</v>
      </c>
      <c r="P290" s="21" t="n">
        <f aca="false">SUM(D290:O290)</f>
        <v>7734</v>
      </c>
      <c r="Q290" s="25" t="n">
        <f aca="false">SUM(D290:J290)</f>
        <v>0</v>
      </c>
      <c r="R290" s="21" t="n">
        <f aca="false">P290-Q290</f>
        <v>7734</v>
      </c>
    </row>
    <row r="291" customFormat="false" ht="14.65" hidden="false" customHeight="false" outlineLevel="0" collapsed="false">
      <c r="A291" s="22" t="s">
        <v>178</v>
      </c>
      <c r="C291" s="23" t="n">
        <v>0</v>
      </c>
      <c r="D291" s="23" t="n">
        <v>0</v>
      </c>
      <c r="E291" s="23" t="n">
        <v>0</v>
      </c>
      <c r="F291" s="23" t="n">
        <v>0</v>
      </c>
      <c r="G291" s="23" t="n">
        <v>0</v>
      </c>
      <c r="H291" s="23" t="n">
        <v>0</v>
      </c>
      <c r="I291" s="23" t="n">
        <v>0</v>
      </c>
      <c r="J291" s="23" t="n">
        <v>0</v>
      </c>
      <c r="K291" s="23" t="n">
        <v>0</v>
      </c>
      <c r="L291" s="23" t="n">
        <v>0</v>
      </c>
      <c r="M291" s="23" t="n">
        <v>0</v>
      </c>
      <c r="N291" s="23" t="n">
        <v>0</v>
      </c>
      <c r="O291" s="23" t="n">
        <v>0</v>
      </c>
      <c r="P291" s="24" t="n">
        <f aca="false">SUM(D291:O291)</f>
        <v>0</v>
      </c>
      <c r="Q291" s="23" t="n">
        <f aca="false">SUM(D291:J291)</f>
        <v>0</v>
      </c>
      <c r="R291" s="24" t="n">
        <f aca="false">P291-Q291</f>
        <v>0</v>
      </c>
    </row>
    <row r="292" customFormat="false" ht="3.95" hidden="false" customHeight="true" outlineLevel="0" collapsed="false"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</row>
    <row r="293" customFormat="false" ht="14.65" hidden="false" customHeight="false" outlineLevel="0" collapsed="false">
      <c r="A293" s="20" t="s">
        <v>179</v>
      </c>
      <c r="C293" s="21" t="n">
        <f aca="false">SUM(C289:C292)</f>
        <v>0</v>
      </c>
      <c r="D293" s="21" t="n">
        <f aca="false">SUM(D288:D292)</f>
        <v>0</v>
      </c>
      <c r="E293" s="21" t="n">
        <f aca="false">SUM(E288:E292)</f>
        <v>0</v>
      </c>
      <c r="F293" s="21" t="n">
        <f aca="false">SUM(F288:F292)</f>
        <v>0</v>
      </c>
      <c r="G293" s="21" t="n">
        <f aca="false">SUM(G288:G292)</f>
        <v>0</v>
      </c>
      <c r="H293" s="21" t="n">
        <f aca="false">SUM(H288:H292)</f>
        <v>0</v>
      </c>
      <c r="I293" s="21" t="n">
        <f aca="false">SUM(I288:I292)</f>
        <v>0</v>
      </c>
      <c r="J293" s="21" t="n">
        <f aca="false">SUM(J288:J292)</f>
        <v>0</v>
      </c>
      <c r="K293" s="21" t="n">
        <f aca="false">SUM(K288:K292)</f>
        <v>2571</v>
      </c>
      <c r="L293" s="21" t="n">
        <f aca="false">SUM(L288:L292)</f>
        <v>6765</v>
      </c>
      <c r="M293" s="21" t="n">
        <f aca="false">SUM(M288:M292)</f>
        <v>7076</v>
      </c>
      <c r="N293" s="21" t="n">
        <f aca="false">SUM(N288:N292)</f>
        <v>8768</v>
      </c>
      <c r="O293" s="21" t="n">
        <f aca="false">SUM(O288:O292)</f>
        <v>7734</v>
      </c>
      <c r="P293" s="21"/>
    </row>
    <row r="294" customFormat="false" ht="3.95" hidden="false" customHeight="true" outlineLevel="0" collapsed="false"/>
    <row r="295" customFormat="false" ht="14.65" hidden="false" customHeight="false" outlineLevel="0" collapsed="false">
      <c r="A295" s="22" t="s">
        <v>30</v>
      </c>
      <c r="D295" s="21" t="n">
        <f aca="false">D293-C293</f>
        <v>0</v>
      </c>
      <c r="E295" s="21" t="n">
        <f aca="false">E293-D293</f>
        <v>0</v>
      </c>
      <c r="F295" s="21" t="n">
        <f aca="false">F293-E293</f>
        <v>0</v>
      </c>
      <c r="G295" s="21" t="n">
        <f aca="false">G293-F293</f>
        <v>0</v>
      </c>
      <c r="H295" s="21" t="n">
        <f aca="false">H293-G293</f>
        <v>0</v>
      </c>
      <c r="I295" s="21" t="n">
        <f aca="false">I293-H293</f>
        <v>0</v>
      </c>
      <c r="J295" s="21" t="n">
        <f aca="false">J293-I293</f>
        <v>0</v>
      </c>
      <c r="K295" s="21" t="n">
        <f aca="false">K293-J293</f>
        <v>2571</v>
      </c>
      <c r="L295" s="21" t="n">
        <f aca="false">L293-K293</f>
        <v>4194</v>
      </c>
      <c r="M295" s="21" t="n">
        <f aca="false">M293-L293</f>
        <v>311</v>
      </c>
      <c r="N295" s="21" t="n">
        <f aca="false">N293-M293</f>
        <v>1692</v>
      </c>
      <c r="O295" s="21" t="n">
        <f aca="false">O293-N293</f>
        <v>-1034</v>
      </c>
      <c r="P295" s="21" t="n">
        <f aca="false">SUM(D295:O295)</f>
        <v>7734</v>
      </c>
      <c r="Q295" s="21" t="n">
        <f aca="false">SUM(Q289:Q292)</f>
        <v>0</v>
      </c>
      <c r="R295" s="21" t="n">
        <f aca="false">P295-Q295</f>
        <v>7734</v>
      </c>
    </row>
    <row r="297" customFormat="false" ht="14.65" hidden="false" customHeight="false" outlineLevel="0" collapsed="false">
      <c r="A297" s="20" t="s">
        <v>180</v>
      </c>
      <c r="D297" s="21" t="n">
        <f aca="false">C309</f>
        <v>0</v>
      </c>
      <c r="E297" s="21" t="n">
        <f aca="false">D309</f>
        <v>0</v>
      </c>
      <c r="F297" s="21" t="n">
        <f aca="false">E309</f>
        <v>0</v>
      </c>
      <c r="G297" s="21" t="n">
        <f aca="false">F309</f>
        <v>0</v>
      </c>
      <c r="H297" s="21" t="n">
        <f aca="false">G309</f>
        <v>22967</v>
      </c>
      <c r="I297" s="21" t="n">
        <f aca="false">H309</f>
        <v>5940</v>
      </c>
      <c r="J297" s="21" t="n">
        <f aca="false">I309</f>
        <v>0</v>
      </c>
      <c r="K297" s="21" t="n">
        <f aca="false">J309</f>
        <v>-10</v>
      </c>
      <c r="L297" s="21" t="n">
        <f aca="false">K309</f>
        <v>-10</v>
      </c>
      <c r="M297" s="21" t="n">
        <f aca="false">L309</f>
        <v>-10</v>
      </c>
      <c r="N297" s="21" t="n">
        <f aca="false">M309</f>
        <v>-10</v>
      </c>
      <c r="O297" s="21" t="n">
        <f aca="false">N309</f>
        <v>-10</v>
      </c>
    </row>
    <row r="298" customFormat="false" ht="14.65" hidden="false" customHeight="false" outlineLevel="0" collapsed="false">
      <c r="A298" s="22" t="s">
        <v>181</v>
      </c>
      <c r="C298" s="25" t="n">
        <v>0</v>
      </c>
      <c r="D298" s="25" t="n">
        <v>0</v>
      </c>
      <c r="E298" s="25" t="n">
        <v>0</v>
      </c>
      <c r="F298" s="25" t="n">
        <v>0</v>
      </c>
      <c r="G298" s="25" t="n">
        <v>22967</v>
      </c>
      <c r="H298" s="25" t="n">
        <v>-17027</v>
      </c>
      <c r="I298" s="25" t="n">
        <v>0</v>
      </c>
      <c r="J298" s="25" t="n">
        <v>0</v>
      </c>
      <c r="K298" s="25" t="n">
        <v>0</v>
      </c>
      <c r="L298" s="25" t="n">
        <v>0</v>
      </c>
      <c r="M298" s="25" t="n">
        <v>0</v>
      </c>
      <c r="N298" s="25" t="n">
        <v>0</v>
      </c>
      <c r="O298" s="25" t="n">
        <v>0</v>
      </c>
      <c r="P298" s="21" t="n">
        <f aca="false">SUM(D298:O298)</f>
        <v>5940</v>
      </c>
      <c r="Q298" s="25" t="n">
        <f aca="false">SUM(D298:J298)</f>
        <v>5940</v>
      </c>
      <c r="R298" s="21" t="n">
        <f aca="false">P298-Q298</f>
        <v>0</v>
      </c>
    </row>
    <row r="299" customFormat="false" ht="14.65" hidden="false" customHeight="false" outlineLevel="0" collapsed="false">
      <c r="A299" s="22" t="s">
        <v>182</v>
      </c>
      <c r="C299" s="25"/>
      <c r="D299" s="25" t="n">
        <v>0</v>
      </c>
      <c r="E299" s="25" t="n">
        <v>0</v>
      </c>
      <c r="F299" s="25" t="n">
        <v>0</v>
      </c>
      <c r="G299" s="25" t="n">
        <v>0</v>
      </c>
      <c r="H299" s="25" t="n">
        <v>0</v>
      </c>
      <c r="I299" s="25" t="n">
        <v>-5940</v>
      </c>
      <c r="J299" s="25" t="n">
        <v>0</v>
      </c>
      <c r="K299" s="25" t="n">
        <v>0</v>
      </c>
      <c r="L299" s="25" t="n">
        <v>0</v>
      </c>
      <c r="M299" s="25" t="n">
        <v>0</v>
      </c>
      <c r="N299" s="25" t="n">
        <v>0</v>
      </c>
      <c r="O299" s="25" t="n">
        <v>0</v>
      </c>
      <c r="P299" s="21" t="n">
        <f aca="false">SUM(D299:O299)</f>
        <v>-5940</v>
      </c>
      <c r="Q299" s="25" t="n">
        <f aca="false">SUM(D299:J299)</f>
        <v>-5940</v>
      </c>
      <c r="R299" s="21" t="n">
        <f aca="false">P299-Q299</f>
        <v>0</v>
      </c>
    </row>
    <row r="300" customFormat="false" ht="14.65" hidden="false" customHeight="false" outlineLevel="0" collapsed="false">
      <c r="A300" s="22" t="s">
        <v>40</v>
      </c>
      <c r="C300" s="25"/>
      <c r="D300" s="25" t="n">
        <v>0</v>
      </c>
      <c r="E300" s="25" t="n">
        <v>0</v>
      </c>
      <c r="F300" s="25" t="n">
        <v>0</v>
      </c>
      <c r="G300" s="25" t="n">
        <v>0</v>
      </c>
      <c r="H300" s="25" t="n">
        <v>0</v>
      </c>
      <c r="I300" s="25" t="n">
        <v>0</v>
      </c>
      <c r="J300" s="25" t="n">
        <v>-10</v>
      </c>
      <c r="K300" s="25" t="n">
        <v>0</v>
      </c>
      <c r="L300" s="25" t="n">
        <v>0</v>
      </c>
      <c r="M300" s="25" t="n">
        <v>0</v>
      </c>
      <c r="N300" s="25" t="n">
        <v>0</v>
      </c>
      <c r="O300" s="25" t="n">
        <v>0</v>
      </c>
      <c r="P300" s="21" t="n">
        <f aca="false">SUM(D300:O300)</f>
        <v>-10</v>
      </c>
      <c r="Q300" s="25" t="n">
        <f aca="false">SUM(D300:J300)</f>
        <v>-10</v>
      </c>
      <c r="R300" s="21" t="n">
        <f aca="false">P300-Q300</f>
        <v>0</v>
      </c>
    </row>
    <row r="301" customFormat="false" ht="14.65" hidden="false" customHeight="false" outlineLevel="0" collapsed="false">
      <c r="A301" s="22" t="s">
        <v>40</v>
      </c>
      <c r="B301" s="27"/>
      <c r="C301" s="25" t="n">
        <v>0</v>
      </c>
      <c r="D301" s="25" t="n">
        <v>0</v>
      </c>
      <c r="E301" s="25" t="n">
        <v>0</v>
      </c>
      <c r="F301" s="25" t="n">
        <v>0</v>
      </c>
      <c r="G301" s="25" t="n">
        <v>0</v>
      </c>
      <c r="H301" s="25" t="n">
        <v>0</v>
      </c>
      <c r="I301" s="25" t="n">
        <v>0</v>
      </c>
      <c r="J301" s="25" t="n">
        <v>0</v>
      </c>
      <c r="K301" s="25" t="n">
        <v>0</v>
      </c>
      <c r="L301" s="25" t="n">
        <v>0</v>
      </c>
      <c r="M301" s="25" t="n">
        <v>0</v>
      </c>
      <c r="N301" s="25" t="n">
        <v>0</v>
      </c>
      <c r="O301" s="25" t="n">
        <v>0</v>
      </c>
      <c r="P301" s="21" t="n">
        <f aca="false">SUM(D301:O301)</f>
        <v>0</v>
      </c>
      <c r="Q301" s="25" t="n">
        <f aca="false">SUM(D301:J301)</f>
        <v>0</v>
      </c>
      <c r="R301" s="21" t="n">
        <f aca="false">P301-Q301</f>
        <v>0</v>
      </c>
    </row>
    <row r="302" customFormat="false" ht="14.65" hidden="false" customHeight="false" outlineLevel="0" collapsed="false">
      <c r="A302" s="22" t="s">
        <v>40</v>
      </c>
      <c r="B302" s="27"/>
      <c r="C302" s="25" t="n">
        <v>0</v>
      </c>
      <c r="D302" s="25" t="n">
        <v>0</v>
      </c>
      <c r="E302" s="25" t="n">
        <v>0</v>
      </c>
      <c r="F302" s="25" t="n">
        <v>0</v>
      </c>
      <c r="G302" s="25" t="n">
        <v>0</v>
      </c>
      <c r="H302" s="25" t="n">
        <v>0</v>
      </c>
      <c r="I302" s="25" t="n">
        <v>0</v>
      </c>
      <c r="J302" s="25" t="n">
        <v>0</v>
      </c>
      <c r="K302" s="25" t="n">
        <v>0</v>
      </c>
      <c r="L302" s="25" t="n">
        <v>0</v>
      </c>
      <c r="M302" s="25" t="n">
        <v>0</v>
      </c>
      <c r="N302" s="25" t="n">
        <v>0</v>
      </c>
      <c r="O302" s="25" t="n">
        <v>0</v>
      </c>
      <c r="P302" s="21" t="n">
        <f aca="false">SUM(D302:O302)</f>
        <v>0</v>
      </c>
      <c r="Q302" s="25" t="n">
        <f aca="false">SUM(D302:J302)</f>
        <v>0</v>
      </c>
      <c r="R302" s="21" t="n">
        <f aca="false">P302-Q302</f>
        <v>0</v>
      </c>
    </row>
    <row r="303" customFormat="false" ht="14.65" hidden="false" customHeight="false" outlineLevel="0" collapsed="false">
      <c r="A303" s="22" t="s">
        <v>40</v>
      </c>
      <c r="C303" s="25" t="n">
        <v>0</v>
      </c>
      <c r="D303" s="25" t="n">
        <v>0</v>
      </c>
      <c r="E303" s="25" t="n">
        <v>0</v>
      </c>
      <c r="F303" s="25" t="n">
        <v>0</v>
      </c>
      <c r="G303" s="25" t="n">
        <v>0</v>
      </c>
      <c r="H303" s="25" t="n">
        <v>0</v>
      </c>
      <c r="I303" s="25" t="n">
        <v>0</v>
      </c>
      <c r="J303" s="25" t="n">
        <v>0</v>
      </c>
      <c r="K303" s="25" t="n">
        <v>0</v>
      </c>
      <c r="L303" s="25" t="n">
        <v>0</v>
      </c>
      <c r="M303" s="25" t="n">
        <v>0</v>
      </c>
      <c r="N303" s="25" t="n">
        <v>0</v>
      </c>
      <c r="O303" s="25" t="n">
        <v>0</v>
      </c>
      <c r="P303" s="21" t="n">
        <f aca="false">SUM(D303:O303)</f>
        <v>0</v>
      </c>
      <c r="Q303" s="25" t="n">
        <f aca="false">SUM(D303:J303)</f>
        <v>0</v>
      </c>
      <c r="R303" s="21" t="n">
        <f aca="false">P303-Q303</f>
        <v>0</v>
      </c>
    </row>
    <row r="304" customFormat="false" ht="14.65" hidden="false" customHeight="false" outlineLevel="0" collapsed="false">
      <c r="A304" s="22" t="s">
        <v>40</v>
      </c>
      <c r="C304" s="25" t="n">
        <v>0</v>
      </c>
      <c r="D304" s="25" t="n">
        <v>0</v>
      </c>
      <c r="E304" s="25" t="n">
        <v>0</v>
      </c>
      <c r="F304" s="25" t="n">
        <v>0</v>
      </c>
      <c r="G304" s="25" t="n">
        <v>0</v>
      </c>
      <c r="H304" s="25" t="n">
        <v>0</v>
      </c>
      <c r="I304" s="25" t="n">
        <v>0</v>
      </c>
      <c r="J304" s="25" t="n">
        <v>0</v>
      </c>
      <c r="K304" s="25" t="n">
        <v>0</v>
      </c>
      <c r="L304" s="25" t="n">
        <v>0</v>
      </c>
      <c r="M304" s="25" t="n">
        <v>0</v>
      </c>
      <c r="N304" s="25" t="n">
        <v>0</v>
      </c>
      <c r="O304" s="25" t="n">
        <v>0</v>
      </c>
      <c r="P304" s="21" t="n">
        <f aca="false">SUM(D304:O304)</f>
        <v>0</v>
      </c>
      <c r="Q304" s="25" t="n">
        <f aca="false">SUM(D304:J304)</f>
        <v>0</v>
      </c>
      <c r="R304" s="21" t="n">
        <f aca="false">P304-Q304</f>
        <v>0</v>
      </c>
    </row>
    <row r="305" customFormat="false" ht="14.65" hidden="false" customHeight="false" outlineLevel="0" collapsed="false">
      <c r="A305" s="22" t="s">
        <v>40</v>
      </c>
      <c r="C305" s="25" t="n">
        <v>0</v>
      </c>
      <c r="D305" s="25" t="n">
        <v>0</v>
      </c>
      <c r="E305" s="25" t="n">
        <v>0</v>
      </c>
      <c r="F305" s="25" t="n">
        <v>0</v>
      </c>
      <c r="G305" s="25" t="n">
        <v>0</v>
      </c>
      <c r="H305" s="25" t="n">
        <v>0</v>
      </c>
      <c r="I305" s="25" t="n">
        <v>0</v>
      </c>
      <c r="J305" s="25" t="n">
        <v>0</v>
      </c>
      <c r="K305" s="25" t="n">
        <v>0</v>
      </c>
      <c r="L305" s="25" t="n">
        <v>0</v>
      </c>
      <c r="M305" s="25" t="n">
        <v>0</v>
      </c>
      <c r="N305" s="25" t="n">
        <v>0</v>
      </c>
      <c r="O305" s="25" t="n">
        <v>0</v>
      </c>
      <c r="P305" s="21" t="n">
        <f aca="false">SUM(D305:O305)</f>
        <v>0</v>
      </c>
      <c r="Q305" s="25" t="n">
        <f aca="false">SUM(D305:J305)</f>
        <v>0</v>
      </c>
      <c r="R305" s="21" t="n">
        <f aca="false">P305-Q305</f>
        <v>0</v>
      </c>
    </row>
    <row r="306" customFormat="false" ht="14.65" hidden="false" customHeight="false" outlineLevel="0" collapsed="false">
      <c r="A306" s="22" t="s">
        <v>40</v>
      </c>
      <c r="C306" s="25" t="n">
        <v>0</v>
      </c>
      <c r="D306" s="25" t="n">
        <v>0</v>
      </c>
      <c r="E306" s="25" t="n">
        <v>0</v>
      </c>
      <c r="F306" s="25" t="n">
        <v>0</v>
      </c>
      <c r="G306" s="25" t="n">
        <v>0</v>
      </c>
      <c r="H306" s="25" t="n">
        <v>0</v>
      </c>
      <c r="I306" s="25" t="n">
        <v>0</v>
      </c>
      <c r="J306" s="25" t="n">
        <v>0</v>
      </c>
      <c r="K306" s="25" t="n">
        <v>0</v>
      </c>
      <c r="L306" s="25" t="n">
        <v>0</v>
      </c>
      <c r="M306" s="25" t="n">
        <v>0</v>
      </c>
      <c r="N306" s="25" t="n">
        <v>0</v>
      </c>
      <c r="O306" s="25" t="n">
        <v>0</v>
      </c>
      <c r="P306" s="21" t="n">
        <f aca="false">SUM(D306:O306)</f>
        <v>0</v>
      </c>
      <c r="Q306" s="25" t="n">
        <f aca="false">SUM(D306:J306)</f>
        <v>0</v>
      </c>
      <c r="R306" s="21" t="n">
        <f aca="false">P306-Q306</f>
        <v>0</v>
      </c>
    </row>
    <row r="307" customFormat="false" ht="14.65" hidden="false" customHeight="false" outlineLevel="0" collapsed="false">
      <c r="A307" s="22" t="s">
        <v>178</v>
      </c>
      <c r="C307" s="23" t="n">
        <v>0</v>
      </c>
      <c r="D307" s="23" t="n">
        <v>0</v>
      </c>
      <c r="E307" s="23" t="n">
        <v>0</v>
      </c>
      <c r="F307" s="23" t="n">
        <v>0</v>
      </c>
      <c r="G307" s="23" t="n">
        <v>0</v>
      </c>
      <c r="H307" s="23" t="n">
        <v>0</v>
      </c>
      <c r="I307" s="23" t="n">
        <v>0</v>
      </c>
      <c r="J307" s="23" t="n">
        <v>0</v>
      </c>
      <c r="K307" s="23" t="n">
        <v>0</v>
      </c>
      <c r="L307" s="23" t="n">
        <v>0</v>
      </c>
      <c r="M307" s="23" t="n">
        <v>0</v>
      </c>
      <c r="N307" s="23" t="n">
        <v>0</v>
      </c>
      <c r="O307" s="23" t="n">
        <v>0</v>
      </c>
      <c r="P307" s="24" t="n">
        <f aca="false">SUM(D307:O307)</f>
        <v>0</v>
      </c>
      <c r="Q307" s="23" t="n">
        <f aca="false">SUM(D307:J307)</f>
        <v>0</v>
      </c>
      <c r="R307" s="24" t="n">
        <f aca="false">P307-Q307</f>
        <v>0</v>
      </c>
    </row>
    <row r="308" customFormat="false" ht="3.95" hidden="false" customHeight="true" outlineLevel="0" collapsed="false"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</row>
    <row r="309" customFormat="false" ht="14.65" hidden="false" customHeight="false" outlineLevel="0" collapsed="false">
      <c r="A309" s="20" t="s">
        <v>180</v>
      </c>
      <c r="C309" s="21" t="n">
        <f aca="false">SUM(C297:C308)</f>
        <v>0</v>
      </c>
      <c r="D309" s="21" t="n">
        <f aca="false">SUM(D297:D308)</f>
        <v>0</v>
      </c>
      <c r="E309" s="21" t="n">
        <f aca="false">SUM(E297:E308)</f>
        <v>0</v>
      </c>
      <c r="F309" s="21" t="n">
        <f aca="false">SUM(F297:F308)</f>
        <v>0</v>
      </c>
      <c r="G309" s="21" t="n">
        <f aca="false">SUM(G297:G308)</f>
        <v>22967</v>
      </c>
      <c r="H309" s="21" t="n">
        <f aca="false">SUM(H297:H308)</f>
        <v>5940</v>
      </c>
      <c r="I309" s="21" t="n">
        <f aca="false">SUM(I297:I308)</f>
        <v>0</v>
      </c>
      <c r="J309" s="21" t="n">
        <f aca="false">SUM(J297:J308)</f>
        <v>-10</v>
      </c>
      <c r="K309" s="21" t="n">
        <f aca="false">SUM(K297:K308)</f>
        <v>-10</v>
      </c>
      <c r="L309" s="21" t="n">
        <f aca="false">SUM(L297:L308)</f>
        <v>-10</v>
      </c>
      <c r="M309" s="21" t="n">
        <f aca="false">SUM(M297:M308)</f>
        <v>-10</v>
      </c>
      <c r="N309" s="21" t="n">
        <f aca="false">SUM(N297:N308)</f>
        <v>-10</v>
      </c>
      <c r="O309" s="21" t="n">
        <f aca="false">SUM(O297:O308)</f>
        <v>-10</v>
      </c>
    </row>
    <row r="310" customFormat="false" ht="3.95" hidden="false" customHeight="true" outlineLevel="0" collapsed="false"/>
    <row r="311" customFormat="false" ht="14.65" hidden="false" customHeight="false" outlineLevel="0" collapsed="false">
      <c r="A311" s="22" t="s">
        <v>30</v>
      </c>
      <c r="D311" s="21" t="n">
        <f aca="false">D309-C309</f>
        <v>0</v>
      </c>
      <c r="E311" s="21" t="n">
        <f aca="false">E309-D309</f>
        <v>0</v>
      </c>
      <c r="F311" s="21" t="n">
        <f aca="false">F309-E309</f>
        <v>0</v>
      </c>
      <c r="G311" s="21" t="n">
        <f aca="false">G309-F309</f>
        <v>22967</v>
      </c>
      <c r="H311" s="21" t="n">
        <f aca="false">H309-G309</f>
        <v>-17027</v>
      </c>
      <c r="I311" s="21" t="n">
        <f aca="false">I309-H309</f>
        <v>-5940</v>
      </c>
      <c r="J311" s="21" t="n">
        <f aca="false">J309-I309</f>
        <v>-10</v>
      </c>
      <c r="K311" s="21" t="n">
        <f aca="false">K309-J309</f>
        <v>0</v>
      </c>
      <c r="L311" s="21" t="n">
        <f aca="false">L309-K309</f>
        <v>0</v>
      </c>
      <c r="M311" s="21" t="n">
        <f aca="false">M309-L309</f>
        <v>0</v>
      </c>
      <c r="N311" s="21" t="n">
        <f aca="false">N309-M309</f>
        <v>0</v>
      </c>
      <c r="O311" s="21" t="n">
        <f aca="false">O309-N309</f>
        <v>0</v>
      </c>
      <c r="P311" s="21" t="n">
        <f aca="false">SUM(D311:O311)</f>
        <v>-10</v>
      </c>
      <c r="Q311" s="21" t="n">
        <f aca="false">SUM(Q298:Q308)</f>
        <v>-10</v>
      </c>
      <c r="R311" s="21" t="n">
        <f aca="false">P311-Q311</f>
        <v>0</v>
      </c>
    </row>
    <row r="313" customFormat="false" ht="8.1" hidden="false" customHeight="true" outlineLevel="0" collapsed="false"/>
    <row r="314" customFormat="false" ht="14.65" hidden="false" customHeight="false" outlineLevel="0" collapsed="false">
      <c r="A314" s="20" t="s">
        <v>183</v>
      </c>
      <c r="D314" s="21" t="n">
        <f aca="false">C317</f>
        <v>7331</v>
      </c>
      <c r="E314" s="21" t="n">
        <f aca="false">D317</f>
        <v>8570</v>
      </c>
      <c r="F314" s="21" t="n">
        <f aca="false">E317</f>
        <v>6683</v>
      </c>
      <c r="G314" s="21" t="n">
        <f aca="false">F317</f>
        <v>8636</v>
      </c>
      <c r="H314" s="21" t="n">
        <f aca="false">G317</f>
        <v>10593</v>
      </c>
      <c r="I314" s="21" t="n">
        <f aca="false">H317</f>
        <v>11431</v>
      </c>
      <c r="J314" s="21" t="n">
        <f aca="false">I317</f>
        <v>12007</v>
      </c>
      <c r="K314" s="21" t="n">
        <f aca="false">J317</f>
        <v>13191</v>
      </c>
      <c r="L314" s="21" t="n">
        <f aca="false">K317</f>
        <v>13191</v>
      </c>
      <c r="M314" s="21" t="n">
        <f aca="false">L317</f>
        <v>13191</v>
      </c>
      <c r="N314" s="21" t="n">
        <f aca="false">M317</f>
        <v>13191</v>
      </c>
      <c r="O314" s="21" t="n">
        <f aca="false">N317</f>
        <v>13191</v>
      </c>
      <c r="P314" s="21"/>
    </row>
    <row r="315" customFormat="false" ht="14.65" hidden="false" customHeight="false" outlineLevel="0" collapsed="false">
      <c r="A315" s="22" t="s">
        <v>178</v>
      </c>
      <c r="C315" s="23" t="n">
        <v>0</v>
      </c>
      <c r="D315" s="23" t="n">
        <v>1239</v>
      </c>
      <c r="E315" s="23" t="n">
        <v>-1887</v>
      </c>
      <c r="F315" s="23" t="n">
        <v>1953</v>
      </c>
      <c r="G315" s="23" t="n">
        <v>1957</v>
      </c>
      <c r="H315" s="23" t="n">
        <v>838</v>
      </c>
      <c r="I315" s="23" t="n">
        <v>576</v>
      </c>
      <c r="J315" s="23" t="n">
        <v>1184</v>
      </c>
      <c r="K315" s="23" t="n">
        <v>0</v>
      </c>
      <c r="L315" s="23" t="n">
        <v>0</v>
      </c>
      <c r="M315" s="23" t="n">
        <v>0</v>
      </c>
      <c r="N315" s="23" t="n">
        <v>0</v>
      </c>
      <c r="O315" s="23" t="n">
        <v>0</v>
      </c>
      <c r="P315" s="24" t="n">
        <f aca="false">SUM(D315:O315)</f>
        <v>5860</v>
      </c>
      <c r="Q315" s="23" t="n">
        <f aca="false">SUM(D315:J315)</f>
        <v>5860</v>
      </c>
      <c r="R315" s="24" t="n">
        <f aca="false">P315-Q315</f>
        <v>0</v>
      </c>
    </row>
    <row r="316" customFormat="false" ht="3.95" hidden="false" customHeight="true" outlineLevel="0" collapsed="false"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customFormat="false" ht="14.65" hidden="false" customHeight="false" outlineLevel="0" collapsed="false">
      <c r="A317" s="20" t="s">
        <v>184</v>
      </c>
      <c r="C317" s="25" t="n">
        <v>7331</v>
      </c>
      <c r="D317" s="21" t="n">
        <f aca="false">D314+D315</f>
        <v>8570</v>
      </c>
      <c r="E317" s="21" t="n">
        <f aca="false">E314+E315</f>
        <v>6683</v>
      </c>
      <c r="F317" s="21" t="n">
        <f aca="false">F314+F315</f>
        <v>8636</v>
      </c>
      <c r="G317" s="21" t="n">
        <f aca="false">G314+G315</f>
        <v>10593</v>
      </c>
      <c r="H317" s="21" t="n">
        <f aca="false">H314+H315</f>
        <v>11431</v>
      </c>
      <c r="I317" s="21" t="n">
        <f aca="false">I314+I315</f>
        <v>12007</v>
      </c>
      <c r="J317" s="21" t="n">
        <f aca="false">J314+J315</f>
        <v>13191</v>
      </c>
      <c r="K317" s="21" t="n">
        <f aca="false">K314+K315</f>
        <v>13191</v>
      </c>
      <c r="L317" s="21" t="n">
        <f aca="false">L314+L315</f>
        <v>13191</v>
      </c>
      <c r="M317" s="21" t="n">
        <f aca="false">M314+M315</f>
        <v>13191</v>
      </c>
      <c r="N317" s="21" t="n">
        <f aca="false">N314+N315</f>
        <v>13191</v>
      </c>
      <c r="O317" s="21" t="n">
        <f aca="false">O314+O315</f>
        <v>13191</v>
      </c>
      <c r="P317" s="21"/>
    </row>
    <row r="318" customFormat="false" ht="3.95" hidden="false" customHeight="true" outlineLevel="0" collapsed="false"/>
    <row r="319" customFormat="false" ht="14.65" hidden="false" customHeight="false" outlineLevel="0" collapsed="false">
      <c r="A319" s="22" t="s">
        <v>30</v>
      </c>
      <c r="D319" s="21" t="n">
        <f aca="false">D317-C317</f>
        <v>1239</v>
      </c>
      <c r="E319" s="21" t="n">
        <f aca="false">E317-D317</f>
        <v>-1887</v>
      </c>
      <c r="F319" s="21" t="n">
        <f aca="false">F317-E317</f>
        <v>1953</v>
      </c>
      <c r="G319" s="21" t="n">
        <f aca="false">G317-F317</f>
        <v>1957</v>
      </c>
      <c r="H319" s="21" t="n">
        <f aca="false">H317-G317</f>
        <v>838</v>
      </c>
      <c r="I319" s="21" t="n">
        <f aca="false">I317-H317</f>
        <v>576</v>
      </c>
      <c r="J319" s="21" t="n">
        <f aca="false">J317-I317</f>
        <v>1184</v>
      </c>
      <c r="K319" s="21" t="n">
        <f aca="false">K317-J317</f>
        <v>0</v>
      </c>
      <c r="L319" s="21" t="n">
        <f aca="false">L317-K317</f>
        <v>0</v>
      </c>
      <c r="M319" s="21" t="n">
        <f aca="false">M317-L317</f>
        <v>0</v>
      </c>
      <c r="N319" s="21" t="n">
        <f aca="false">N317-M317</f>
        <v>0</v>
      </c>
      <c r="O319" s="21" t="n">
        <f aca="false">O317-N317</f>
        <v>0</v>
      </c>
      <c r="P319" s="21" t="n">
        <f aca="false">SUM(D319:O319)</f>
        <v>5860</v>
      </c>
      <c r="Q319" s="21" t="n">
        <f aca="false">Q315</f>
        <v>5860</v>
      </c>
      <c r="R319" s="21" t="n">
        <f aca="false">P319-Q319</f>
        <v>0</v>
      </c>
    </row>
    <row r="322" customFormat="false" ht="14.65" hidden="false" customHeight="false" outlineLevel="0" collapsed="false">
      <c r="A322" s="20" t="s">
        <v>185</v>
      </c>
    </row>
    <row r="323" customFormat="false" ht="14.65" hidden="false" customHeight="false" outlineLevel="0" collapsed="false">
      <c r="A323" s="22" t="s">
        <v>186</v>
      </c>
      <c r="B323" s="27" t="s">
        <v>34</v>
      </c>
      <c r="C323" s="21"/>
      <c r="D323" s="28" t="n">
        <f aca="false">'''file:///mnt/12tb/@roms/datasets/enron/EDRM%20Enron%20Email%20Data%20Set%20v2%20XML/filtered-attachments/xls/EMTW01CE.XLS''#Source'!D41</f>
        <v>956</v>
      </c>
      <c r="E323" s="28" t="n">
        <f aca="false">'''file:///mnt/12tb/@roms/datasets/enron/EDRM%20Enron%20Email%20Data%20Set%20v2%20XML/filtered-attachments/xls/EMTW01CE.XLS''#Source'!E41</f>
        <v>1007</v>
      </c>
      <c r="F323" s="28" t="n">
        <f aca="false">'''file:///mnt/12tb/@roms/datasets/enron/EDRM%20Enron%20Email%20Data%20Set%20v2%20XML/filtered-attachments/xls/EMTW01CE.XLS''#Source'!F41</f>
        <v>914</v>
      </c>
      <c r="G323" s="28" t="n">
        <f aca="false">'''file:///mnt/12tb/@roms/datasets/enron/EDRM%20Enron%20Email%20Data%20Set%20v2%20XML/filtered-attachments/xls/EMTW01CE.XLS''#Source'!G41</f>
        <v>909</v>
      </c>
      <c r="H323" s="28" t="n">
        <f aca="false">'''file:///mnt/12tb/@roms/datasets/enron/EDRM%20Enron%20Email%20Data%20Set%20v2%20XML/filtered-attachments/xls/EMTW01CE.XLS''#Source'!H41</f>
        <v>913</v>
      </c>
      <c r="I323" s="28" t="n">
        <f aca="false">'''file:///mnt/12tb/@roms/datasets/enron/EDRM%20Enron%20Email%20Data%20Set%20v2%20XML/filtered-attachments/xls/EMTW01CE.XLS''#Source'!I41</f>
        <v>917</v>
      </c>
      <c r="J323" s="28" t="n">
        <f aca="false">'''file:///mnt/12tb/@roms/datasets/enron/EDRM%20Enron%20Email%20Data%20Set%20v2%20XML/filtered-attachments/xls/EMTW01CE.XLS''#Source'!J41</f>
        <v>930</v>
      </c>
      <c r="K323" s="28" t="n">
        <f aca="false">'''file:///mnt/12tb/@roms/datasets/enron/EDRM%20Enron%20Email%20Data%20Set%20v2%20XML/filtered-attachments/xls/EMTW01CE.XLS''#Source'!K41</f>
        <v>930</v>
      </c>
      <c r="L323" s="28" t="n">
        <f aca="false">'''file:///mnt/12tb/@roms/datasets/enron/EDRM%20Enron%20Email%20Data%20Set%20v2%20XML/filtered-attachments/xls/EMTW01CE.XLS''#Source'!L41</f>
        <v>930</v>
      </c>
      <c r="M323" s="28" t="n">
        <f aca="false">'''file:///mnt/12tb/@roms/datasets/enron/EDRM%20Enron%20Email%20Data%20Set%20v2%20XML/filtered-attachments/xls/EMTW01CE.XLS''#Source'!M41</f>
        <v>927</v>
      </c>
      <c r="N323" s="28" t="n">
        <f aca="false">'''file:///mnt/12tb/@roms/datasets/enron/EDRM%20Enron%20Email%20Data%20Set%20v2%20XML/filtered-attachments/xls/EMTW01CE.XLS''#Source'!N41</f>
        <v>927</v>
      </c>
      <c r="O323" s="28" t="n">
        <f aca="false">'''file:///mnt/12tb/@roms/datasets/enron/EDRM%20Enron%20Email%20Data%20Set%20v2%20XML/filtered-attachments/xls/EMTW01CE.XLS''#Source'!O41</f>
        <v>927</v>
      </c>
      <c r="P323" s="21" t="n">
        <f aca="false">SUM(D323:O323)</f>
        <v>11187</v>
      </c>
      <c r="Q323" s="25" t="n">
        <f aca="false">SUM(D323:J323)</f>
        <v>6546</v>
      </c>
      <c r="R323" s="21" t="n">
        <f aca="false">P323-Q323</f>
        <v>4641</v>
      </c>
    </row>
    <row r="324" customFormat="false" ht="14.65" hidden="false" customHeight="false" outlineLevel="0" collapsed="false">
      <c r="A324" s="22" t="s">
        <v>187</v>
      </c>
      <c r="C324" s="21"/>
      <c r="D324" s="25" t="n">
        <v>-1083</v>
      </c>
      <c r="E324" s="25" t="n">
        <v>176</v>
      </c>
      <c r="F324" s="25" t="n">
        <v>-55</v>
      </c>
      <c r="G324" s="25" t="n">
        <v>-3329</v>
      </c>
      <c r="H324" s="25" t="n">
        <v>-727</v>
      </c>
      <c r="I324" s="25" t="n">
        <v>-99</v>
      </c>
      <c r="J324" s="25" t="n">
        <v>0</v>
      </c>
      <c r="K324" s="25" t="n">
        <v>0</v>
      </c>
      <c r="L324" s="25" t="n">
        <v>0</v>
      </c>
      <c r="M324" s="25" t="n">
        <v>-3327</v>
      </c>
      <c r="N324" s="25" t="n">
        <v>0</v>
      </c>
      <c r="O324" s="25" t="n">
        <v>-1106</v>
      </c>
      <c r="P324" s="21" t="n">
        <f aca="false">SUM(D324:O324)</f>
        <v>-9550</v>
      </c>
      <c r="Q324" s="25" t="n">
        <f aca="false">SUM(D324:J324)</f>
        <v>-5117</v>
      </c>
      <c r="R324" s="21" t="n">
        <f aca="false">P324-Q324</f>
        <v>-4433</v>
      </c>
    </row>
    <row r="325" customFormat="false" ht="14.65" hidden="false" customHeight="false" outlineLevel="0" collapsed="false">
      <c r="A325" s="22" t="s">
        <v>188</v>
      </c>
      <c r="C325" s="21"/>
      <c r="D325" s="25" t="n">
        <v>0</v>
      </c>
      <c r="E325" s="25" t="n">
        <v>-199</v>
      </c>
      <c r="F325" s="25" t="n">
        <v>0</v>
      </c>
      <c r="G325" s="25" t="n">
        <v>0</v>
      </c>
      <c r="H325" s="25" t="n">
        <v>0</v>
      </c>
      <c r="I325" s="25" t="n">
        <v>-197</v>
      </c>
      <c r="J325" s="25" t="n">
        <v>0</v>
      </c>
      <c r="K325" s="25" t="n">
        <v>-215</v>
      </c>
      <c r="L325" s="25" t="n">
        <v>0</v>
      </c>
      <c r="M325" s="25" t="n">
        <v>0</v>
      </c>
      <c r="N325" s="25" t="n">
        <v>-200</v>
      </c>
      <c r="O325" s="25" t="n">
        <v>-100</v>
      </c>
      <c r="P325" s="21" t="n">
        <f aca="false">SUM(D325:O325)</f>
        <v>-911</v>
      </c>
      <c r="Q325" s="25" t="n">
        <f aca="false">SUM(D325:J325)</f>
        <v>-396</v>
      </c>
      <c r="R325" s="21" t="n">
        <f aca="false">P325-Q325</f>
        <v>-515</v>
      </c>
    </row>
    <row r="326" customFormat="false" ht="14.65" hidden="false" customHeight="false" outlineLevel="0" collapsed="false">
      <c r="A326" s="22" t="s">
        <v>189</v>
      </c>
      <c r="B326" s="27" t="s">
        <v>34</v>
      </c>
      <c r="C326" s="21"/>
      <c r="D326" s="37" t="n">
        <f aca="false">'''file:///mnt/12tb/@roms/datasets/enron/EDRM%20Enron%20Email%20Data%20Set%20v2%20XML/filtered-attachments/xls/EMTW01CE.XLS''#Source'!D40</f>
        <v>-130</v>
      </c>
      <c r="E326" s="37" t="n">
        <f aca="false">'''file:///mnt/12tb/@roms/datasets/enron/EDRM%20Enron%20Email%20Data%20Set%20v2%20XML/filtered-attachments/xls/EMTW01CE.XLS''#Source'!E40</f>
        <v>-178</v>
      </c>
      <c r="F326" s="37" t="n">
        <f aca="false">'''file:///mnt/12tb/@roms/datasets/enron/EDRM%20Enron%20Email%20Data%20Set%20v2%20XML/filtered-attachments/xls/EMTW01CE.XLS''#Source'!F40</f>
        <v>-90</v>
      </c>
      <c r="G326" s="37" t="n">
        <f aca="false">'''file:///mnt/12tb/@roms/datasets/enron/EDRM%20Enron%20Email%20Data%20Set%20v2%20XML/filtered-attachments/xls/EMTW01CE.XLS''#Source'!G40</f>
        <v>-84</v>
      </c>
      <c r="H326" s="37" t="n">
        <f aca="false">'''file:///mnt/12tb/@roms/datasets/enron/EDRM%20Enron%20Email%20Data%20Set%20v2%20XML/filtered-attachments/xls/EMTW01CE.XLS''#Source'!H40</f>
        <v>-89</v>
      </c>
      <c r="I326" s="37" t="n">
        <f aca="false">'''file:///mnt/12tb/@roms/datasets/enron/EDRM%20Enron%20Email%20Data%20Set%20v2%20XML/filtered-attachments/xls/EMTW01CE.XLS''#Source'!I40</f>
        <v>-88</v>
      </c>
      <c r="J326" s="37" t="n">
        <f aca="false">'''file:///mnt/12tb/@roms/datasets/enron/EDRM%20Enron%20Email%20Data%20Set%20v2%20XML/filtered-attachments/xls/EMTW01CE.XLS''#Source'!J40</f>
        <v>-105</v>
      </c>
      <c r="K326" s="37" t="n">
        <f aca="false">'''file:///mnt/12tb/@roms/datasets/enron/EDRM%20Enron%20Email%20Data%20Set%20v2%20XML/filtered-attachments/xls/EMTW01CE.XLS''#Source'!K40</f>
        <v>-105</v>
      </c>
      <c r="L326" s="37" t="n">
        <f aca="false">'''file:///mnt/12tb/@roms/datasets/enron/EDRM%20Enron%20Email%20Data%20Set%20v2%20XML/filtered-attachments/xls/EMTW01CE.XLS''#Source'!L40</f>
        <v>-105</v>
      </c>
      <c r="M326" s="37" t="n">
        <f aca="false">'''file:///mnt/12tb/@roms/datasets/enron/EDRM%20Enron%20Email%20Data%20Set%20v2%20XML/filtered-attachments/xls/EMTW01CE.XLS''#Source'!M40</f>
        <v>-102</v>
      </c>
      <c r="N326" s="37" t="n">
        <f aca="false">'''file:///mnt/12tb/@roms/datasets/enron/EDRM%20Enron%20Email%20Data%20Set%20v2%20XML/filtered-attachments/xls/EMTW01CE.XLS''#Source'!N40</f>
        <v>-102</v>
      </c>
      <c r="O326" s="37" t="n">
        <f aca="false">'''file:///mnt/12tb/@roms/datasets/enron/EDRM%20Enron%20Email%20Data%20Set%20v2%20XML/filtered-attachments/xls/EMTW01CE.XLS''#Source'!O40</f>
        <v>-102</v>
      </c>
      <c r="P326" s="24" t="n">
        <f aca="false">SUM(D326:O326)</f>
        <v>-1280</v>
      </c>
      <c r="Q326" s="23" t="n">
        <f aca="false">SUM(D326:J326)</f>
        <v>-764</v>
      </c>
      <c r="R326" s="24" t="n">
        <f aca="false">P326-Q326</f>
        <v>-516</v>
      </c>
    </row>
    <row r="327" customFormat="false" ht="3.95" hidden="false" customHeight="true" outlineLevel="0" collapsed="false"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</row>
    <row r="328" customFormat="false" ht="14.65" hidden="false" customHeight="false" outlineLevel="0" collapsed="false">
      <c r="A328" s="22" t="s">
        <v>190</v>
      </c>
      <c r="C328" s="21"/>
      <c r="D328" s="24" t="n">
        <f aca="false">SUM(D323:D327)</f>
        <v>-257</v>
      </c>
      <c r="E328" s="24" t="n">
        <f aca="false">SUM(E323:E327)</f>
        <v>806</v>
      </c>
      <c r="F328" s="24" t="n">
        <f aca="false">SUM(F323:F327)</f>
        <v>769</v>
      </c>
      <c r="G328" s="24" t="n">
        <f aca="false">SUM(G323:G327)</f>
        <v>-2504</v>
      </c>
      <c r="H328" s="24" t="n">
        <f aca="false">SUM(H323:H327)</f>
        <v>97</v>
      </c>
      <c r="I328" s="24" t="n">
        <f aca="false">SUM(I323:I327)</f>
        <v>533</v>
      </c>
      <c r="J328" s="24" t="n">
        <f aca="false">SUM(J323:J327)</f>
        <v>825</v>
      </c>
      <c r="K328" s="24" t="n">
        <f aca="false">SUM(K323:K327)</f>
        <v>610</v>
      </c>
      <c r="L328" s="24" t="n">
        <f aca="false">SUM(L323:L327)</f>
        <v>825</v>
      </c>
      <c r="M328" s="24" t="n">
        <f aca="false">SUM(M323:M327)</f>
        <v>-2502</v>
      </c>
      <c r="N328" s="24" t="n">
        <f aca="false">SUM(N323:N327)</f>
        <v>625</v>
      </c>
      <c r="O328" s="24" t="n">
        <f aca="false">SUM(O323:O327)</f>
        <v>-381</v>
      </c>
      <c r="P328" s="24" t="n">
        <f aca="false">SUM(P323:P327)</f>
        <v>-554</v>
      </c>
      <c r="Q328" s="24" t="n">
        <f aca="false">SUM(Q323:Q327)</f>
        <v>269</v>
      </c>
      <c r="R328" s="24" t="n">
        <f aca="false">P328-Q328</f>
        <v>-823</v>
      </c>
    </row>
    <row r="329" customFormat="false" ht="6" hidden="false" customHeight="true" outlineLevel="0" collapsed="false"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</row>
    <row r="330" customFormat="false" ht="14.65" hidden="false" customHeight="false" outlineLevel="0" collapsed="false">
      <c r="A330" s="22" t="s">
        <v>191</v>
      </c>
      <c r="B330" s="27" t="s">
        <v>34</v>
      </c>
      <c r="C330" s="21"/>
      <c r="D330" s="37" t="n">
        <f aca="false">'''file:///mnt/12tb/@roms/datasets/enron/EDRM%20Enron%20Email%20Data%20Set%20v2%20XML/filtered-attachments/xls/EMTW01CE.XLS''#Source'!D55</f>
        <v>4269</v>
      </c>
      <c r="E330" s="37" t="n">
        <f aca="false">'''file:///mnt/12tb/@roms/datasets/enron/EDRM%20Enron%20Email%20Data%20Set%20v2%20XML/filtered-attachments/xls/EMTW01CE.XLS''#Source'!E55</f>
        <v>5462</v>
      </c>
      <c r="F330" s="37" t="n">
        <f aca="false">'''file:///mnt/12tb/@roms/datasets/enron/EDRM%20Enron%20Email%20Data%20Set%20v2%20XML/filtered-attachments/xls/EMTW01CE.XLS''#Source'!F55</f>
        <v>2160</v>
      </c>
      <c r="G330" s="37" t="n">
        <f aca="false">'''file:///mnt/12tb/@roms/datasets/enron/EDRM%20Enron%20Email%20Data%20Set%20v2%20XML/filtered-attachments/xls/EMTW01CE.XLS''#Source'!G55</f>
        <v>5223</v>
      </c>
      <c r="H330" s="37" t="n">
        <f aca="false">'''file:///mnt/12tb/@roms/datasets/enron/EDRM%20Enron%20Email%20Data%20Set%20v2%20XML/filtered-attachments/xls/EMTW01CE.XLS''#Source'!H55</f>
        <v>4858</v>
      </c>
      <c r="I330" s="37" t="n">
        <f aca="false">'''file:///mnt/12tb/@roms/datasets/enron/EDRM%20Enron%20Email%20Data%20Set%20v2%20XML/filtered-attachments/xls/EMTW01CE.XLS''#Source'!I55</f>
        <v>4043</v>
      </c>
      <c r="J330" s="37" t="n">
        <f aca="false">'''file:///mnt/12tb/@roms/datasets/enron/EDRM%20Enron%20Email%20Data%20Set%20v2%20XML/filtered-attachments/xls/EMTW01CE.XLS''#Source'!J55</f>
        <v>4316</v>
      </c>
      <c r="K330" s="37" t="n">
        <f aca="false">'''file:///mnt/12tb/@roms/datasets/enron/EDRM%20Enron%20Email%20Data%20Set%20v2%20XML/filtered-attachments/xls/EMTW01CE.XLS''#Source'!K55</f>
        <v>4057</v>
      </c>
      <c r="L330" s="37" t="n">
        <f aca="false">'''file:///mnt/12tb/@roms/datasets/enron/EDRM%20Enron%20Email%20Data%20Set%20v2%20XML/filtered-attachments/xls/EMTW01CE.XLS''#Source'!L55</f>
        <v>7612</v>
      </c>
      <c r="M330" s="37" t="n">
        <f aca="false">'''file:///mnt/12tb/@roms/datasets/enron/EDRM%20Enron%20Email%20Data%20Set%20v2%20XML/filtered-attachments/xls/EMTW01CE.XLS''#Source'!M55</f>
        <v>4053</v>
      </c>
      <c r="N330" s="37" t="n">
        <f aca="false">'''file:///mnt/12tb/@roms/datasets/enron/EDRM%20Enron%20Email%20Data%20Set%20v2%20XML/filtered-attachments/xls/EMTW01CE.XLS''#Source'!N55</f>
        <v>3883</v>
      </c>
      <c r="O330" s="37" t="n">
        <f aca="false">'''file:///mnt/12tb/@roms/datasets/enron/EDRM%20Enron%20Email%20Data%20Set%20v2%20XML/filtered-attachments/xls/EMTW01CE.XLS''#Source'!O55</f>
        <v>4098</v>
      </c>
      <c r="P330" s="24" t="n">
        <f aca="false">SUM(D330:O330)</f>
        <v>54034</v>
      </c>
      <c r="Q330" s="23" t="n">
        <f aca="false">SUM(D330:J330)</f>
        <v>30331</v>
      </c>
      <c r="R330" s="24" t="n">
        <f aca="false">P330-Q330</f>
        <v>23703</v>
      </c>
    </row>
    <row r="331" customFormat="false" ht="6" hidden="false" customHeight="true" outlineLevel="0" collapsed="false"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</row>
    <row r="332" customFormat="false" ht="14.65" hidden="false" customHeight="false" outlineLevel="0" collapsed="false">
      <c r="A332" s="22" t="s">
        <v>192</v>
      </c>
      <c r="B332" s="27" t="s">
        <v>34</v>
      </c>
      <c r="C332" s="21"/>
      <c r="D332" s="28" t="n">
        <f aca="false">-'''file:///mnt/12tb/@roms/datasets/enron/EDRM%20Enron%20Email%20Data%20Set%20v2%20XML/filtered-attachments/xls/EMTW01CE.XLS''#Source'!D51</f>
        <v>3944</v>
      </c>
      <c r="E332" s="28" t="n">
        <f aca="false">-'''file:///mnt/12tb/@roms/datasets/enron/EDRM%20Enron%20Email%20Data%20Set%20v2%20XML/filtered-attachments/xls/EMTW01CE.XLS''#Source'!E51</f>
        <v>5194</v>
      </c>
      <c r="F332" s="28" t="n">
        <f aca="false">-'''file:///mnt/12tb/@roms/datasets/enron/EDRM%20Enron%20Email%20Data%20Set%20v2%20XML/filtered-attachments/xls/EMTW01CE.XLS''#Source'!F51</f>
        <v>6678</v>
      </c>
      <c r="G332" s="28" t="n">
        <f aca="false">-'''file:///mnt/12tb/@roms/datasets/enron/EDRM%20Enron%20Email%20Data%20Set%20v2%20XML/filtered-attachments/xls/EMTW01CE.XLS''#Source'!G51</f>
        <v>4247</v>
      </c>
      <c r="H332" s="28" t="n">
        <f aca="false">-'''file:///mnt/12tb/@roms/datasets/enron/EDRM%20Enron%20Email%20Data%20Set%20v2%20XML/filtered-attachments/xls/EMTW01CE.XLS''#Source'!H51</f>
        <v>4424</v>
      </c>
      <c r="I332" s="28" t="n">
        <f aca="false">-'''file:///mnt/12tb/@roms/datasets/enron/EDRM%20Enron%20Email%20Data%20Set%20v2%20XML/filtered-attachments/xls/EMTW01CE.XLS''#Source'!I51</f>
        <v>3863</v>
      </c>
      <c r="J332" s="28" t="n">
        <f aca="false">-'''file:///mnt/12tb/@roms/datasets/enron/EDRM%20Enron%20Email%20Data%20Set%20v2%20XML/filtered-attachments/xls/EMTW01CE.XLS''#Source'!J51</f>
        <v>4006</v>
      </c>
      <c r="K332" s="28" t="n">
        <f aca="false">-'''file:///mnt/12tb/@roms/datasets/enron/EDRM%20Enron%20Email%20Data%20Set%20v2%20XML/filtered-attachments/xls/EMTW01CE.XLS''#Source'!K51</f>
        <v>3755</v>
      </c>
      <c r="L332" s="28" t="n">
        <f aca="false">-'''file:///mnt/12tb/@roms/datasets/enron/EDRM%20Enron%20Email%20Data%20Set%20v2%20XML/filtered-attachments/xls/EMTW01CE.XLS''#Source'!L51</f>
        <v>2072</v>
      </c>
      <c r="M332" s="28" t="n">
        <f aca="false">-'''file:///mnt/12tb/@roms/datasets/enron/EDRM%20Enron%20Email%20Data%20Set%20v2%20XML/filtered-attachments/xls/EMTW01CE.XLS''#Source'!M51</f>
        <v>637</v>
      </c>
      <c r="N332" s="28" t="n">
        <f aca="false">-'''file:///mnt/12tb/@roms/datasets/enron/EDRM%20Enron%20Email%20Data%20Set%20v2%20XML/filtered-attachments/xls/EMTW01CE.XLS''#Source'!N51</f>
        <v>4438</v>
      </c>
      <c r="O332" s="28" t="n">
        <f aca="false">-'''file:///mnt/12tb/@roms/datasets/enron/EDRM%20Enron%20Email%20Data%20Set%20v2%20XML/filtered-attachments/xls/EMTW01CE.XLS''#Source'!O51</f>
        <v>3878</v>
      </c>
      <c r="P332" s="21" t="n">
        <f aca="false">SUM(D332:O332)</f>
        <v>47136</v>
      </c>
      <c r="Q332" s="25" t="n">
        <f aca="false">SUM(D332:J332)</f>
        <v>32356</v>
      </c>
      <c r="R332" s="21" t="n">
        <f aca="false">P332-Q332</f>
        <v>14780</v>
      </c>
    </row>
    <row r="333" customFormat="false" ht="14.65" hidden="false" customHeight="false" outlineLevel="0" collapsed="false">
      <c r="A333" s="22" t="s">
        <v>193</v>
      </c>
      <c r="C333" s="21"/>
      <c r="D333" s="38" t="n">
        <f aca="false">-4101-175</f>
        <v>-4276</v>
      </c>
      <c r="E333" s="38" t="n">
        <f aca="false">-5348-175</f>
        <v>-5523</v>
      </c>
      <c r="F333" s="38" t="n">
        <f aca="false">(-7193+368)-175</f>
        <v>-7000</v>
      </c>
      <c r="G333" s="38" t="n">
        <f aca="false">-4546-175</f>
        <v>-4721</v>
      </c>
      <c r="H333" s="38" t="n">
        <f aca="false">-4067-175</f>
        <v>-4242</v>
      </c>
      <c r="I333" s="38" t="n">
        <f aca="false">-4059-175</f>
        <v>-4234</v>
      </c>
      <c r="J333" s="38" t="n">
        <f aca="false">-4122-175</f>
        <v>-4297</v>
      </c>
      <c r="K333" s="24" t="n">
        <f aca="false">-K332</f>
        <v>-3755</v>
      </c>
      <c r="L333" s="24" t="n">
        <f aca="false">-L332</f>
        <v>-2072</v>
      </c>
      <c r="M333" s="24" t="n">
        <f aca="false">-M332</f>
        <v>-637</v>
      </c>
      <c r="N333" s="24" t="n">
        <f aca="false">-N332</f>
        <v>-4438</v>
      </c>
      <c r="O333" s="24" t="n">
        <f aca="false">-O332</f>
        <v>-3878</v>
      </c>
      <c r="P333" s="24" t="n">
        <f aca="false">SUM(D333:O333)</f>
        <v>-49073</v>
      </c>
      <c r="Q333" s="23" t="n">
        <f aca="false">SUM(D333:J333)</f>
        <v>-34293</v>
      </c>
      <c r="R333" s="24" t="n">
        <f aca="false">P333-Q333</f>
        <v>-14780</v>
      </c>
    </row>
    <row r="334" customFormat="false" ht="3.95" hidden="false" customHeight="true" outlineLevel="0" collapsed="false"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</row>
    <row r="335" customFormat="false" ht="14.65" hidden="false" customHeight="false" outlineLevel="0" collapsed="false">
      <c r="A335" s="22" t="s">
        <v>194</v>
      </c>
      <c r="C335" s="21"/>
      <c r="D335" s="21" t="n">
        <f aca="false">D332+D333</f>
        <v>-332</v>
      </c>
      <c r="E335" s="21" t="n">
        <f aca="false">E332+E333</f>
        <v>-329</v>
      </c>
      <c r="F335" s="21" t="n">
        <f aca="false">F332+F333</f>
        <v>-322</v>
      </c>
      <c r="G335" s="21" t="n">
        <f aca="false">G332+G333</f>
        <v>-474</v>
      </c>
      <c r="H335" s="21" t="n">
        <f aca="false">H332+H333</f>
        <v>182</v>
      </c>
      <c r="I335" s="21" t="n">
        <f aca="false">I332+I333</f>
        <v>-371</v>
      </c>
      <c r="J335" s="21" t="n">
        <f aca="false">J332+J333</f>
        <v>-291</v>
      </c>
      <c r="K335" s="21" t="n">
        <f aca="false">K332+K333</f>
        <v>0</v>
      </c>
      <c r="L335" s="21" t="n">
        <f aca="false">L332+L333</f>
        <v>0</v>
      </c>
      <c r="M335" s="21" t="n">
        <f aca="false">M332+M333</f>
        <v>0</v>
      </c>
      <c r="N335" s="21" t="n">
        <f aca="false">N332+N333</f>
        <v>0</v>
      </c>
      <c r="O335" s="21" t="n">
        <f aca="false">O332+O333</f>
        <v>0</v>
      </c>
      <c r="P335" s="21" t="n">
        <f aca="false">P332+P333</f>
        <v>-1937</v>
      </c>
      <c r="Q335" s="21" t="n">
        <f aca="false">Q332+Q333</f>
        <v>-1937</v>
      </c>
      <c r="R335" s="21" t="n">
        <f aca="false">P335-Q335</f>
        <v>0</v>
      </c>
    </row>
    <row r="336" customFormat="false" ht="14.65" hidden="false" customHeight="false" outlineLevel="0" collapsed="false">
      <c r="A336" s="22" t="s">
        <v>190</v>
      </c>
      <c r="C336" s="21"/>
      <c r="D336" s="24" t="n">
        <f aca="false">D328</f>
        <v>-257</v>
      </c>
      <c r="E336" s="24" t="n">
        <f aca="false">E328</f>
        <v>806</v>
      </c>
      <c r="F336" s="24" t="n">
        <f aca="false">F328</f>
        <v>769</v>
      </c>
      <c r="G336" s="24" t="n">
        <f aca="false">G328</f>
        <v>-2504</v>
      </c>
      <c r="H336" s="24" t="n">
        <f aca="false">H328</f>
        <v>97</v>
      </c>
      <c r="I336" s="24" t="n">
        <f aca="false">I328</f>
        <v>533</v>
      </c>
      <c r="J336" s="24" t="n">
        <f aca="false">J328</f>
        <v>825</v>
      </c>
      <c r="K336" s="24" t="n">
        <f aca="false">K328</f>
        <v>610</v>
      </c>
      <c r="L336" s="24" t="n">
        <f aca="false">L328</f>
        <v>825</v>
      </c>
      <c r="M336" s="24" t="n">
        <f aca="false">M328</f>
        <v>-2502</v>
      </c>
      <c r="N336" s="24" t="n">
        <f aca="false">N328</f>
        <v>625</v>
      </c>
      <c r="O336" s="24" t="n">
        <f aca="false">O328</f>
        <v>-381</v>
      </c>
      <c r="P336" s="24" t="n">
        <f aca="false">P328</f>
        <v>-554</v>
      </c>
      <c r="Q336" s="24" t="n">
        <f aca="false">Q328</f>
        <v>269</v>
      </c>
      <c r="R336" s="24" t="n">
        <f aca="false">P336-Q336</f>
        <v>-823</v>
      </c>
    </row>
    <row r="337" customFormat="false" ht="3.95" hidden="false" customHeight="true" outlineLevel="0" collapsed="false"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</row>
    <row r="338" customFormat="false" ht="14.65" hidden="false" customHeight="false" outlineLevel="0" collapsed="false">
      <c r="A338" s="22" t="s">
        <v>195</v>
      </c>
      <c r="C338" s="21"/>
      <c r="D338" s="21" t="n">
        <f aca="false">D335+D336</f>
        <v>-589</v>
      </c>
      <c r="E338" s="21" t="n">
        <f aca="false">E335+E336</f>
        <v>477</v>
      </c>
      <c r="F338" s="21" t="n">
        <f aca="false">F335+F336</f>
        <v>447</v>
      </c>
      <c r="G338" s="21" t="n">
        <f aca="false">G335+G336</f>
        <v>-2978</v>
      </c>
      <c r="H338" s="21" t="n">
        <f aca="false">H335+H336</f>
        <v>279</v>
      </c>
      <c r="I338" s="21" t="n">
        <f aca="false">I335+I336</f>
        <v>162</v>
      </c>
      <c r="J338" s="21" t="n">
        <f aca="false">J335+J336</f>
        <v>534</v>
      </c>
      <c r="K338" s="21" t="n">
        <f aca="false">K335+K336</f>
        <v>610</v>
      </c>
      <c r="L338" s="21" t="n">
        <f aca="false">L335+L336</f>
        <v>825</v>
      </c>
      <c r="M338" s="21" t="n">
        <f aca="false">M335+M336</f>
        <v>-2502</v>
      </c>
      <c r="N338" s="21" t="n">
        <f aca="false">N335+N336</f>
        <v>625</v>
      </c>
      <c r="O338" s="21" t="n">
        <f aca="false">O335+O336</f>
        <v>-381</v>
      </c>
      <c r="P338" s="21" t="n">
        <f aca="false">P335+P336</f>
        <v>-2491</v>
      </c>
      <c r="Q338" s="21" t="n">
        <f aca="false">Q335+Q336</f>
        <v>-1668</v>
      </c>
      <c r="R338" s="21" t="n">
        <f aca="false">P338-Q338</f>
        <v>-823</v>
      </c>
    </row>
    <row r="339" customFormat="false" ht="14.65" hidden="false" customHeight="false" outlineLevel="0" collapsed="false">
      <c r="A339" s="22" t="s">
        <v>196</v>
      </c>
      <c r="C339" s="21"/>
      <c r="D339" s="21" t="n">
        <f aca="false">C342</f>
        <v>6126</v>
      </c>
      <c r="E339" s="21" t="n">
        <f aca="false">D342</f>
        <v>5393</v>
      </c>
      <c r="F339" s="21" t="n">
        <f aca="false">E342</f>
        <v>6454</v>
      </c>
      <c r="G339" s="21" t="n">
        <f aca="false">F342</f>
        <v>7503</v>
      </c>
      <c r="H339" s="21" t="n">
        <f aca="false">G342</f>
        <v>5021</v>
      </c>
      <c r="I339" s="21" t="n">
        <f aca="false">H342</f>
        <v>5095</v>
      </c>
      <c r="J339" s="21" t="n">
        <f aca="false">I342</f>
        <v>5668</v>
      </c>
      <c r="K339" s="21" t="n">
        <f aca="false">J342</f>
        <v>6434</v>
      </c>
      <c r="L339" s="21" t="n">
        <f aca="false">K342</f>
        <v>7044</v>
      </c>
      <c r="M339" s="21" t="n">
        <f aca="false">L342</f>
        <v>7869</v>
      </c>
      <c r="N339" s="21" t="n">
        <f aca="false">M342</f>
        <v>5367</v>
      </c>
      <c r="O339" s="21" t="n">
        <f aca="false">N342</f>
        <v>5992</v>
      </c>
      <c r="P339" s="21"/>
    </row>
    <row r="340" customFormat="false" ht="14.65" hidden="false" customHeight="false" outlineLevel="0" collapsed="false">
      <c r="A340" s="22" t="s">
        <v>178</v>
      </c>
      <c r="C340" s="23" t="n">
        <v>0</v>
      </c>
      <c r="D340" s="23" t="n">
        <v>-144</v>
      </c>
      <c r="E340" s="23" t="n">
        <v>584</v>
      </c>
      <c r="F340" s="23" t="n">
        <v>602</v>
      </c>
      <c r="G340" s="23" t="n">
        <v>496</v>
      </c>
      <c r="H340" s="23" t="n">
        <v>-205</v>
      </c>
      <c r="I340" s="23" t="n">
        <v>411</v>
      </c>
      <c r="J340" s="23" t="n">
        <v>232</v>
      </c>
      <c r="K340" s="23" t="n">
        <v>0</v>
      </c>
      <c r="L340" s="23" t="n">
        <v>0</v>
      </c>
      <c r="M340" s="23" t="n">
        <v>0</v>
      </c>
      <c r="N340" s="23" t="n">
        <v>0</v>
      </c>
      <c r="O340" s="23" t="n">
        <v>0</v>
      </c>
      <c r="P340" s="24" t="n">
        <f aca="false">SUM(D340:O340)</f>
        <v>1976</v>
      </c>
      <c r="Q340" s="23" t="n">
        <f aca="false">SUM(D340:J340)</f>
        <v>1976</v>
      </c>
      <c r="R340" s="24" t="n">
        <f aca="false">P340-Q340</f>
        <v>0</v>
      </c>
    </row>
    <row r="341" customFormat="false" ht="3.95" hidden="false" customHeight="true" outlineLevel="0" collapsed="false"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</row>
    <row r="342" customFormat="false" ht="14.65" hidden="false" customHeight="false" outlineLevel="0" collapsed="false">
      <c r="A342" s="20" t="s">
        <v>197</v>
      </c>
      <c r="C342" s="25" t="n">
        <v>6126</v>
      </c>
      <c r="D342" s="21" t="n">
        <f aca="false">SUM(D338:D341)</f>
        <v>5393</v>
      </c>
      <c r="E342" s="21" t="n">
        <f aca="false">SUM(E338:E341)</f>
        <v>6454</v>
      </c>
      <c r="F342" s="21" t="n">
        <f aca="false">SUM(F338:F341)</f>
        <v>7503</v>
      </c>
      <c r="G342" s="21" t="n">
        <f aca="false">SUM(G338:G341)</f>
        <v>5021</v>
      </c>
      <c r="H342" s="21" t="n">
        <f aca="false">SUM(H338:H341)</f>
        <v>5095</v>
      </c>
      <c r="I342" s="21" t="n">
        <f aca="false">SUM(I338:I341)</f>
        <v>5668</v>
      </c>
      <c r="J342" s="21" t="n">
        <f aca="false">SUM(J338:J341)</f>
        <v>6434</v>
      </c>
      <c r="K342" s="21" t="n">
        <f aca="false">SUM(K338:K341)</f>
        <v>7044</v>
      </c>
      <c r="L342" s="21" t="n">
        <f aca="false">SUM(L338:L341)</f>
        <v>7869</v>
      </c>
      <c r="M342" s="21" t="n">
        <f aca="false">SUM(M338:M341)</f>
        <v>5367</v>
      </c>
      <c r="N342" s="21" t="n">
        <f aca="false">SUM(N338:N341)</f>
        <v>5992</v>
      </c>
      <c r="O342" s="21" t="n">
        <f aca="false">SUM(O338:O341)</f>
        <v>5611</v>
      </c>
      <c r="P342" s="21"/>
    </row>
    <row r="343" customFormat="false" ht="3.95" hidden="false" customHeight="true" outlineLevel="0" collapsed="false"/>
    <row r="344" customFormat="false" ht="14.65" hidden="false" customHeight="false" outlineLevel="0" collapsed="false">
      <c r="A344" s="22" t="s">
        <v>30</v>
      </c>
      <c r="C344" s="21"/>
      <c r="D344" s="21" t="n">
        <f aca="false">D342-C342</f>
        <v>-733</v>
      </c>
      <c r="E344" s="21" t="n">
        <f aca="false">E342-D342</f>
        <v>1061</v>
      </c>
      <c r="F344" s="21" t="n">
        <f aca="false">F342-E342</f>
        <v>1049</v>
      </c>
      <c r="G344" s="21" t="n">
        <f aca="false">G342-F342</f>
        <v>-2482</v>
      </c>
      <c r="H344" s="21" t="n">
        <f aca="false">H342-G342</f>
        <v>74</v>
      </c>
      <c r="I344" s="21" t="n">
        <f aca="false">I342-H342</f>
        <v>573</v>
      </c>
      <c r="J344" s="21" t="n">
        <f aca="false">J342-I342</f>
        <v>766</v>
      </c>
      <c r="K344" s="21" t="n">
        <f aca="false">K342-J342</f>
        <v>610</v>
      </c>
      <c r="L344" s="21" t="n">
        <f aca="false">L342-K342</f>
        <v>825</v>
      </c>
      <c r="M344" s="21" t="n">
        <f aca="false">M342-L342</f>
        <v>-2502</v>
      </c>
      <c r="N344" s="21" t="n">
        <f aca="false">N342-M342</f>
        <v>625</v>
      </c>
      <c r="O344" s="21" t="n">
        <f aca="false">O342-N342</f>
        <v>-381</v>
      </c>
      <c r="P344" s="21" t="n">
        <f aca="false">SUM(D344:O344)</f>
        <v>-515</v>
      </c>
      <c r="Q344" s="21" t="n">
        <f aca="false">Q338+Q340</f>
        <v>308</v>
      </c>
      <c r="R344" s="21" t="n">
        <f aca="false">P344-Q344</f>
        <v>-823</v>
      </c>
    </row>
    <row r="347" customFormat="false" ht="14.65" hidden="false" customHeight="false" outlineLevel="0" collapsed="false">
      <c r="A347" s="20" t="s">
        <v>198</v>
      </c>
      <c r="C347" s="21"/>
      <c r="D347" s="21" t="n">
        <f aca="false">C352</f>
        <v>2129</v>
      </c>
      <c r="E347" s="21" t="n">
        <f aca="false">D352</f>
        <v>2129</v>
      </c>
      <c r="F347" s="21" t="n">
        <f aca="false">E352</f>
        <v>2129</v>
      </c>
      <c r="G347" s="21" t="n">
        <f aca="false">F352</f>
        <v>2129</v>
      </c>
      <c r="H347" s="21" t="n">
        <f aca="false">G352</f>
        <v>879</v>
      </c>
      <c r="I347" s="21" t="n">
        <f aca="false">H352</f>
        <v>6632</v>
      </c>
      <c r="J347" s="21" t="n">
        <f aca="false">I352</f>
        <v>2129</v>
      </c>
      <c r="K347" s="21" t="n">
        <f aca="false">J352</f>
        <v>2119</v>
      </c>
      <c r="L347" s="21" t="n">
        <f aca="false">K352</f>
        <v>2119</v>
      </c>
      <c r="M347" s="21" t="n">
        <f aca="false">L352</f>
        <v>2119</v>
      </c>
      <c r="N347" s="21" t="n">
        <f aca="false">M352</f>
        <v>2119</v>
      </c>
      <c r="O347" s="21" t="n">
        <f aca="false">N352</f>
        <v>2119</v>
      </c>
      <c r="P347" s="21"/>
    </row>
    <row r="348" customFormat="false" ht="14.65" hidden="false" customHeight="false" outlineLevel="0" collapsed="false">
      <c r="A348" s="22" t="s">
        <v>199</v>
      </c>
      <c r="B348" s="27" t="s">
        <v>34</v>
      </c>
      <c r="C348" s="21"/>
      <c r="D348" s="28" t="n">
        <f aca="false">'''file:///mnt/12tb/@roms/datasets/enron/EDRM%20Enron%20Email%20Data%20Set%20v2%20XML/filtered-attachments/xls/EMTW01CE.XLS''#Source'!D52</f>
        <v>0</v>
      </c>
      <c r="E348" s="28" t="n">
        <f aca="false">'''file:///mnt/12tb/@roms/datasets/enron/EDRM%20Enron%20Email%20Data%20Set%20v2%20XML/filtered-attachments/xls/EMTW01CE.XLS''#Source'!E52</f>
        <v>0</v>
      </c>
      <c r="F348" s="28" t="n">
        <f aca="false">'''file:///mnt/12tb/@roms/datasets/enron/EDRM%20Enron%20Email%20Data%20Set%20v2%20XML/filtered-attachments/xls/EMTW01CE.XLS''#Source'!F52</f>
        <v>0</v>
      </c>
      <c r="G348" s="28" t="n">
        <f aca="false">'''file:///mnt/12tb/@roms/datasets/enron/EDRM%20Enron%20Email%20Data%20Set%20v2%20XML/filtered-attachments/xls/EMTW01CE.XLS''#Source'!G52</f>
        <v>0</v>
      </c>
      <c r="H348" s="28" t="n">
        <f aca="false">'''file:///mnt/12tb/@roms/datasets/enron/EDRM%20Enron%20Email%20Data%20Set%20v2%20XML/filtered-attachments/xls/EMTW01CE.XLS''#Source'!H52</f>
        <v>0</v>
      </c>
      <c r="I348" s="28" t="n">
        <f aca="false">'''file:///mnt/12tb/@roms/datasets/enron/EDRM%20Enron%20Email%20Data%20Set%20v2%20XML/filtered-attachments/xls/EMTW01CE.XLS''#Source'!I52</f>
        <v>0</v>
      </c>
      <c r="J348" s="28" t="n">
        <f aca="false">'''file:///mnt/12tb/@roms/datasets/enron/EDRM%20Enron%20Email%20Data%20Set%20v2%20XML/filtered-attachments/xls/EMTW01CE.XLS''#Source'!J52</f>
        <v>0</v>
      </c>
      <c r="K348" s="28" t="n">
        <f aca="false">'''file:///mnt/12tb/@roms/datasets/enron/EDRM%20Enron%20Email%20Data%20Set%20v2%20XML/filtered-attachments/xls/EMTW01CE.XLS''#Source'!K52</f>
        <v>0</v>
      </c>
      <c r="L348" s="28" t="n">
        <f aca="false">'''file:///mnt/12tb/@roms/datasets/enron/EDRM%20Enron%20Email%20Data%20Set%20v2%20XML/filtered-attachments/xls/EMTW01CE.XLS''#Source'!L52</f>
        <v>0</v>
      </c>
      <c r="M348" s="28" t="n">
        <f aca="false">'''file:///mnt/12tb/@roms/datasets/enron/EDRM%20Enron%20Email%20Data%20Set%20v2%20XML/filtered-attachments/xls/EMTW01CE.XLS''#Source'!M52</f>
        <v>0</v>
      </c>
      <c r="N348" s="28" t="n">
        <f aca="false">'''file:///mnt/12tb/@roms/datasets/enron/EDRM%20Enron%20Email%20Data%20Set%20v2%20XML/filtered-attachments/xls/EMTW01CE.XLS''#Source'!N52</f>
        <v>0</v>
      </c>
      <c r="O348" s="28" t="n">
        <f aca="false">'''file:///mnt/12tb/@roms/datasets/enron/EDRM%20Enron%20Email%20Data%20Set%20v2%20XML/filtered-attachments/xls/EMTW01CE.XLS''#Source'!O52</f>
        <v>0</v>
      </c>
      <c r="P348" s="21" t="n">
        <f aca="false">SUM(D348:O348)</f>
        <v>0</v>
      </c>
      <c r="Q348" s="25" t="n">
        <f aca="false">SUM(D348:J348)</f>
        <v>0</v>
      </c>
      <c r="R348" s="21" t="n">
        <f aca="false">P348-Q348</f>
        <v>0</v>
      </c>
    </row>
    <row r="349" customFormat="false" ht="14.65" hidden="false" customHeight="false" outlineLevel="0" collapsed="false">
      <c r="A349" s="22" t="s">
        <v>200</v>
      </c>
      <c r="B349" s="27"/>
      <c r="C349" s="21"/>
      <c r="D349" s="31" t="n">
        <v>0</v>
      </c>
      <c r="E349" s="31" t="n">
        <v>0</v>
      </c>
      <c r="F349" s="31" t="n">
        <v>0</v>
      </c>
      <c r="G349" s="31" t="n">
        <v>-1250</v>
      </c>
      <c r="H349" s="31" t="n">
        <v>5753</v>
      </c>
      <c r="I349" s="31" t="n">
        <v>-4503</v>
      </c>
      <c r="J349" s="31" t="n">
        <v>-10</v>
      </c>
      <c r="K349" s="31" t="n">
        <v>0</v>
      </c>
      <c r="L349" s="31" t="n">
        <v>0</v>
      </c>
      <c r="M349" s="31" t="n">
        <v>0</v>
      </c>
      <c r="N349" s="31" t="n">
        <v>0</v>
      </c>
      <c r="O349" s="31" t="n">
        <v>0</v>
      </c>
      <c r="P349" s="21" t="n">
        <f aca="false">SUM(D349:O349)</f>
        <v>-10</v>
      </c>
      <c r="Q349" s="25" t="n">
        <f aca="false">SUM(D349:J349)</f>
        <v>-10</v>
      </c>
      <c r="R349" s="21" t="n">
        <f aca="false">P349-Q349</f>
        <v>0</v>
      </c>
    </row>
    <row r="350" customFormat="false" ht="14.65" hidden="false" customHeight="false" outlineLevel="0" collapsed="false">
      <c r="A350" s="22" t="s">
        <v>178</v>
      </c>
      <c r="C350" s="23" t="n">
        <v>0</v>
      </c>
      <c r="D350" s="23" t="n">
        <v>0</v>
      </c>
      <c r="E350" s="23" t="n">
        <v>0</v>
      </c>
      <c r="F350" s="23" t="n">
        <v>0</v>
      </c>
      <c r="G350" s="23" t="n">
        <v>0</v>
      </c>
      <c r="H350" s="23" t="n">
        <v>0</v>
      </c>
      <c r="I350" s="23" t="n">
        <v>0</v>
      </c>
      <c r="J350" s="23" t="n">
        <v>0</v>
      </c>
      <c r="K350" s="23" t="n">
        <v>0</v>
      </c>
      <c r="L350" s="23" t="n">
        <v>0</v>
      </c>
      <c r="M350" s="23" t="n">
        <v>0</v>
      </c>
      <c r="N350" s="23" t="n">
        <v>0</v>
      </c>
      <c r="O350" s="23" t="n">
        <v>0</v>
      </c>
      <c r="P350" s="24" t="n">
        <f aca="false">SUM(D350:O350)</f>
        <v>0</v>
      </c>
      <c r="Q350" s="23" t="n">
        <f aca="false">SUM(D350:J350)</f>
        <v>0</v>
      </c>
      <c r="R350" s="24" t="n">
        <f aca="false">P350-Q350</f>
        <v>0</v>
      </c>
    </row>
    <row r="351" customFormat="false" ht="3.95" hidden="false" customHeight="true" outlineLevel="0" collapsed="false"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customFormat="false" ht="14.65" hidden="false" customHeight="false" outlineLevel="0" collapsed="false">
      <c r="A352" s="20" t="s">
        <v>201</v>
      </c>
      <c r="C352" s="25" t="n">
        <v>2129</v>
      </c>
      <c r="D352" s="21" t="n">
        <f aca="false">SUM(D347:D351)</f>
        <v>2129</v>
      </c>
      <c r="E352" s="21" t="n">
        <f aca="false">SUM(E347:E351)</f>
        <v>2129</v>
      </c>
      <c r="F352" s="21" t="n">
        <f aca="false">SUM(F347:F351)</f>
        <v>2129</v>
      </c>
      <c r="G352" s="21" t="n">
        <f aca="false">SUM(G347:G351)</f>
        <v>879</v>
      </c>
      <c r="H352" s="21" t="n">
        <f aca="false">SUM(H347:H351)</f>
        <v>6632</v>
      </c>
      <c r="I352" s="21" t="n">
        <f aca="false">SUM(I347:I351)</f>
        <v>2129</v>
      </c>
      <c r="J352" s="21" t="n">
        <f aca="false">SUM(J347:J351)</f>
        <v>2119</v>
      </c>
      <c r="K352" s="21" t="n">
        <f aca="false">SUM(K347:K351)</f>
        <v>2119</v>
      </c>
      <c r="L352" s="21" t="n">
        <f aca="false">SUM(L347:L351)</f>
        <v>2119</v>
      </c>
      <c r="M352" s="21" t="n">
        <f aca="false">SUM(M347:M351)</f>
        <v>2119</v>
      </c>
      <c r="N352" s="21" t="n">
        <f aca="false">SUM(N347:N351)</f>
        <v>2119</v>
      </c>
      <c r="O352" s="21" t="n">
        <f aca="false">SUM(O347:O351)</f>
        <v>2119</v>
      </c>
      <c r="P352" s="21"/>
    </row>
    <row r="353" customFormat="false" ht="3.95" hidden="false" customHeight="true" outlineLevel="0" collapsed="false"/>
    <row r="354" customFormat="false" ht="14.65" hidden="false" customHeight="false" outlineLevel="0" collapsed="false">
      <c r="A354" s="22" t="s">
        <v>30</v>
      </c>
      <c r="C354" s="21"/>
      <c r="D354" s="21" t="n">
        <f aca="false">D352-C352</f>
        <v>0</v>
      </c>
      <c r="E354" s="21" t="n">
        <f aca="false">E352-D352</f>
        <v>0</v>
      </c>
      <c r="F354" s="21" t="n">
        <f aca="false">F352-E352</f>
        <v>0</v>
      </c>
      <c r="G354" s="21" t="n">
        <f aca="false">G352-F352</f>
        <v>-1250</v>
      </c>
      <c r="H354" s="21" t="n">
        <f aca="false">H352-G352</f>
        <v>5753</v>
      </c>
      <c r="I354" s="21" t="n">
        <f aca="false">I352-H352</f>
        <v>-4503</v>
      </c>
      <c r="J354" s="21" t="n">
        <f aca="false">J352-I352</f>
        <v>-10</v>
      </c>
      <c r="K354" s="21" t="n">
        <f aca="false">K352-J352</f>
        <v>0</v>
      </c>
      <c r="L354" s="21" t="n">
        <f aca="false">L352-K352</f>
        <v>0</v>
      </c>
      <c r="M354" s="21" t="n">
        <f aca="false">M352-L352</f>
        <v>0</v>
      </c>
      <c r="N354" s="21" t="n">
        <f aca="false">N352-M352</f>
        <v>0</v>
      </c>
      <c r="O354" s="21" t="n">
        <f aca="false">O352-N352</f>
        <v>0</v>
      </c>
      <c r="P354" s="21" t="n">
        <f aca="false">SUM(D354:O354)</f>
        <v>-10</v>
      </c>
      <c r="Q354" s="21" t="n">
        <f aca="false">SUM(Q348:Q351)</f>
        <v>-10</v>
      </c>
      <c r="R354" s="21" t="n">
        <f aca="false">P354-Q354</f>
        <v>0</v>
      </c>
    </row>
    <row r="356" customFormat="false" ht="14.65" hidden="false" customHeight="false" outlineLevel="0" collapsed="false">
      <c r="A356" s="20" t="s">
        <v>202</v>
      </c>
      <c r="C356" s="21"/>
      <c r="D356" s="21" t="n">
        <f aca="false">C362</f>
        <v>238702</v>
      </c>
      <c r="E356" s="21" t="n">
        <f aca="false">D362</f>
        <v>238852</v>
      </c>
      <c r="F356" s="21" t="n">
        <f aca="false">E362</f>
        <v>238944</v>
      </c>
      <c r="G356" s="21" t="n">
        <f aca="false">F362</f>
        <v>220220</v>
      </c>
      <c r="H356" s="21" t="n">
        <f aca="false">G362</f>
        <v>226075</v>
      </c>
      <c r="I356" s="21" t="n">
        <f aca="false">H362</f>
        <v>232744</v>
      </c>
      <c r="J356" s="21" t="n">
        <f aca="false">I362</f>
        <v>235318</v>
      </c>
      <c r="K356" s="21" t="n">
        <f aca="false">J362</f>
        <v>235463</v>
      </c>
      <c r="L356" s="21" t="n">
        <f aca="false">K362</f>
        <v>235590</v>
      </c>
      <c r="M356" s="21" t="n">
        <f aca="false">L362</f>
        <v>240955</v>
      </c>
      <c r="N356" s="21" t="n">
        <f aca="false">M362</f>
        <v>244196</v>
      </c>
      <c r="O356" s="21" t="n">
        <f aca="false">N362</f>
        <v>243466</v>
      </c>
      <c r="P356" s="21"/>
    </row>
    <row r="357" customFormat="false" ht="14.65" hidden="false" customHeight="false" outlineLevel="0" collapsed="false">
      <c r="A357" s="22" t="s">
        <v>199</v>
      </c>
      <c r="B357" s="27" t="s">
        <v>34</v>
      </c>
      <c r="C357" s="21"/>
      <c r="D357" s="28" t="n">
        <f aca="false">'''file:///mnt/12tb/@roms/datasets/enron/EDRM%20Enron%20Email%20Data%20Set%20v2%20XML/filtered-attachments/xls/EMTW01CE.XLS''#Source'!D53</f>
        <v>150</v>
      </c>
      <c r="E357" s="28" t="n">
        <f aca="false">'''file:///mnt/12tb/@roms/datasets/enron/EDRM%20Enron%20Email%20Data%20Set%20v2%20XML/filtered-attachments/xls/EMTW01CE.XLS''#Source'!E53</f>
        <v>92</v>
      </c>
      <c r="F357" s="28" t="n">
        <f aca="false">'''file:///mnt/12tb/@roms/datasets/enron/EDRM%20Enron%20Email%20Data%20Set%20v2%20XML/filtered-attachments/xls/EMTW01CE.XLS''#Source'!F53</f>
        <v>-4693</v>
      </c>
      <c r="G357" s="28" t="n">
        <f aca="false">'''file:///mnt/12tb/@roms/datasets/enron/EDRM%20Enron%20Email%20Data%20Set%20v2%20XML/filtered-attachments/xls/EMTW01CE.XLS''#Source'!G53</f>
        <v>802</v>
      </c>
      <c r="H357" s="28" t="n">
        <f aca="false">'''file:///mnt/12tb/@roms/datasets/enron/EDRM%20Enron%20Email%20Data%20Set%20v2%20XML/filtered-attachments/xls/EMTW01CE.XLS''#Source'!H53</f>
        <v>259</v>
      </c>
      <c r="I357" s="28" t="n">
        <f aca="false">'''file:///mnt/12tb/@roms/datasets/enron/EDRM%20Enron%20Email%20Data%20Set%20v2%20XML/filtered-attachments/xls/EMTW01CE.XLS''#Source'!I53</f>
        <v>6</v>
      </c>
      <c r="J357" s="28" t="n">
        <f aca="false">'''file:///mnt/12tb/@roms/datasets/enron/EDRM%20Enron%20Email%20Data%20Set%20v2%20XML/filtered-attachments/xls/EMTW01CE.XLS''#Source'!J53</f>
        <v>135</v>
      </c>
      <c r="K357" s="28" t="n">
        <f aca="false">'''file:///mnt/12tb/@roms/datasets/enron/EDRM%20Enron%20Email%20Data%20Set%20v2%20XML/filtered-attachments/xls/EMTW01CE.XLS''#Source'!K53</f>
        <v>127</v>
      </c>
      <c r="L357" s="28" t="n">
        <f aca="false">'''file:///mnt/12tb/@roms/datasets/enron/EDRM%20Enron%20Email%20Data%20Set%20v2%20XML/filtered-attachments/xls/EMTW01CE.XLS''#Source'!L53</f>
        <v>5365</v>
      </c>
      <c r="M357" s="28" t="n">
        <f aca="false">'''file:///mnt/12tb/@roms/datasets/enron/EDRM%20Enron%20Email%20Data%20Set%20v2%20XML/filtered-attachments/xls/EMTW01CE.XLS''#Source'!M53</f>
        <v>3241</v>
      </c>
      <c r="N357" s="28" t="n">
        <f aca="false">'''file:///mnt/12tb/@roms/datasets/enron/EDRM%20Enron%20Email%20Data%20Set%20v2%20XML/filtered-attachments/xls/EMTW01CE.XLS''#Source'!N53</f>
        <v>-730</v>
      </c>
      <c r="O357" s="28" t="n">
        <f aca="false">'''file:///mnt/12tb/@roms/datasets/enron/EDRM%20Enron%20Email%20Data%20Set%20v2%20XML/filtered-attachments/xls/EMTW01CE.XLS''#Source'!O53</f>
        <v>45</v>
      </c>
      <c r="P357" s="21" t="n">
        <f aca="false">SUM(D357:O357)</f>
        <v>4799</v>
      </c>
      <c r="Q357" s="25" t="n">
        <f aca="false">SUM(D357:J357)</f>
        <v>-3249</v>
      </c>
      <c r="R357" s="21" t="n">
        <f aca="false">P357-Q357</f>
        <v>8048</v>
      </c>
    </row>
    <row r="358" customFormat="false" ht="14.65" hidden="false" customHeight="false" outlineLevel="0" collapsed="false">
      <c r="A358" s="22" t="s">
        <v>200</v>
      </c>
      <c r="B358" s="27"/>
      <c r="C358" s="21"/>
      <c r="D358" s="28" t="n">
        <f aca="false">-D349</f>
        <v>-0</v>
      </c>
      <c r="E358" s="28" t="n">
        <f aca="false">-E349</f>
        <v>-0</v>
      </c>
      <c r="F358" s="28" t="n">
        <f aca="false">-F349</f>
        <v>-0</v>
      </c>
      <c r="G358" s="28" t="n">
        <f aca="false">-G349</f>
        <v>1250</v>
      </c>
      <c r="H358" s="28" t="n">
        <f aca="false">-H349</f>
        <v>-5753</v>
      </c>
      <c r="I358" s="28" t="n">
        <f aca="false">-I349</f>
        <v>4503</v>
      </c>
      <c r="J358" s="28" t="n">
        <f aca="false">-J349</f>
        <v>10</v>
      </c>
      <c r="K358" s="28" t="n">
        <f aca="false">-K349</f>
        <v>-0</v>
      </c>
      <c r="L358" s="28" t="n">
        <f aca="false">-L349</f>
        <v>-0</v>
      </c>
      <c r="M358" s="28" t="n">
        <f aca="false">-M349</f>
        <v>-0</v>
      </c>
      <c r="N358" s="28" t="n">
        <f aca="false">-N349</f>
        <v>-0</v>
      </c>
      <c r="O358" s="28" t="n">
        <f aca="false">-O349</f>
        <v>-0</v>
      </c>
      <c r="P358" s="21" t="n">
        <f aca="false">SUM(D358:O358)</f>
        <v>10</v>
      </c>
      <c r="Q358" s="25" t="n">
        <f aca="false">SUM(D358:J358)</f>
        <v>10</v>
      </c>
      <c r="R358" s="21" t="n">
        <f aca="false">P358-Q358</f>
        <v>0</v>
      </c>
    </row>
    <row r="359" customFormat="false" ht="14.65" hidden="false" customHeight="false" outlineLevel="0" collapsed="false">
      <c r="A359" s="22" t="s">
        <v>203</v>
      </c>
      <c r="B359" s="27"/>
      <c r="C359" s="21"/>
      <c r="D359" s="31" t="n">
        <v>0</v>
      </c>
      <c r="E359" s="31" t="n">
        <v>0</v>
      </c>
      <c r="F359" s="31" t="n">
        <v>-14032</v>
      </c>
      <c r="G359" s="31" t="n">
        <v>3804</v>
      </c>
      <c r="H359" s="31" t="n">
        <v>12163</v>
      </c>
      <c r="I359" s="31" t="n">
        <v>-1935</v>
      </c>
      <c r="J359" s="31" t="n">
        <v>0</v>
      </c>
      <c r="K359" s="31" t="n">
        <v>0</v>
      </c>
      <c r="L359" s="31" t="n">
        <v>0</v>
      </c>
      <c r="M359" s="31" t="n">
        <v>0</v>
      </c>
      <c r="N359" s="31" t="n">
        <v>0</v>
      </c>
      <c r="O359" s="31" t="n">
        <v>0</v>
      </c>
      <c r="P359" s="21" t="n">
        <f aca="false">SUM(D359:O359)</f>
        <v>0</v>
      </c>
      <c r="Q359" s="25" t="n">
        <f aca="false">SUM(D359:J359)</f>
        <v>0</v>
      </c>
      <c r="R359" s="21" t="n">
        <f aca="false">P359-Q359</f>
        <v>0</v>
      </c>
    </row>
    <row r="360" customFormat="false" ht="14.65" hidden="false" customHeight="false" outlineLevel="0" collapsed="false">
      <c r="A360" s="22" t="s">
        <v>178</v>
      </c>
      <c r="C360" s="23" t="n">
        <v>0</v>
      </c>
      <c r="D360" s="23" t="n">
        <v>0</v>
      </c>
      <c r="E360" s="23" t="n">
        <v>0</v>
      </c>
      <c r="F360" s="23" t="n">
        <f aca="false">1</f>
        <v>1</v>
      </c>
      <c r="G360" s="23" t="n">
        <v>-1</v>
      </c>
      <c r="H360" s="23" t="n">
        <v>0</v>
      </c>
      <c r="I360" s="23" t="n">
        <v>0</v>
      </c>
      <c r="J360" s="23" t="n">
        <v>0</v>
      </c>
      <c r="K360" s="23" t="n">
        <v>0</v>
      </c>
      <c r="L360" s="23" t="n">
        <v>0</v>
      </c>
      <c r="M360" s="23" t="n">
        <v>0</v>
      </c>
      <c r="N360" s="23" t="n">
        <v>0</v>
      </c>
      <c r="O360" s="23" t="n">
        <v>0</v>
      </c>
      <c r="P360" s="24" t="n">
        <f aca="false">SUM(D360:O360)</f>
        <v>0</v>
      </c>
      <c r="Q360" s="23" t="n">
        <f aca="false">SUM(D360:J360)</f>
        <v>0</v>
      </c>
      <c r="R360" s="24" t="n">
        <f aca="false">P360-Q360</f>
        <v>0</v>
      </c>
    </row>
    <row r="361" customFormat="false" ht="3.95" hidden="false" customHeight="true" outlineLevel="0" collapsed="false"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customFormat="false" ht="14.65" hidden="false" customHeight="false" outlineLevel="0" collapsed="false">
      <c r="A362" s="20" t="s">
        <v>204</v>
      </c>
      <c r="C362" s="25" t="n">
        <v>238702</v>
      </c>
      <c r="D362" s="21" t="n">
        <f aca="false">SUM(D356:D361)</f>
        <v>238852</v>
      </c>
      <c r="E362" s="21" t="n">
        <f aca="false">SUM(E356:E361)</f>
        <v>238944</v>
      </c>
      <c r="F362" s="21" t="n">
        <f aca="false">SUM(F356:F361)</f>
        <v>220220</v>
      </c>
      <c r="G362" s="21" t="n">
        <f aca="false">SUM(G356:G361)</f>
        <v>226075</v>
      </c>
      <c r="H362" s="21" t="n">
        <f aca="false">SUM(H356:H361)</f>
        <v>232744</v>
      </c>
      <c r="I362" s="21" t="n">
        <f aca="false">SUM(I356:I361)</f>
        <v>235318</v>
      </c>
      <c r="J362" s="21" t="n">
        <f aca="false">SUM(J356:J361)</f>
        <v>235463</v>
      </c>
      <c r="K362" s="21" t="n">
        <f aca="false">SUM(K356:K361)</f>
        <v>235590</v>
      </c>
      <c r="L362" s="21" t="n">
        <f aca="false">SUM(L356:L361)</f>
        <v>240955</v>
      </c>
      <c r="M362" s="21" t="n">
        <f aca="false">SUM(M356:M361)</f>
        <v>244196</v>
      </c>
      <c r="N362" s="21" t="n">
        <f aca="false">SUM(N356:N361)</f>
        <v>243466</v>
      </c>
      <c r="O362" s="21" t="n">
        <f aca="false">SUM(O356:O361)</f>
        <v>243511</v>
      </c>
      <c r="P362" s="21"/>
    </row>
    <row r="363" customFormat="false" ht="3.95" hidden="false" customHeight="true" outlineLevel="0" collapsed="false"/>
    <row r="364" customFormat="false" ht="14.65" hidden="false" customHeight="false" outlineLevel="0" collapsed="false">
      <c r="A364" s="22" t="s">
        <v>30</v>
      </c>
      <c r="C364" s="21"/>
      <c r="D364" s="21" t="n">
        <f aca="false">D362-C362</f>
        <v>150</v>
      </c>
      <c r="E364" s="21" t="n">
        <f aca="false">E362-D362</f>
        <v>92</v>
      </c>
      <c r="F364" s="21" t="n">
        <f aca="false">F362-E362</f>
        <v>-18724</v>
      </c>
      <c r="G364" s="21" t="n">
        <f aca="false">G362-F362</f>
        <v>5855</v>
      </c>
      <c r="H364" s="21" t="n">
        <f aca="false">H362-G362</f>
        <v>6669</v>
      </c>
      <c r="I364" s="21" t="n">
        <f aca="false">I362-H362</f>
        <v>2574</v>
      </c>
      <c r="J364" s="21" t="n">
        <f aca="false">J362-I362</f>
        <v>145</v>
      </c>
      <c r="K364" s="21" t="n">
        <f aca="false">K362-J362</f>
        <v>127</v>
      </c>
      <c r="L364" s="21" t="n">
        <f aca="false">L362-K362</f>
        <v>5365</v>
      </c>
      <c r="M364" s="21" t="n">
        <f aca="false">M362-L362</f>
        <v>3241</v>
      </c>
      <c r="N364" s="21" t="n">
        <f aca="false">N362-M362</f>
        <v>-730</v>
      </c>
      <c r="O364" s="21" t="n">
        <f aca="false">O362-N362</f>
        <v>45</v>
      </c>
      <c r="P364" s="21" t="n">
        <f aca="false">SUM(D364:O364)</f>
        <v>4809</v>
      </c>
      <c r="Q364" s="21" t="n">
        <f aca="false">SUM(Q357:Q361)</f>
        <v>-3239</v>
      </c>
      <c r="R364" s="21" t="n">
        <f aca="false">P364-Q364</f>
        <v>8048</v>
      </c>
    </row>
    <row r="367" customFormat="false" ht="14.65" hidden="false" customHeight="false" outlineLevel="0" collapsed="false">
      <c r="A367" s="20" t="s">
        <v>205</v>
      </c>
      <c r="C367" s="21"/>
      <c r="D367" s="21" t="n">
        <f aca="false">C372</f>
        <v>3012</v>
      </c>
      <c r="E367" s="21" t="n">
        <f aca="false">D372</f>
        <v>4055</v>
      </c>
      <c r="F367" s="21" t="n">
        <f aca="false">E372</f>
        <v>5099</v>
      </c>
      <c r="G367" s="21" t="n">
        <f aca="false">F372</f>
        <v>6142</v>
      </c>
      <c r="H367" s="21" t="n">
        <f aca="false">G372</f>
        <v>1367</v>
      </c>
      <c r="I367" s="21" t="n">
        <f aca="false">H372</f>
        <v>1453</v>
      </c>
      <c r="J367" s="21" t="n">
        <f aca="false">I372</f>
        <v>237</v>
      </c>
      <c r="K367" s="21" t="n">
        <f aca="false">J372</f>
        <v>355</v>
      </c>
      <c r="L367" s="21" t="n">
        <f aca="false">K372</f>
        <v>473</v>
      </c>
      <c r="M367" s="21" t="n">
        <f aca="false">L372</f>
        <v>592</v>
      </c>
      <c r="N367" s="21" t="n">
        <f aca="false">M372</f>
        <v>710</v>
      </c>
      <c r="O367" s="21" t="n">
        <f aca="false">N372</f>
        <v>119</v>
      </c>
      <c r="P367" s="21"/>
      <c r="Q367" s="21"/>
      <c r="R367" s="21"/>
    </row>
    <row r="368" customFormat="false" ht="14.65" hidden="false" customHeight="false" outlineLevel="0" collapsed="false">
      <c r="A368" s="22" t="s">
        <v>206</v>
      </c>
      <c r="D368" s="25" t="n">
        <f aca="false">925+118</f>
        <v>1043</v>
      </c>
      <c r="E368" s="25" t="n">
        <v>1044</v>
      </c>
      <c r="F368" s="25" t="n">
        <v>1043</v>
      </c>
      <c r="G368" s="25" t="n">
        <f aca="false">118+657</f>
        <v>775</v>
      </c>
      <c r="H368" s="25" t="n">
        <f aca="false">118+678</f>
        <v>796</v>
      </c>
      <c r="I368" s="25" t="n">
        <f aca="false">119+613</f>
        <v>732</v>
      </c>
      <c r="J368" s="26" t="n">
        <f aca="false">118+678-678</f>
        <v>118</v>
      </c>
      <c r="K368" s="26" t="n">
        <f aca="false">118+678-678</f>
        <v>118</v>
      </c>
      <c r="L368" s="26" t="n">
        <f aca="false">119+657-657</f>
        <v>119</v>
      </c>
      <c r="M368" s="26" t="n">
        <f aca="false">118+678-678</f>
        <v>118</v>
      </c>
      <c r="N368" s="26" t="n">
        <f aca="false">89+657-657</f>
        <v>89</v>
      </c>
      <c r="O368" s="26" t="n">
        <f aca="false">89+678-678</f>
        <v>89</v>
      </c>
      <c r="P368" s="21" t="n">
        <f aca="false">SUM(D368:O368)</f>
        <v>6084</v>
      </c>
      <c r="Q368" s="25" t="n">
        <f aca="false">SUM(D368:J368)</f>
        <v>5551</v>
      </c>
      <c r="R368" s="21" t="n">
        <f aca="false">P368-Q368</f>
        <v>533</v>
      </c>
    </row>
    <row r="369" customFormat="false" ht="14.65" hidden="false" customHeight="false" outlineLevel="0" collapsed="false">
      <c r="A369" s="22" t="s">
        <v>207</v>
      </c>
      <c r="D369" s="25" t="n">
        <v>0</v>
      </c>
      <c r="E369" s="25" t="n">
        <v>0</v>
      </c>
      <c r="F369" s="25" t="n">
        <v>0</v>
      </c>
      <c r="G369" s="25" t="n">
        <v>-5550</v>
      </c>
      <c r="H369" s="25" t="n">
        <v>-710</v>
      </c>
      <c r="I369" s="25" t="n">
        <v>-1948</v>
      </c>
      <c r="J369" s="25" t="n">
        <v>0</v>
      </c>
      <c r="K369" s="25" t="n">
        <v>0</v>
      </c>
      <c r="L369" s="26" t="n">
        <f aca="false">-1991+1991</f>
        <v>0</v>
      </c>
      <c r="M369" s="25" t="n">
        <v>0</v>
      </c>
      <c r="N369" s="25" t="n">
        <v>-680</v>
      </c>
      <c r="O369" s="26" t="n">
        <f aca="false">-2079+2079</f>
        <v>0</v>
      </c>
      <c r="P369" s="21" t="n">
        <f aca="false">SUM(D369:O369)</f>
        <v>-8888</v>
      </c>
      <c r="Q369" s="25" t="n">
        <f aca="false">SUM(D369:J369)</f>
        <v>-8208</v>
      </c>
      <c r="R369" s="21" t="n">
        <f aca="false">P369-Q369</f>
        <v>-680</v>
      </c>
    </row>
    <row r="370" customFormat="false" ht="14.65" hidden="false" customHeight="false" outlineLevel="0" collapsed="false">
      <c r="A370" s="22" t="s">
        <v>178</v>
      </c>
      <c r="C370" s="23" t="n">
        <v>0</v>
      </c>
      <c r="D370" s="23" t="n">
        <v>0</v>
      </c>
      <c r="E370" s="23" t="n">
        <v>0</v>
      </c>
      <c r="F370" s="23" t="n">
        <v>0</v>
      </c>
      <c r="G370" s="23" t="n">
        <v>0</v>
      </c>
      <c r="H370" s="23" t="n">
        <v>0</v>
      </c>
      <c r="I370" s="23" t="n">
        <v>0</v>
      </c>
      <c r="J370" s="23" t="n">
        <v>0</v>
      </c>
      <c r="K370" s="23" t="n">
        <v>0</v>
      </c>
      <c r="L370" s="23" t="n">
        <v>0</v>
      </c>
      <c r="M370" s="23" t="n">
        <v>0</v>
      </c>
      <c r="N370" s="23" t="n">
        <v>0</v>
      </c>
      <c r="O370" s="23" t="n">
        <v>0</v>
      </c>
      <c r="P370" s="24" t="n">
        <f aca="false">SUM(D370:O370)</f>
        <v>0</v>
      </c>
      <c r="Q370" s="23" t="n">
        <f aca="false">SUM(D370:J370)</f>
        <v>0</v>
      </c>
      <c r="R370" s="24" t="n">
        <f aca="false">P370-Q370</f>
        <v>0</v>
      </c>
    </row>
    <row r="371" customFormat="false" ht="3.95" hidden="false" customHeight="true" outlineLevel="0" collapsed="false"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</row>
    <row r="372" customFormat="false" ht="14.65" hidden="false" customHeight="false" outlineLevel="0" collapsed="false">
      <c r="A372" s="20" t="s">
        <v>208</v>
      </c>
      <c r="C372" s="25" t="n">
        <v>3012</v>
      </c>
      <c r="D372" s="21" t="n">
        <f aca="false">SUM(D367:D371)</f>
        <v>4055</v>
      </c>
      <c r="E372" s="21" t="n">
        <f aca="false">SUM(E367:E371)</f>
        <v>5099</v>
      </c>
      <c r="F372" s="21" t="n">
        <f aca="false">SUM(F367:F371)</f>
        <v>6142</v>
      </c>
      <c r="G372" s="21" t="n">
        <f aca="false">SUM(G367:G371)</f>
        <v>1367</v>
      </c>
      <c r="H372" s="21" t="n">
        <f aca="false">SUM(H367:H371)</f>
        <v>1453</v>
      </c>
      <c r="I372" s="21" t="n">
        <f aca="false">SUM(I367:I371)</f>
        <v>237</v>
      </c>
      <c r="J372" s="21" t="n">
        <f aca="false">SUM(J367:J371)</f>
        <v>355</v>
      </c>
      <c r="K372" s="21" t="n">
        <f aca="false">SUM(K367:K371)</f>
        <v>473</v>
      </c>
      <c r="L372" s="21" t="n">
        <f aca="false">SUM(L367:L371)</f>
        <v>592</v>
      </c>
      <c r="M372" s="21" t="n">
        <f aca="false">SUM(M367:M371)</f>
        <v>710</v>
      </c>
      <c r="N372" s="21" t="n">
        <f aca="false">SUM(N367:N371)</f>
        <v>119</v>
      </c>
      <c r="O372" s="21" t="n">
        <f aca="false">SUM(O367:O371)</f>
        <v>208</v>
      </c>
      <c r="P372" s="21"/>
      <c r="Q372" s="21"/>
      <c r="R372" s="21"/>
    </row>
    <row r="373" customFormat="false" ht="3.95" hidden="false" customHeight="true" outlineLevel="0" collapsed="false"/>
    <row r="374" customFormat="false" ht="14.65" hidden="false" customHeight="false" outlineLevel="0" collapsed="false">
      <c r="A374" s="22" t="s">
        <v>30</v>
      </c>
      <c r="C374" s="21"/>
      <c r="D374" s="21" t="n">
        <f aca="false">D372-C372</f>
        <v>1043</v>
      </c>
      <c r="E374" s="21" t="n">
        <f aca="false">E372-D372</f>
        <v>1044</v>
      </c>
      <c r="F374" s="21" t="n">
        <f aca="false">F372-E372</f>
        <v>1043</v>
      </c>
      <c r="G374" s="21" t="n">
        <f aca="false">G372-F372</f>
        <v>-4775</v>
      </c>
      <c r="H374" s="21" t="n">
        <f aca="false">H372-G372</f>
        <v>86</v>
      </c>
      <c r="I374" s="21" t="n">
        <f aca="false">I372-H372</f>
        <v>-1216</v>
      </c>
      <c r="J374" s="21" t="n">
        <f aca="false">J372-I372</f>
        <v>118</v>
      </c>
      <c r="K374" s="21" t="n">
        <f aca="false">K372-J372</f>
        <v>118</v>
      </c>
      <c r="L374" s="21" t="n">
        <f aca="false">L372-K372</f>
        <v>119</v>
      </c>
      <c r="M374" s="21" t="n">
        <f aca="false">M372-L372</f>
        <v>118</v>
      </c>
      <c r="N374" s="21" t="n">
        <f aca="false">N372-M372</f>
        <v>-591</v>
      </c>
      <c r="O374" s="21" t="n">
        <f aca="false">O372-N372</f>
        <v>89</v>
      </c>
      <c r="P374" s="21" t="n">
        <f aca="false">SUM(D374:O374)</f>
        <v>-2804</v>
      </c>
      <c r="Q374" s="21" t="n">
        <f aca="false">SUM(Q368:Q371)</f>
        <v>-2657</v>
      </c>
      <c r="R374" s="21" t="n">
        <f aca="false">P374-Q374</f>
        <v>-147</v>
      </c>
    </row>
    <row r="375" customFormat="false" ht="8.1" hidden="false" customHeight="true" outlineLevel="0" collapsed="false">
      <c r="A375" s="0"/>
    </row>
    <row r="377" customFormat="false" ht="14.65" hidden="false" customHeight="false" outlineLevel="0" collapsed="false">
      <c r="A377" s="20" t="s">
        <v>209</v>
      </c>
      <c r="C377" s="21"/>
      <c r="D377" s="21" t="n">
        <f aca="false">C393</f>
        <v>276</v>
      </c>
      <c r="E377" s="21" t="n">
        <f aca="false">D393</f>
        <v>-387</v>
      </c>
      <c r="F377" s="21" t="n">
        <f aca="false">E393</f>
        <v>271</v>
      </c>
      <c r="G377" s="21" t="n">
        <f aca="false">F393</f>
        <v>11822</v>
      </c>
      <c r="H377" s="21" t="n">
        <f aca="false">G393</f>
        <v>12241</v>
      </c>
      <c r="I377" s="21" t="n">
        <f aca="false">H393</f>
        <v>12248</v>
      </c>
      <c r="J377" s="21" t="n">
        <f aca="false">I393</f>
        <v>12599</v>
      </c>
      <c r="K377" s="21" t="n">
        <f aca="false">J393</f>
        <v>12637</v>
      </c>
      <c r="L377" s="21" t="n">
        <f aca="false">K393</f>
        <v>12637</v>
      </c>
      <c r="M377" s="21" t="n">
        <f aca="false">L393</f>
        <v>357</v>
      </c>
      <c r="N377" s="21" t="n">
        <f aca="false">M393</f>
        <v>357</v>
      </c>
      <c r="O377" s="21" t="n">
        <f aca="false">N393</f>
        <v>357</v>
      </c>
      <c r="P377" s="21"/>
    </row>
    <row r="378" customFormat="false" ht="14.65" hidden="false" customHeight="false" outlineLevel="0" collapsed="false">
      <c r="A378" s="22" t="s">
        <v>210</v>
      </c>
      <c r="B378" s="27"/>
      <c r="C378" s="25" t="n">
        <v>0</v>
      </c>
      <c r="D378" s="25" t="n">
        <v>0</v>
      </c>
      <c r="E378" s="25" t="n">
        <v>0</v>
      </c>
      <c r="F378" s="25" t="n">
        <v>0</v>
      </c>
      <c r="G378" s="25" t="n">
        <v>0</v>
      </c>
      <c r="H378" s="25" t="n">
        <v>0</v>
      </c>
      <c r="I378" s="25" t="n">
        <v>0</v>
      </c>
      <c r="J378" s="25" t="n">
        <v>0</v>
      </c>
      <c r="K378" s="25" t="n">
        <v>0</v>
      </c>
      <c r="L378" s="25" t="n">
        <v>0</v>
      </c>
      <c r="M378" s="25" t="n">
        <v>0</v>
      </c>
      <c r="N378" s="25" t="n">
        <v>0</v>
      </c>
      <c r="O378" s="25" t="n">
        <v>0</v>
      </c>
      <c r="P378" s="21" t="n">
        <f aca="false">SUM(D378:O378)</f>
        <v>0</v>
      </c>
      <c r="Q378" s="25" t="n">
        <f aca="false">SUM(D378:J378)</f>
        <v>0</v>
      </c>
      <c r="R378" s="21" t="n">
        <f aca="false">P378-Q378</f>
        <v>0</v>
      </c>
    </row>
    <row r="379" customFormat="false" ht="14.65" hidden="false" customHeight="false" outlineLevel="0" collapsed="false">
      <c r="A379" s="22" t="s">
        <v>211</v>
      </c>
      <c r="C379" s="25" t="n">
        <v>63</v>
      </c>
      <c r="D379" s="25" t="n">
        <v>9</v>
      </c>
      <c r="E379" s="25" t="n">
        <v>0</v>
      </c>
      <c r="F379" s="25" t="n">
        <v>12</v>
      </c>
      <c r="G379" s="25" t="n">
        <v>9</v>
      </c>
      <c r="H379" s="25" t="n">
        <v>5</v>
      </c>
      <c r="I379" s="25" t="n">
        <v>0</v>
      </c>
      <c r="J379" s="25" t="n">
        <v>36</v>
      </c>
      <c r="K379" s="25" t="n">
        <v>0</v>
      </c>
      <c r="L379" s="25" t="n">
        <v>0</v>
      </c>
      <c r="M379" s="25" t="n">
        <v>0</v>
      </c>
      <c r="N379" s="25" t="n">
        <v>0</v>
      </c>
      <c r="O379" s="25" t="n">
        <v>0</v>
      </c>
      <c r="P379" s="21" t="n">
        <f aca="false">SUM(D379:O379)</f>
        <v>71</v>
      </c>
      <c r="Q379" s="25" t="n">
        <f aca="false">SUM(D379:J379)</f>
        <v>71</v>
      </c>
      <c r="R379" s="21" t="n">
        <f aca="false">P379-Q379</f>
        <v>0</v>
      </c>
    </row>
    <row r="380" customFormat="false" ht="14.65" hidden="false" customHeight="false" outlineLevel="0" collapsed="false">
      <c r="A380" s="22" t="s">
        <v>212</v>
      </c>
      <c r="B380" s="27" t="s">
        <v>34</v>
      </c>
      <c r="C380" s="25" t="n">
        <v>0</v>
      </c>
      <c r="D380" s="28" t="n">
        <f aca="false">'''file:///mnt/12tb/@roms/datasets/enron/EDRM%20Enron%20Email%20Data%20Set%20v2%20XML/filtered-attachments/xls/EMTW01CE.XLS''#Source'!D45</f>
        <v>0</v>
      </c>
      <c r="E380" s="28" t="n">
        <f aca="false">'''file:///mnt/12tb/@roms/datasets/enron/EDRM%20Enron%20Email%20Data%20Set%20v2%20XML/filtered-attachments/xls/EMTW01CE.XLS''#Source'!E45</f>
        <v>0</v>
      </c>
      <c r="F380" s="28" t="n">
        <f aca="false">'''file:///mnt/12tb/@roms/datasets/enron/EDRM%20Enron%20Email%20Data%20Set%20v2%20XML/filtered-attachments/xls/EMTW01CE.XLS''#Source'!F45</f>
        <v>0</v>
      </c>
      <c r="G380" s="29" t="n">
        <f aca="false">'''file:///mnt/12tb/@roms/datasets/enron/EDRM%20Enron%20Email%20Data%20Set%20v2%20XML/filtered-attachments/xls/EMTW01CE.XLS''#Source'!G45+48+331</f>
        <v>379</v>
      </c>
      <c r="H380" s="29" t="n">
        <f aca="false">'''file:///mnt/12tb/@roms/datasets/enron/EDRM%20Enron%20Email%20Data%20Set%20v2%20XML/filtered-attachments/xls/EMTW01CE.XLS''#Source'!H45-331</f>
        <v>-331</v>
      </c>
      <c r="I380" s="28" t="n">
        <f aca="false">'''file:///mnt/12tb/@roms/datasets/enron/EDRM%20Enron%20Email%20Data%20Set%20v2%20XML/filtered-attachments/xls/EMTW01CE.XLS''#Source'!I45</f>
        <v>0</v>
      </c>
      <c r="J380" s="28" t="n">
        <f aca="false">'''file:///mnt/12tb/@roms/datasets/enron/EDRM%20Enron%20Email%20Data%20Set%20v2%20XML/filtered-attachments/xls/EMTW01CE.XLS''#Source'!J45</f>
        <v>0</v>
      </c>
      <c r="K380" s="28" t="n">
        <f aca="false">'''file:///mnt/12tb/@roms/datasets/enron/EDRM%20Enron%20Email%20Data%20Set%20v2%20XML/filtered-attachments/xls/EMTW01CE.XLS''#Source'!K45</f>
        <v>0</v>
      </c>
      <c r="L380" s="28" t="n">
        <f aca="false">'''file:///mnt/12tb/@roms/datasets/enron/EDRM%20Enron%20Email%20Data%20Set%20v2%20XML/filtered-attachments/xls/EMTW01CE.XLS''#Source'!L45</f>
        <v>0</v>
      </c>
      <c r="M380" s="28" t="n">
        <f aca="false">'''file:///mnt/12tb/@roms/datasets/enron/EDRM%20Enron%20Email%20Data%20Set%20v2%20XML/filtered-attachments/xls/EMTW01CE.XLS''#Source'!M45</f>
        <v>0</v>
      </c>
      <c r="N380" s="28" t="n">
        <f aca="false">'''file:///mnt/12tb/@roms/datasets/enron/EDRM%20Enron%20Email%20Data%20Set%20v2%20XML/filtered-attachments/xls/EMTW01CE.XLS''#Source'!N45</f>
        <v>0</v>
      </c>
      <c r="O380" s="28" t="n">
        <f aca="false">'''file:///mnt/12tb/@roms/datasets/enron/EDRM%20Enron%20Email%20Data%20Set%20v2%20XML/filtered-attachments/xls/EMTW01CE.XLS''#Source'!O45</f>
        <v>0</v>
      </c>
      <c r="P380" s="21" t="n">
        <f aca="false">SUM(D380:O380)</f>
        <v>48</v>
      </c>
      <c r="Q380" s="25" t="n">
        <f aca="false">SUM(D380:J380)</f>
        <v>48</v>
      </c>
      <c r="R380" s="21" t="n">
        <f aca="false">P380-Q380</f>
        <v>0</v>
      </c>
    </row>
    <row r="381" customFormat="false" ht="14.65" hidden="false" customHeight="false" outlineLevel="0" collapsed="false">
      <c r="A381" s="22" t="s">
        <v>213</v>
      </c>
      <c r="B381" s="27" t="s">
        <v>34</v>
      </c>
      <c r="C381" s="25" t="n">
        <v>0</v>
      </c>
      <c r="D381" s="28" t="n">
        <f aca="false">'''file:///mnt/12tb/@roms/datasets/enron/EDRM%20Enron%20Email%20Data%20Set%20v2%20XML/filtered-attachments/xls/EMTW01CE.XLS''#Source'!D46</f>
        <v>0</v>
      </c>
      <c r="E381" s="28" t="n">
        <f aca="false">'''file:///mnt/12tb/@roms/datasets/enron/EDRM%20Enron%20Email%20Data%20Set%20v2%20XML/filtered-attachments/xls/EMTW01CE.XLS''#Source'!E46</f>
        <v>0</v>
      </c>
      <c r="F381" s="28" t="n">
        <f aca="false">'''file:///mnt/12tb/@roms/datasets/enron/EDRM%20Enron%20Email%20Data%20Set%20v2%20XML/filtered-attachments/xls/EMTW01CE.XLS''#Source'!F46</f>
        <v>11540</v>
      </c>
      <c r="G381" s="29" t="n">
        <f aca="false">'''file:///mnt/12tb/@roms/datasets/enron/EDRM%20Enron%20Email%20Data%20Set%20v2%20XML/filtered-attachments/xls/EMTW01CE.XLS''#Source'!G46-48</f>
        <v>367</v>
      </c>
      <c r="H381" s="28" t="n">
        <f aca="false">'''file:///mnt/12tb/@roms/datasets/enron/EDRM%20Enron%20Email%20Data%20Set%20v2%20XML/filtered-attachments/xls/EMTW01CE.XLS''#Source'!H46</f>
        <v>0</v>
      </c>
      <c r="I381" s="28" t="n">
        <f aca="false">'''file:///mnt/12tb/@roms/datasets/enron/EDRM%20Enron%20Email%20Data%20Set%20v2%20XML/filtered-attachments/xls/EMTW01CE.XLS''#Source'!I46</f>
        <v>325</v>
      </c>
      <c r="J381" s="28" t="n">
        <f aca="false">'''file:///mnt/12tb/@roms/datasets/enron/EDRM%20Enron%20Email%20Data%20Set%20v2%20XML/filtered-attachments/xls/EMTW01CE.XLS''#Source'!J46</f>
        <v>0</v>
      </c>
      <c r="K381" s="28" t="n">
        <f aca="false">'''file:///mnt/12tb/@roms/datasets/enron/EDRM%20Enron%20Email%20Data%20Set%20v2%20XML/filtered-attachments/xls/EMTW01CE.XLS''#Source'!K46</f>
        <v>0</v>
      </c>
      <c r="L381" s="28" t="n">
        <f aca="false">'''file:///mnt/12tb/@roms/datasets/enron/EDRM%20Enron%20Email%20Data%20Set%20v2%20XML/filtered-attachments/xls/EMTW01CE.XLS''#Source'!L46</f>
        <v>-12280</v>
      </c>
      <c r="M381" s="28" t="n">
        <f aca="false">'''file:///mnt/12tb/@roms/datasets/enron/EDRM%20Enron%20Email%20Data%20Set%20v2%20XML/filtered-attachments/xls/EMTW01CE.XLS''#Source'!M46</f>
        <v>0</v>
      </c>
      <c r="N381" s="28" t="n">
        <f aca="false">'''file:///mnt/12tb/@roms/datasets/enron/EDRM%20Enron%20Email%20Data%20Set%20v2%20XML/filtered-attachments/xls/EMTW01CE.XLS''#Source'!N46</f>
        <v>0</v>
      </c>
      <c r="O381" s="28" t="n">
        <f aca="false">'''file:///mnt/12tb/@roms/datasets/enron/EDRM%20Enron%20Email%20Data%20Set%20v2%20XML/filtered-attachments/xls/EMTW01CE.XLS''#Source'!O46</f>
        <v>0</v>
      </c>
      <c r="P381" s="21" t="n">
        <f aca="false">SUM(D381:O381)</f>
        <v>-48</v>
      </c>
      <c r="Q381" s="25" t="n">
        <f aca="false">SUM(D381:J381)</f>
        <v>12232</v>
      </c>
      <c r="R381" s="21" t="n">
        <f aca="false">P381-Q381</f>
        <v>-12280</v>
      </c>
    </row>
    <row r="382" customFormat="false" ht="14.65" hidden="false" customHeight="false" outlineLevel="0" collapsed="false">
      <c r="A382" s="22" t="s">
        <v>214</v>
      </c>
      <c r="C382" s="25" t="n">
        <v>0</v>
      </c>
      <c r="D382" s="25" t="n">
        <v>0</v>
      </c>
      <c r="E382" s="25" t="n">
        <v>200</v>
      </c>
      <c r="F382" s="25" t="n">
        <v>0</v>
      </c>
      <c r="G382" s="25" t="n">
        <v>0</v>
      </c>
      <c r="H382" s="25" t="n">
        <v>0</v>
      </c>
      <c r="I382" s="25" t="n">
        <v>0</v>
      </c>
      <c r="J382" s="25" t="n">
        <v>0</v>
      </c>
      <c r="K382" s="25" t="n">
        <v>0</v>
      </c>
      <c r="L382" s="25" t="n">
        <v>0</v>
      </c>
      <c r="M382" s="25" t="n">
        <v>0</v>
      </c>
      <c r="N382" s="25" t="n">
        <v>0</v>
      </c>
      <c r="O382" s="25" t="n">
        <v>0</v>
      </c>
      <c r="P382" s="21" t="n">
        <f aca="false">SUM(D382:O382)</f>
        <v>200</v>
      </c>
      <c r="Q382" s="25" t="n">
        <f aca="false">SUM(D382:J382)</f>
        <v>200</v>
      </c>
      <c r="R382" s="21" t="n">
        <f aca="false">P382-Q382</f>
        <v>0</v>
      </c>
    </row>
    <row r="383" customFormat="false" ht="14.65" hidden="false" customHeight="false" outlineLevel="0" collapsed="false">
      <c r="A383" s="22" t="s">
        <v>215</v>
      </c>
      <c r="C383" s="25" t="n">
        <v>0</v>
      </c>
      <c r="D383" s="25" t="n">
        <v>-660</v>
      </c>
      <c r="E383" s="25" t="n">
        <v>657</v>
      </c>
      <c r="F383" s="25" t="n">
        <v>0</v>
      </c>
      <c r="G383" s="25" t="n">
        <v>0</v>
      </c>
      <c r="H383" s="25" t="n">
        <v>0</v>
      </c>
      <c r="I383" s="25" t="n">
        <v>0</v>
      </c>
      <c r="J383" s="25" t="n">
        <v>0</v>
      </c>
      <c r="K383" s="25" t="n">
        <v>0</v>
      </c>
      <c r="L383" s="25" t="n">
        <v>0</v>
      </c>
      <c r="M383" s="25" t="n">
        <v>0</v>
      </c>
      <c r="N383" s="25" t="n">
        <v>0</v>
      </c>
      <c r="O383" s="25" t="n">
        <v>0</v>
      </c>
      <c r="P383" s="21" t="n">
        <f aca="false">SUM(D383:O383)</f>
        <v>-3</v>
      </c>
      <c r="Q383" s="25" t="n">
        <f aca="false">SUM(D383:J383)</f>
        <v>-3</v>
      </c>
      <c r="R383" s="21" t="n">
        <f aca="false">P383-Q383</f>
        <v>0</v>
      </c>
    </row>
    <row r="384" customFormat="false" ht="14.65" hidden="false" customHeight="false" outlineLevel="0" collapsed="false">
      <c r="A384" s="22" t="s">
        <v>216</v>
      </c>
      <c r="B384" s="27"/>
      <c r="C384" s="25" t="n">
        <v>0</v>
      </c>
      <c r="D384" s="25" t="n">
        <v>0</v>
      </c>
      <c r="E384" s="25" t="n">
        <v>0</v>
      </c>
      <c r="F384" s="25" t="n">
        <v>0</v>
      </c>
      <c r="G384" s="25" t="n">
        <v>0</v>
      </c>
      <c r="H384" s="25" t="n">
        <v>0</v>
      </c>
      <c r="I384" s="25" t="n">
        <v>0</v>
      </c>
      <c r="J384" s="25" t="n">
        <v>0</v>
      </c>
      <c r="K384" s="25" t="n">
        <v>0</v>
      </c>
      <c r="L384" s="25" t="n">
        <v>0</v>
      </c>
      <c r="M384" s="25" t="n">
        <v>0</v>
      </c>
      <c r="N384" s="25" t="n">
        <v>0</v>
      </c>
      <c r="O384" s="25" t="n">
        <v>0</v>
      </c>
      <c r="P384" s="21" t="n">
        <f aca="false">SUM(D384:O384)</f>
        <v>0</v>
      </c>
      <c r="Q384" s="25" t="n">
        <f aca="false">SUM(D384:J384)</f>
        <v>0</v>
      </c>
      <c r="R384" s="21" t="n">
        <f aca="false">P384-Q384</f>
        <v>0</v>
      </c>
    </row>
    <row r="385" customFormat="false" ht="14.65" hidden="false" customHeight="false" outlineLevel="0" collapsed="false">
      <c r="A385" s="22" t="s">
        <v>217</v>
      </c>
      <c r="C385" s="25" t="n">
        <v>0</v>
      </c>
      <c r="D385" s="25" t="n">
        <v>0</v>
      </c>
      <c r="E385" s="25" t="n">
        <v>0</v>
      </c>
      <c r="F385" s="25" t="n">
        <v>0</v>
      </c>
      <c r="G385" s="25" t="n">
        <v>0</v>
      </c>
      <c r="H385" s="25" t="n">
        <v>0</v>
      </c>
      <c r="I385" s="25" t="n">
        <v>0</v>
      </c>
      <c r="J385" s="25" t="n">
        <v>0</v>
      </c>
      <c r="K385" s="25" t="n">
        <v>0</v>
      </c>
      <c r="L385" s="25" t="n">
        <v>0</v>
      </c>
      <c r="M385" s="25" t="n">
        <v>0</v>
      </c>
      <c r="N385" s="25" t="n">
        <v>0</v>
      </c>
      <c r="O385" s="25" t="n">
        <v>0</v>
      </c>
      <c r="P385" s="21" t="n">
        <f aca="false">SUM(D385:O385)</f>
        <v>0</v>
      </c>
      <c r="Q385" s="25" t="n">
        <f aca="false">SUM(D385:J385)</f>
        <v>0</v>
      </c>
      <c r="R385" s="21" t="n">
        <f aca="false">P385-Q385</f>
        <v>0</v>
      </c>
    </row>
    <row r="386" customFormat="false" ht="14.65" hidden="false" customHeight="false" outlineLevel="0" collapsed="false">
      <c r="A386" s="22" t="s">
        <v>218</v>
      </c>
      <c r="C386" s="25" t="n">
        <v>213</v>
      </c>
      <c r="D386" s="26" t="n">
        <v>-12</v>
      </c>
      <c r="E386" s="26" t="n">
        <f aca="false">-200+1</f>
        <v>-199</v>
      </c>
      <c r="F386" s="26" t="n">
        <v>-1</v>
      </c>
      <c r="G386" s="26" t="n">
        <v>-5</v>
      </c>
      <c r="H386" s="25" t="n">
        <v>7</v>
      </c>
      <c r="I386" s="25" t="n">
        <v>0</v>
      </c>
      <c r="J386" s="25" t="n">
        <v>0</v>
      </c>
      <c r="K386" s="25" t="n">
        <v>0</v>
      </c>
      <c r="L386" s="25" t="n">
        <v>0</v>
      </c>
      <c r="M386" s="25" t="n">
        <v>0</v>
      </c>
      <c r="N386" s="25" t="n">
        <v>0</v>
      </c>
      <c r="O386" s="25" t="n">
        <v>0</v>
      </c>
      <c r="P386" s="21" t="n">
        <f aca="false">SUM(D386:O386)</f>
        <v>-210</v>
      </c>
      <c r="Q386" s="25" t="n">
        <f aca="false">SUM(D386:J386)</f>
        <v>-210</v>
      </c>
      <c r="R386" s="21" t="n">
        <f aca="false">P386-Q386</f>
        <v>0</v>
      </c>
    </row>
    <row r="387" customFormat="false" ht="14.65" hidden="false" customHeight="false" outlineLevel="0" collapsed="false">
      <c r="A387" s="22" t="s">
        <v>218</v>
      </c>
      <c r="C387" s="25" t="n">
        <v>0</v>
      </c>
      <c r="D387" s="25" t="n">
        <v>0</v>
      </c>
      <c r="E387" s="25" t="n">
        <v>0</v>
      </c>
      <c r="F387" s="25" t="n">
        <v>0</v>
      </c>
      <c r="G387" s="25" t="n">
        <v>-331</v>
      </c>
      <c r="H387" s="25" t="n">
        <v>326</v>
      </c>
      <c r="I387" s="25" t="n">
        <v>26</v>
      </c>
      <c r="J387" s="25" t="n">
        <v>2</v>
      </c>
      <c r="K387" s="25" t="n">
        <v>0</v>
      </c>
      <c r="L387" s="25" t="n">
        <v>0</v>
      </c>
      <c r="M387" s="25" t="n">
        <v>0</v>
      </c>
      <c r="N387" s="25" t="n">
        <v>0</v>
      </c>
      <c r="O387" s="25" t="n">
        <v>0</v>
      </c>
      <c r="P387" s="21" t="n">
        <f aca="false">SUM(D387:O387)</f>
        <v>23</v>
      </c>
      <c r="Q387" s="25" t="n">
        <f aca="false">SUM(D387:J387)</f>
        <v>23</v>
      </c>
      <c r="R387" s="21" t="n">
        <f aca="false">P387-Q387</f>
        <v>0</v>
      </c>
    </row>
    <row r="388" customFormat="false" ht="14.65" hidden="false" customHeight="false" outlineLevel="0" collapsed="false">
      <c r="A388" s="22" t="s">
        <v>218</v>
      </c>
      <c r="C388" s="25" t="n">
        <v>0</v>
      </c>
      <c r="D388" s="25" t="n">
        <v>0</v>
      </c>
      <c r="E388" s="25" t="n">
        <v>0</v>
      </c>
      <c r="F388" s="25" t="n">
        <v>0</v>
      </c>
      <c r="G388" s="25" t="n">
        <v>0</v>
      </c>
      <c r="H388" s="25" t="n">
        <v>0</v>
      </c>
      <c r="I388" s="25" t="n">
        <v>0</v>
      </c>
      <c r="J388" s="25" t="n">
        <v>0</v>
      </c>
      <c r="K388" s="25" t="n">
        <v>0</v>
      </c>
      <c r="L388" s="25" t="n">
        <v>0</v>
      </c>
      <c r="M388" s="25" t="n">
        <v>0</v>
      </c>
      <c r="N388" s="25" t="n">
        <v>0</v>
      </c>
      <c r="O388" s="25" t="n">
        <v>0</v>
      </c>
      <c r="P388" s="21" t="n">
        <f aca="false">SUM(D388:O388)</f>
        <v>0</v>
      </c>
      <c r="Q388" s="25" t="n">
        <f aca="false">SUM(D388:J388)</f>
        <v>0</v>
      </c>
      <c r="R388" s="21" t="n">
        <f aca="false">P388-Q388</f>
        <v>0</v>
      </c>
    </row>
    <row r="389" customFormat="false" ht="14.65" hidden="false" customHeight="false" outlineLevel="0" collapsed="false">
      <c r="A389" s="22" t="s">
        <v>218</v>
      </c>
      <c r="C389" s="25" t="n">
        <v>0</v>
      </c>
      <c r="D389" s="25" t="n">
        <v>0</v>
      </c>
      <c r="E389" s="25" t="n">
        <v>0</v>
      </c>
      <c r="F389" s="25" t="n">
        <v>0</v>
      </c>
      <c r="G389" s="25" t="n">
        <v>0</v>
      </c>
      <c r="H389" s="25" t="n">
        <v>0</v>
      </c>
      <c r="I389" s="25" t="n">
        <v>0</v>
      </c>
      <c r="J389" s="25" t="n">
        <v>0</v>
      </c>
      <c r="K389" s="25" t="n">
        <v>0</v>
      </c>
      <c r="L389" s="25" t="n">
        <v>0</v>
      </c>
      <c r="M389" s="25" t="n">
        <v>0</v>
      </c>
      <c r="N389" s="25" t="n">
        <v>0</v>
      </c>
      <c r="O389" s="25" t="n">
        <v>0</v>
      </c>
      <c r="P389" s="21" t="n">
        <f aca="false">SUM(D389:O389)</f>
        <v>0</v>
      </c>
      <c r="Q389" s="25" t="n">
        <f aca="false">SUM(D389:J389)</f>
        <v>0</v>
      </c>
      <c r="R389" s="21" t="n">
        <f aca="false">P389-Q389</f>
        <v>0</v>
      </c>
    </row>
    <row r="390" customFormat="false" ht="14.65" hidden="false" customHeight="false" outlineLevel="0" collapsed="false">
      <c r="A390" s="22" t="s">
        <v>219</v>
      </c>
      <c r="C390" s="25" t="n">
        <v>0</v>
      </c>
      <c r="D390" s="25" t="n">
        <v>0</v>
      </c>
      <c r="E390" s="25" t="n">
        <v>0</v>
      </c>
      <c r="F390" s="25" t="n">
        <v>0</v>
      </c>
      <c r="G390" s="25" t="n">
        <v>0</v>
      </c>
      <c r="H390" s="25" t="n">
        <v>0</v>
      </c>
      <c r="I390" s="25" t="n">
        <v>0</v>
      </c>
      <c r="J390" s="25" t="n">
        <v>0</v>
      </c>
      <c r="K390" s="25" t="n">
        <v>0</v>
      </c>
      <c r="L390" s="25" t="n">
        <v>0</v>
      </c>
      <c r="M390" s="25" t="n">
        <v>0</v>
      </c>
      <c r="N390" s="25" t="n">
        <v>0</v>
      </c>
      <c r="O390" s="25" t="n">
        <v>0</v>
      </c>
      <c r="P390" s="21" t="n">
        <f aca="false">SUM(D390:O390)</f>
        <v>0</v>
      </c>
      <c r="Q390" s="25" t="n">
        <f aca="false">SUM(D390:J390)</f>
        <v>0</v>
      </c>
      <c r="R390" s="21" t="n">
        <f aca="false">P390-Q390</f>
        <v>0</v>
      </c>
    </row>
    <row r="391" customFormat="false" ht="14.65" hidden="false" customHeight="false" outlineLevel="0" collapsed="false">
      <c r="A391" s="22" t="s">
        <v>178</v>
      </c>
      <c r="C391" s="23" t="n">
        <v>0</v>
      </c>
      <c r="D391" s="23" t="n">
        <v>0</v>
      </c>
      <c r="E391" s="23" t="n">
        <v>0</v>
      </c>
      <c r="F391" s="23" t="n">
        <v>0</v>
      </c>
      <c r="G391" s="23" t="n">
        <v>0</v>
      </c>
      <c r="H391" s="23" t="n">
        <v>0</v>
      </c>
      <c r="I391" s="23" t="n">
        <v>0</v>
      </c>
      <c r="J391" s="23" t="n">
        <v>0</v>
      </c>
      <c r="K391" s="23" t="n">
        <v>0</v>
      </c>
      <c r="L391" s="23" t="n">
        <v>0</v>
      </c>
      <c r="M391" s="23" t="n">
        <v>0</v>
      </c>
      <c r="N391" s="23" t="n">
        <v>0</v>
      </c>
      <c r="O391" s="23" t="n">
        <v>0</v>
      </c>
      <c r="P391" s="24" t="n">
        <f aca="false">SUM(D391:O391)</f>
        <v>0</v>
      </c>
      <c r="Q391" s="23" t="n">
        <f aca="false">SUM(D391:J391)</f>
        <v>0</v>
      </c>
      <c r="R391" s="24" t="n">
        <f aca="false">P391-Q391</f>
        <v>0</v>
      </c>
    </row>
    <row r="392" customFormat="false" ht="3.95" hidden="false" customHeight="true" outlineLevel="0" collapsed="false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</row>
    <row r="393" customFormat="false" ht="14.65" hidden="false" customHeight="false" outlineLevel="0" collapsed="false">
      <c r="A393" s="20" t="s">
        <v>220</v>
      </c>
      <c r="C393" s="21" t="n">
        <f aca="false">SUM(C378:C392)</f>
        <v>276</v>
      </c>
      <c r="D393" s="21" t="n">
        <f aca="false">SUM(D377:D392)</f>
        <v>-387</v>
      </c>
      <c r="E393" s="21" t="n">
        <f aca="false">SUM(E377:E392)</f>
        <v>271</v>
      </c>
      <c r="F393" s="21" t="n">
        <f aca="false">SUM(F377:F392)</f>
        <v>11822</v>
      </c>
      <c r="G393" s="21" t="n">
        <f aca="false">SUM(G377:G392)</f>
        <v>12241</v>
      </c>
      <c r="H393" s="21" t="n">
        <f aca="false">SUM(H377:H392)</f>
        <v>12248</v>
      </c>
      <c r="I393" s="21" t="n">
        <f aca="false">SUM(I377:I392)</f>
        <v>12599</v>
      </c>
      <c r="J393" s="21" t="n">
        <f aca="false">SUM(J377:J392)</f>
        <v>12637</v>
      </c>
      <c r="K393" s="21" t="n">
        <f aca="false">SUM(K377:K392)</f>
        <v>12637</v>
      </c>
      <c r="L393" s="21" t="n">
        <f aca="false">SUM(L377:L392)</f>
        <v>357</v>
      </c>
      <c r="M393" s="21" t="n">
        <f aca="false">SUM(M377:M392)</f>
        <v>357</v>
      </c>
      <c r="N393" s="21" t="n">
        <f aca="false">SUM(N377:N392)</f>
        <v>357</v>
      </c>
      <c r="O393" s="21" t="n">
        <f aca="false">SUM(O377:O392)</f>
        <v>357</v>
      </c>
      <c r="P393" s="21"/>
    </row>
    <row r="394" customFormat="false" ht="3.95" hidden="false" customHeight="true" outlineLevel="0" collapsed="false"/>
    <row r="395" customFormat="false" ht="14.65" hidden="false" customHeight="false" outlineLevel="0" collapsed="false">
      <c r="A395" s="22" t="s">
        <v>30</v>
      </c>
      <c r="C395" s="21"/>
      <c r="D395" s="21" t="n">
        <f aca="false">D393-C393</f>
        <v>-663</v>
      </c>
      <c r="E395" s="21" t="n">
        <f aca="false">E393-D393</f>
        <v>658</v>
      </c>
      <c r="F395" s="21" t="n">
        <f aca="false">F393-E393</f>
        <v>11551</v>
      </c>
      <c r="G395" s="21" t="n">
        <f aca="false">G393-F393</f>
        <v>419</v>
      </c>
      <c r="H395" s="21" t="n">
        <f aca="false">H393-G393</f>
        <v>7</v>
      </c>
      <c r="I395" s="21" t="n">
        <f aca="false">I393-H393</f>
        <v>351</v>
      </c>
      <c r="J395" s="21" t="n">
        <f aca="false">J393-I393</f>
        <v>38</v>
      </c>
      <c r="K395" s="21" t="n">
        <f aca="false">K393-J393</f>
        <v>0</v>
      </c>
      <c r="L395" s="21" t="n">
        <f aca="false">L393-K393</f>
        <v>-12280</v>
      </c>
      <c r="M395" s="21" t="n">
        <f aca="false">M393-L393</f>
        <v>0</v>
      </c>
      <c r="N395" s="21" t="n">
        <f aca="false">N393-M393</f>
        <v>0</v>
      </c>
      <c r="O395" s="21" t="n">
        <f aca="false">O393-N393</f>
        <v>0</v>
      </c>
      <c r="P395" s="21" t="n">
        <f aca="false">SUM(D395:O395)</f>
        <v>81</v>
      </c>
      <c r="Q395" s="21" t="n">
        <f aca="false">SUM(Q378:Q392)</f>
        <v>12361</v>
      </c>
      <c r="R395" s="21" t="n">
        <f aca="false">P395-Q395</f>
        <v>-12280</v>
      </c>
    </row>
    <row r="397" customFormat="false" ht="14.65" hidden="false" customHeight="false" outlineLevel="0" collapsed="false">
      <c r="A397" s="20" t="s">
        <v>221</v>
      </c>
      <c r="D397" s="21" t="n">
        <f aca="false">C402</f>
        <v>0</v>
      </c>
      <c r="E397" s="21" t="n">
        <f aca="false">D402</f>
        <v>0</v>
      </c>
      <c r="F397" s="21" t="n">
        <f aca="false">E402</f>
        <v>0</v>
      </c>
      <c r="G397" s="21" t="n">
        <f aca="false">F402</f>
        <v>0</v>
      </c>
      <c r="H397" s="21" t="n">
        <f aca="false">G402</f>
        <v>0</v>
      </c>
      <c r="I397" s="21" t="n">
        <f aca="false">H402</f>
        <v>0</v>
      </c>
      <c r="J397" s="21" t="n">
        <f aca="false">I402</f>
        <v>0</v>
      </c>
      <c r="K397" s="21" t="n">
        <f aca="false">J402</f>
        <v>0</v>
      </c>
      <c r="L397" s="21" t="n">
        <f aca="false">K402</f>
        <v>0</v>
      </c>
      <c r="M397" s="21" t="n">
        <f aca="false">L402</f>
        <v>0</v>
      </c>
      <c r="N397" s="21" t="n">
        <f aca="false">M402</f>
        <v>0</v>
      </c>
      <c r="O397" s="21" t="n">
        <f aca="false">N402</f>
        <v>0</v>
      </c>
    </row>
    <row r="398" customFormat="false" ht="14.65" hidden="false" customHeight="false" outlineLevel="0" collapsed="false">
      <c r="A398" s="22" t="s">
        <v>40</v>
      </c>
      <c r="C398" s="25" t="n">
        <v>0</v>
      </c>
      <c r="D398" s="25" t="n">
        <v>0</v>
      </c>
      <c r="E398" s="25" t="n">
        <v>0</v>
      </c>
      <c r="F398" s="25" t="n">
        <v>0</v>
      </c>
      <c r="G398" s="25" t="n">
        <v>0</v>
      </c>
      <c r="H398" s="25" t="n">
        <v>0</v>
      </c>
      <c r="I398" s="25" t="n">
        <v>0</v>
      </c>
      <c r="J398" s="25" t="n">
        <v>0</v>
      </c>
      <c r="K398" s="25" t="n">
        <v>0</v>
      </c>
      <c r="L398" s="25" t="n">
        <v>0</v>
      </c>
      <c r="M398" s="25" t="n">
        <v>0</v>
      </c>
      <c r="N398" s="25" t="n">
        <v>0</v>
      </c>
      <c r="O398" s="25" t="n">
        <v>0</v>
      </c>
      <c r="P398" s="21" t="n">
        <f aca="false">SUM(D398:O398)</f>
        <v>0</v>
      </c>
      <c r="Q398" s="25" t="n">
        <f aca="false">SUM(D398:J398)</f>
        <v>0</v>
      </c>
      <c r="R398" s="21" t="n">
        <f aca="false">P398-Q398</f>
        <v>0</v>
      </c>
    </row>
    <row r="399" customFormat="false" ht="14.65" hidden="false" customHeight="false" outlineLevel="0" collapsed="false">
      <c r="A399" s="22" t="s">
        <v>40</v>
      </c>
      <c r="B399" s="27"/>
      <c r="C399" s="25" t="n">
        <v>0</v>
      </c>
      <c r="D399" s="31" t="n">
        <v>0</v>
      </c>
      <c r="E399" s="31" t="n">
        <v>0</v>
      </c>
      <c r="F399" s="31" t="n">
        <v>0</v>
      </c>
      <c r="G399" s="31" t="n">
        <v>0</v>
      </c>
      <c r="H399" s="31" t="n">
        <v>0</v>
      </c>
      <c r="I399" s="31" t="n">
        <v>0</v>
      </c>
      <c r="J399" s="31" t="n">
        <v>0</v>
      </c>
      <c r="K399" s="31" t="n">
        <v>0</v>
      </c>
      <c r="L399" s="31" t="n">
        <v>0</v>
      </c>
      <c r="M399" s="31" t="n">
        <v>0</v>
      </c>
      <c r="N399" s="31" t="n">
        <v>0</v>
      </c>
      <c r="O399" s="31" t="n">
        <v>0</v>
      </c>
      <c r="P399" s="21" t="n">
        <f aca="false">SUM(D399:O399)</f>
        <v>0</v>
      </c>
      <c r="Q399" s="25" t="n">
        <f aca="false">SUM(D399:J399)</f>
        <v>0</v>
      </c>
      <c r="R399" s="21" t="n">
        <f aca="false">P399-Q399</f>
        <v>0</v>
      </c>
    </row>
    <row r="400" customFormat="false" ht="14.65" hidden="false" customHeight="false" outlineLevel="0" collapsed="false">
      <c r="A400" s="22" t="s">
        <v>178</v>
      </c>
      <c r="C400" s="23" t="n">
        <v>0</v>
      </c>
      <c r="D400" s="23" t="n">
        <v>0</v>
      </c>
      <c r="E400" s="23" t="n">
        <v>0</v>
      </c>
      <c r="F400" s="23" t="n">
        <v>0</v>
      </c>
      <c r="G400" s="23" t="n">
        <v>0</v>
      </c>
      <c r="H400" s="23" t="n">
        <v>0</v>
      </c>
      <c r="I400" s="23" t="n">
        <v>0</v>
      </c>
      <c r="J400" s="23" t="n">
        <v>0</v>
      </c>
      <c r="K400" s="23" t="n">
        <v>0</v>
      </c>
      <c r="L400" s="23" t="n">
        <v>0</v>
      </c>
      <c r="M400" s="23" t="n">
        <v>0</v>
      </c>
      <c r="N400" s="23" t="n">
        <v>0</v>
      </c>
      <c r="O400" s="23" t="n">
        <v>0</v>
      </c>
      <c r="P400" s="24" t="n">
        <f aca="false">SUM(D400:O400)</f>
        <v>0</v>
      </c>
      <c r="Q400" s="23" t="n">
        <f aca="false">SUM(D400:J400)</f>
        <v>0</v>
      </c>
      <c r="R400" s="24" t="n">
        <f aca="false">P400-Q400</f>
        <v>0</v>
      </c>
    </row>
    <row r="401" customFormat="false" ht="3.95" hidden="false" customHeight="true" outlineLevel="0" collapsed="false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</row>
    <row r="402" customFormat="false" ht="14.65" hidden="false" customHeight="false" outlineLevel="0" collapsed="false">
      <c r="A402" s="20" t="s">
        <v>221</v>
      </c>
      <c r="C402" s="21" t="n">
        <f aca="false">SUM(C397:C401)</f>
        <v>0</v>
      </c>
      <c r="D402" s="21" t="n">
        <f aca="false">SUM(D397:D401)</f>
        <v>0</v>
      </c>
      <c r="E402" s="21" t="n">
        <f aca="false">SUM(E397:E401)</f>
        <v>0</v>
      </c>
      <c r="F402" s="21" t="n">
        <f aca="false">SUM(F397:F401)</f>
        <v>0</v>
      </c>
      <c r="G402" s="21" t="n">
        <f aca="false">SUM(G397:G401)</f>
        <v>0</v>
      </c>
      <c r="H402" s="21" t="n">
        <f aca="false">SUM(H397:H401)</f>
        <v>0</v>
      </c>
      <c r="I402" s="21" t="n">
        <f aca="false">SUM(I397:I401)</f>
        <v>0</v>
      </c>
      <c r="J402" s="21" t="n">
        <f aca="false">SUM(J397:J401)</f>
        <v>0</v>
      </c>
      <c r="K402" s="21" t="n">
        <f aca="false">SUM(K397:K401)</f>
        <v>0</v>
      </c>
      <c r="L402" s="21" t="n">
        <f aca="false">SUM(L397:L401)</f>
        <v>0</v>
      </c>
      <c r="M402" s="21" t="n">
        <f aca="false">SUM(M397:M401)</f>
        <v>0</v>
      </c>
      <c r="N402" s="21" t="n">
        <f aca="false">SUM(N397:N401)</f>
        <v>0</v>
      </c>
      <c r="O402" s="21" t="n">
        <f aca="false">SUM(O397:O401)</f>
        <v>0</v>
      </c>
      <c r="P402" s="21"/>
    </row>
    <row r="403" customFormat="false" ht="3.95" hidden="false" customHeight="true" outlineLevel="0" collapsed="false"/>
    <row r="404" customFormat="false" ht="14.65" hidden="false" customHeight="false" outlineLevel="0" collapsed="false">
      <c r="A404" s="22" t="s">
        <v>30</v>
      </c>
      <c r="C404" s="21"/>
      <c r="D404" s="21" t="n">
        <f aca="false">D402-C402</f>
        <v>0</v>
      </c>
      <c r="E404" s="21" t="n">
        <f aca="false">E402-D402</f>
        <v>0</v>
      </c>
      <c r="F404" s="21" t="n">
        <f aca="false">F402-E402</f>
        <v>0</v>
      </c>
      <c r="G404" s="21" t="n">
        <f aca="false">G402-F402</f>
        <v>0</v>
      </c>
      <c r="H404" s="21" t="n">
        <f aca="false">H402-G402</f>
        <v>0</v>
      </c>
      <c r="I404" s="21" t="n">
        <f aca="false">I402-H402</f>
        <v>0</v>
      </c>
      <c r="J404" s="21" t="n">
        <f aca="false">J402-I402</f>
        <v>0</v>
      </c>
      <c r="K404" s="21" t="n">
        <f aca="false">K402-J402</f>
        <v>0</v>
      </c>
      <c r="L404" s="21" t="n">
        <f aca="false">L402-K402</f>
        <v>0</v>
      </c>
      <c r="M404" s="21" t="n">
        <f aca="false">M402-L402</f>
        <v>0</v>
      </c>
      <c r="N404" s="21" t="n">
        <f aca="false">N402-M402</f>
        <v>0</v>
      </c>
      <c r="O404" s="21" t="n">
        <f aca="false">O402-N402</f>
        <v>0</v>
      </c>
      <c r="P404" s="21" t="n">
        <f aca="false">SUM(D404:O404)</f>
        <v>0</v>
      </c>
      <c r="Q404" s="21" t="n">
        <f aca="false">SUM(Q398:Q401)</f>
        <v>0</v>
      </c>
      <c r="R404" s="21" t="n">
        <f aca="false">P404-Q404</f>
        <v>0</v>
      </c>
    </row>
    <row r="406" customFormat="false" ht="14.65" hidden="false" customHeight="false" outlineLevel="0" collapsed="false">
      <c r="A406" s="20" t="s">
        <v>222</v>
      </c>
      <c r="D406" s="21" t="n">
        <f aca="false">C411</f>
        <v>0</v>
      </c>
      <c r="E406" s="21" t="n">
        <f aca="false">D411</f>
        <v>0</v>
      </c>
      <c r="F406" s="21" t="n">
        <f aca="false">E411</f>
        <v>0</v>
      </c>
      <c r="G406" s="21" t="n">
        <f aca="false">F411</f>
        <v>0</v>
      </c>
      <c r="H406" s="21" t="n">
        <f aca="false">G411</f>
        <v>0</v>
      </c>
      <c r="I406" s="21" t="n">
        <f aca="false">H411</f>
        <v>0</v>
      </c>
      <c r="J406" s="21" t="n">
        <f aca="false">I411</f>
        <v>0</v>
      </c>
      <c r="K406" s="21" t="n">
        <f aca="false">J411</f>
        <v>0</v>
      </c>
      <c r="L406" s="21" t="n">
        <f aca="false">K411</f>
        <v>0</v>
      </c>
      <c r="M406" s="21" t="n">
        <f aca="false">L411</f>
        <v>0</v>
      </c>
      <c r="N406" s="21" t="n">
        <f aca="false">M411</f>
        <v>0</v>
      </c>
      <c r="O406" s="21" t="n">
        <f aca="false">N411</f>
        <v>0</v>
      </c>
    </row>
    <row r="407" customFormat="false" ht="14.65" hidden="false" customHeight="false" outlineLevel="0" collapsed="false">
      <c r="A407" s="22" t="s">
        <v>40</v>
      </c>
      <c r="B407" s="27"/>
      <c r="C407" s="25" t="n">
        <v>0</v>
      </c>
      <c r="D407" s="31" t="n">
        <v>0</v>
      </c>
      <c r="E407" s="31" t="n">
        <v>0</v>
      </c>
      <c r="F407" s="31" t="n">
        <v>0</v>
      </c>
      <c r="G407" s="31" t="n">
        <v>0</v>
      </c>
      <c r="H407" s="31" t="n">
        <v>0</v>
      </c>
      <c r="I407" s="31" t="n">
        <v>0</v>
      </c>
      <c r="J407" s="31" t="n">
        <v>0</v>
      </c>
      <c r="K407" s="31" t="n">
        <v>0</v>
      </c>
      <c r="L407" s="31" t="n">
        <v>0</v>
      </c>
      <c r="M407" s="31" t="n">
        <v>0</v>
      </c>
      <c r="N407" s="31" t="n">
        <v>0</v>
      </c>
      <c r="O407" s="31" t="n">
        <v>0</v>
      </c>
      <c r="P407" s="21" t="n">
        <f aca="false">SUM(D407:O407)</f>
        <v>0</v>
      </c>
      <c r="Q407" s="25" t="n">
        <f aca="false">SUM(D407:J407)</f>
        <v>0</v>
      </c>
      <c r="R407" s="21" t="n">
        <f aca="false">P407-Q407</f>
        <v>0</v>
      </c>
    </row>
    <row r="408" customFormat="false" ht="14.65" hidden="false" customHeight="false" outlineLevel="0" collapsed="false">
      <c r="A408" s="22" t="s">
        <v>40</v>
      </c>
      <c r="B408" s="27"/>
      <c r="C408" s="25" t="n">
        <v>0</v>
      </c>
      <c r="D408" s="31" t="n">
        <v>0</v>
      </c>
      <c r="E408" s="31" t="n">
        <v>0</v>
      </c>
      <c r="F408" s="31" t="n">
        <v>0</v>
      </c>
      <c r="G408" s="31" t="n">
        <v>0</v>
      </c>
      <c r="H408" s="31" t="n">
        <v>0</v>
      </c>
      <c r="I408" s="31" t="n">
        <v>0</v>
      </c>
      <c r="J408" s="31" t="n">
        <v>0</v>
      </c>
      <c r="K408" s="31" t="n">
        <v>0</v>
      </c>
      <c r="L408" s="31" t="n">
        <v>0</v>
      </c>
      <c r="M408" s="31" t="n">
        <v>0</v>
      </c>
      <c r="N408" s="31" t="n">
        <v>0</v>
      </c>
      <c r="O408" s="31" t="n">
        <v>0</v>
      </c>
      <c r="P408" s="21" t="n">
        <f aca="false">SUM(D408:O408)</f>
        <v>0</v>
      </c>
      <c r="Q408" s="25" t="n">
        <f aca="false">SUM(D408:J408)</f>
        <v>0</v>
      </c>
      <c r="R408" s="21" t="n">
        <f aca="false">P408-Q408</f>
        <v>0</v>
      </c>
    </row>
    <row r="409" customFormat="false" ht="14.65" hidden="false" customHeight="false" outlineLevel="0" collapsed="false">
      <c r="A409" s="22" t="s">
        <v>178</v>
      </c>
      <c r="C409" s="23" t="n">
        <v>0</v>
      </c>
      <c r="D409" s="23" t="n">
        <v>0</v>
      </c>
      <c r="E409" s="23" t="n">
        <v>0</v>
      </c>
      <c r="F409" s="23" t="n">
        <v>0</v>
      </c>
      <c r="G409" s="23" t="n">
        <v>0</v>
      </c>
      <c r="H409" s="23" t="n">
        <v>0</v>
      </c>
      <c r="I409" s="23" t="n">
        <v>0</v>
      </c>
      <c r="J409" s="23" t="n">
        <v>0</v>
      </c>
      <c r="K409" s="23" t="n">
        <v>0</v>
      </c>
      <c r="L409" s="23" t="n">
        <v>0</v>
      </c>
      <c r="M409" s="23" t="n">
        <v>0</v>
      </c>
      <c r="N409" s="23" t="n">
        <v>0</v>
      </c>
      <c r="O409" s="23" t="n">
        <v>0</v>
      </c>
      <c r="P409" s="24" t="n">
        <f aca="false">SUM(D409:O409)</f>
        <v>0</v>
      </c>
      <c r="Q409" s="23" t="n">
        <f aca="false">SUM(D409:J409)</f>
        <v>0</v>
      </c>
      <c r="R409" s="24" t="n">
        <f aca="false">P409-Q409</f>
        <v>0</v>
      </c>
    </row>
    <row r="410" customFormat="false" ht="3.95" hidden="false" customHeight="true" outlineLevel="0" collapsed="false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</row>
    <row r="411" customFormat="false" ht="14.65" hidden="false" customHeight="false" outlineLevel="0" collapsed="false">
      <c r="A411" s="20" t="s">
        <v>223</v>
      </c>
      <c r="C411" s="21" t="n">
        <f aca="false">SUM(C406:C410)</f>
        <v>0</v>
      </c>
      <c r="D411" s="21" t="n">
        <f aca="false">SUM(D406:D410)</f>
        <v>0</v>
      </c>
      <c r="E411" s="21" t="n">
        <f aca="false">SUM(E406:E410)</f>
        <v>0</v>
      </c>
      <c r="F411" s="21" t="n">
        <f aca="false">SUM(F406:F410)</f>
        <v>0</v>
      </c>
      <c r="G411" s="21" t="n">
        <f aca="false">SUM(G406:G410)</f>
        <v>0</v>
      </c>
      <c r="H411" s="21" t="n">
        <f aca="false">SUM(H406:H410)</f>
        <v>0</v>
      </c>
      <c r="I411" s="21" t="n">
        <f aca="false">SUM(I406:I410)</f>
        <v>0</v>
      </c>
      <c r="J411" s="21" t="n">
        <f aca="false">SUM(J406:J410)</f>
        <v>0</v>
      </c>
      <c r="K411" s="21" t="n">
        <f aca="false">SUM(K406:K410)</f>
        <v>0</v>
      </c>
      <c r="L411" s="21" t="n">
        <f aca="false">SUM(L406:L410)</f>
        <v>0</v>
      </c>
      <c r="M411" s="21" t="n">
        <f aca="false">SUM(M406:M410)</f>
        <v>0</v>
      </c>
      <c r="N411" s="21" t="n">
        <f aca="false">SUM(N406:N410)</f>
        <v>0</v>
      </c>
      <c r="O411" s="21" t="n">
        <f aca="false">SUM(O406:O410)</f>
        <v>0</v>
      </c>
      <c r="P411" s="21"/>
    </row>
    <row r="412" customFormat="false" ht="3.95" hidden="false" customHeight="true" outlineLevel="0" collapsed="false"/>
    <row r="413" customFormat="false" ht="14.65" hidden="false" customHeight="false" outlineLevel="0" collapsed="false">
      <c r="A413" s="22" t="s">
        <v>30</v>
      </c>
      <c r="C413" s="21"/>
      <c r="D413" s="21" t="n">
        <f aca="false">D411-C411</f>
        <v>0</v>
      </c>
      <c r="E413" s="21" t="n">
        <f aca="false">E411-D411</f>
        <v>0</v>
      </c>
      <c r="F413" s="21" t="n">
        <f aca="false">F411-E411</f>
        <v>0</v>
      </c>
      <c r="G413" s="21" t="n">
        <f aca="false">G411-F411</f>
        <v>0</v>
      </c>
      <c r="H413" s="21" t="n">
        <f aca="false">H411-G411</f>
        <v>0</v>
      </c>
      <c r="I413" s="21" t="n">
        <f aca="false">I411-H411</f>
        <v>0</v>
      </c>
      <c r="J413" s="21" t="n">
        <f aca="false">J411-I411</f>
        <v>0</v>
      </c>
      <c r="K413" s="21" t="n">
        <f aca="false">K411-J411</f>
        <v>0</v>
      </c>
      <c r="L413" s="21" t="n">
        <f aca="false">L411-K411</f>
        <v>0</v>
      </c>
      <c r="M413" s="21" t="n">
        <f aca="false">M411-L411</f>
        <v>0</v>
      </c>
      <c r="N413" s="21" t="n">
        <f aca="false">N411-M411</f>
        <v>0</v>
      </c>
      <c r="O413" s="21" t="n">
        <f aca="false">O411-N411</f>
        <v>0</v>
      </c>
      <c r="P413" s="21" t="n">
        <f aca="false">SUM(D413:O413)</f>
        <v>0</v>
      </c>
      <c r="Q413" s="21" t="n">
        <f aca="false">SUM(Q409:Q410)</f>
        <v>0</v>
      </c>
      <c r="R413" s="21" t="n">
        <f aca="false">P413-Q413</f>
        <v>0</v>
      </c>
    </row>
    <row r="415" customFormat="false" ht="14.65" hidden="false" customHeight="false" outlineLevel="0" collapsed="false">
      <c r="A415" s="20" t="s">
        <v>224</v>
      </c>
      <c r="C415" s="21"/>
      <c r="D415" s="21" t="n">
        <f aca="false">C424</f>
        <v>2661</v>
      </c>
      <c r="E415" s="21" t="n">
        <f aca="false">D424</f>
        <v>2637</v>
      </c>
      <c r="F415" s="21" t="n">
        <f aca="false">E424</f>
        <v>2614</v>
      </c>
      <c r="G415" s="21" t="n">
        <f aca="false">F424</f>
        <v>2592</v>
      </c>
      <c r="H415" s="21" t="n">
        <f aca="false">G424</f>
        <v>2570</v>
      </c>
      <c r="I415" s="21" t="n">
        <f aca="false">H424</f>
        <v>2542</v>
      </c>
      <c r="J415" s="21" t="n">
        <f aca="false">I424</f>
        <v>2520</v>
      </c>
      <c r="K415" s="21" t="n">
        <f aca="false">J424</f>
        <v>2497</v>
      </c>
      <c r="L415" s="21" t="n">
        <f aca="false">K424</f>
        <v>2473</v>
      </c>
      <c r="M415" s="21" t="n">
        <f aca="false">L424</f>
        <v>2449</v>
      </c>
      <c r="N415" s="21" t="n">
        <f aca="false">M424</f>
        <v>2425</v>
      </c>
      <c r="O415" s="21" t="n">
        <f aca="false">N424</f>
        <v>2401</v>
      </c>
      <c r="P415" s="21"/>
    </row>
    <row r="416" customFormat="false" ht="14.65" hidden="false" customHeight="false" outlineLevel="0" collapsed="false">
      <c r="A416" s="22" t="s">
        <v>225</v>
      </c>
      <c r="B416" s="27" t="s">
        <v>34</v>
      </c>
      <c r="C416" s="25" t="n">
        <v>0</v>
      </c>
      <c r="D416" s="28" t="n">
        <f aca="false">'''file:///mnt/12tb/@roms/datasets/enron/EDRM%20Enron%20Email%20Data%20Set%20v2%20XML/filtered-attachments/xls/EMTW01CE.XLS''#Source'!D48</f>
        <v>-0</v>
      </c>
      <c r="E416" s="28" t="n">
        <f aca="false">'''file:///mnt/12tb/@roms/datasets/enron/EDRM%20Enron%20Email%20Data%20Set%20v2%20XML/filtered-attachments/xls/EMTW01CE.XLS''#Source'!E48</f>
        <v>-0</v>
      </c>
      <c r="F416" s="28" t="n">
        <f aca="false">'''file:///mnt/12tb/@roms/datasets/enron/EDRM%20Enron%20Email%20Data%20Set%20v2%20XML/filtered-attachments/xls/EMTW01CE.XLS''#Source'!F48</f>
        <v>-0</v>
      </c>
      <c r="G416" s="28" t="n">
        <f aca="false">'''file:///mnt/12tb/@roms/datasets/enron/EDRM%20Enron%20Email%20Data%20Set%20v2%20XML/filtered-attachments/xls/EMTW01CE.XLS''#Source'!G48</f>
        <v>-0</v>
      </c>
      <c r="H416" s="28" t="n">
        <f aca="false">'''file:///mnt/12tb/@roms/datasets/enron/EDRM%20Enron%20Email%20Data%20Set%20v2%20XML/filtered-attachments/xls/EMTW01CE.XLS''#Source'!H48</f>
        <v>-0</v>
      </c>
      <c r="I416" s="28" t="n">
        <f aca="false">'''file:///mnt/12tb/@roms/datasets/enron/EDRM%20Enron%20Email%20Data%20Set%20v2%20XML/filtered-attachments/xls/EMTW01CE.XLS''#Source'!I48</f>
        <v>-0</v>
      </c>
      <c r="J416" s="28" t="n">
        <f aca="false">'''file:///mnt/12tb/@roms/datasets/enron/EDRM%20Enron%20Email%20Data%20Set%20v2%20XML/filtered-attachments/xls/EMTW01CE.XLS''#Source'!J48</f>
        <v>-0</v>
      </c>
      <c r="K416" s="28" t="n">
        <f aca="false">'''file:///mnt/12tb/@roms/datasets/enron/EDRM%20Enron%20Email%20Data%20Set%20v2%20XML/filtered-attachments/xls/EMTW01CE.XLS''#Source'!K48</f>
        <v>-0</v>
      </c>
      <c r="L416" s="28" t="n">
        <f aca="false">'''file:///mnt/12tb/@roms/datasets/enron/EDRM%20Enron%20Email%20Data%20Set%20v2%20XML/filtered-attachments/xls/EMTW01CE.XLS''#Source'!L48</f>
        <v>-0</v>
      </c>
      <c r="M416" s="28" t="n">
        <f aca="false">'''file:///mnt/12tb/@roms/datasets/enron/EDRM%20Enron%20Email%20Data%20Set%20v2%20XML/filtered-attachments/xls/EMTW01CE.XLS''#Source'!M48</f>
        <v>-0</v>
      </c>
      <c r="N416" s="28" t="n">
        <f aca="false">'''file:///mnt/12tb/@roms/datasets/enron/EDRM%20Enron%20Email%20Data%20Set%20v2%20XML/filtered-attachments/xls/EMTW01CE.XLS''#Source'!N48</f>
        <v>-0</v>
      </c>
      <c r="O416" s="28" t="n">
        <f aca="false">'''file:///mnt/12tb/@roms/datasets/enron/EDRM%20Enron%20Email%20Data%20Set%20v2%20XML/filtered-attachments/xls/EMTW01CE.XLS''#Source'!O48</f>
        <v>-0</v>
      </c>
      <c r="P416" s="21" t="n">
        <f aca="false">SUM(D416:O416)</f>
        <v>0</v>
      </c>
      <c r="Q416" s="25" t="n">
        <f aca="false">SUM(D416:J416)</f>
        <v>0</v>
      </c>
      <c r="R416" s="21" t="n">
        <f aca="false">P416-Q416</f>
        <v>0</v>
      </c>
    </row>
    <row r="417" customFormat="false" ht="14.65" hidden="false" customHeight="false" outlineLevel="0" collapsed="false">
      <c r="A417" s="22" t="s">
        <v>218</v>
      </c>
      <c r="B417" s="27"/>
      <c r="C417" s="25" t="n">
        <v>0</v>
      </c>
      <c r="D417" s="25" t="n">
        <v>0</v>
      </c>
      <c r="E417" s="25" t="n">
        <v>0</v>
      </c>
      <c r="F417" s="25" t="n">
        <v>0</v>
      </c>
      <c r="G417" s="25" t="n">
        <v>0</v>
      </c>
      <c r="H417" s="25" t="n">
        <v>0</v>
      </c>
      <c r="I417" s="25" t="n">
        <v>0</v>
      </c>
      <c r="J417" s="25" t="n">
        <v>0</v>
      </c>
      <c r="K417" s="25" t="n">
        <v>0</v>
      </c>
      <c r="L417" s="25" t="n">
        <v>0</v>
      </c>
      <c r="M417" s="25" t="n">
        <v>0</v>
      </c>
      <c r="N417" s="25" t="n">
        <v>0</v>
      </c>
      <c r="O417" s="25" t="n">
        <v>0</v>
      </c>
      <c r="P417" s="21" t="n">
        <f aca="false">SUM(D417:O417)</f>
        <v>0</v>
      </c>
      <c r="Q417" s="25" t="n">
        <f aca="false">SUM(D417:J417)</f>
        <v>0</v>
      </c>
      <c r="R417" s="21" t="n">
        <f aca="false">P417-Q417</f>
        <v>0</v>
      </c>
    </row>
    <row r="418" customFormat="false" ht="14.65" hidden="false" customHeight="false" outlineLevel="0" collapsed="false">
      <c r="A418" s="22" t="s">
        <v>226</v>
      </c>
      <c r="C418" s="25" t="n">
        <v>0</v>
      </c>
      <c r="D418" s="25" t="n">
        <v>0</v>
      </c>
      <c r="E418" s="25" t="n">
        <v>0</v>
      </c>
      <c r="F418" s="25" t="n">
        <v>0</v>
      </c>
      <c r="G418" s="25" t="n">
        <v>0</v>
      </c>
      <c r="H418" s="25" t="n">
        <v>0</v>
      </c>
      <c r="I418" s="25" t="n">
        <v>0</v>
      </c>
      <c r="J418" s="25" t="n">
        <v>0</v>
      </c>
      <c r="K418" s="25" t="n">
        <v>0</v>
      </c>
      <c r="L418" s="25" t="n">
        <v>0</v>
      </c>
      <c r="M418" s="25" t="n">
        <v>0</v>
      </c>
      <c r="N418" s="25" t="n">
        <v>0</v>
      </c>
      <c r="O418" s="25" t="n">
        <v>0</v>
      </c>
      <c r="P418" s="21" t="n">
        <f aca="false">SUM(D418:O418)</f>
        <v>0</v>
      </c>
      <c r="Q418" s="25" t="n">
        <f aca="false">SUM(D418:J418)</f>
        <v>0</v>
      </c>
      <c r="R418" s="21" t="n">
        <f aca="false">P418-Q418</f>
        <v>0</v>
      </c>
    </row>
    <row r="419" customFormat="false" ht="14.65" hidden="false" customHeight="false" outlineLevel="0" collapsed="false">
      <c r="A419" s="22" t="s">
        <v>227</v>
      </c>
      <c r="C419" s="25" t="n">
        <v>0</v>
      </c>
      <c r="D419" s="25" t="n">
        <v>0</v>
      </c>
      <c r="E419" s="25" t="n">
        <v>0</v>
      </c>
      <c r="F419" s="25" t="n">
        <v>0</v>
      </c>
      <c r="G419" s="25" t="n">
        <v>0</v>
      </c>
      <c r="H419" s="25" t="n">
        <v>0</v>
      </c>
      <c r="I419" s="25" t="n">
        <v>0</v>
      </c>
      <c r="J419" s="25" t="n">
        <v>0</v>
      </c>
      <c r="K419" s="25" t="n">
        <v>0</v>
      </c>
      <c r="L419" s="25" t="n">
        <v>0</v>
      </c>
      <c r="M419" s="25" t="n">
        <v>0</v>
      </c>
      <c r="N419" s="25" t="n">
        <v>0</v>
      </c>
      <c r="O419" s="25" t="n">
        <v>0</v>
      </c>
      <c r="P419" s="21" t="n">
        <f aca="false">SUM(D419:O419)</f>
        <v>0</v>
      </c>
      <c r="Q419" s="25" t="n">
        <f aca="false">SUM(D419:J419)</f>
        <v>0</v>
      </c>
      <c r="R419" s="21" t="n">
        <f aca="false">P419-Q419</f>
        <v>0</v>
      </c>
    </row>
    <row r="420" customFormat="false" ht="14.65" hidden="false" customHeight="false" outlineLevel="0" collapsed="false">
      <c r="A420" s="22" t="s">
        <v>228</v>
      </c>
      <c r="B420" s="27"/>
      <c r="C420" s="25" t="n">
        <v>0</v>
      </c>
      <c r="D420" s="25" t="n">
        <v>0</v>
      </c>
      <c r="E420" s="25" t="n">
        <v>0</v>
      </c>
      <c r="F420" s="25" t="n">
        <v>0</v>
      </c>
      <c r="G420" s="25" t="n">
        <v>0</v>
      </c>
      <c r="H420" s="25" t="n">
        <v>0</v>
      </c>
      <c r="I420" s="25" t="n">
        <v>0</v>
      </c>
      <c r="J420" s="25" t="n">
        <v>0</v>
      </c>
      <c r="K420" s="25" t="n">
        <v>0</v>
      </c>
      <c r="L420" s="25" t="n">
        <v>0</v>
      </c>
      <c r="M420" s="25" t="n">
        <v>0</v>
      </c>
      <c r="N420" s="25" t="n">
        <v>0</v>
      </c>
      <c r="O420" s="25" t="n">
        <v>0</v>
      </c>
      <c r="P420" s="21" t="n">
        <f aca="false">SUM(D420:O420)</f>
        <v>0</v>
      </c>
      <c r="Q420" s="25" t="n">
        <f aca="false">SUM(D420:J420)</f>
        <v>0</v>
      </c>
      <c r="R420" s="21" t="n">
        <f aca="false">P420-Q420</f>
        <v>0</v>
      </c>
    </row>
    <row r="421" customFormat="false" ht="14.65" hidden="false" customHeight="false" outlineLevel="0" collapsed="false">
      <c r="A421" s="22" t="s">
        <v>229</v>
      </c>
      <c r="B421" s="27"/>
      <c r="C421" s="25" t="n">
        <v>2664</v>
      </c>
      <c r="D421" s="25" t="n">
        <v>-24</v>
      </c>
      <c r="E421" s="25" t="n">
        <v>-23</v>
      </c>
      <c r="F421" s="25" t="n">
        <v>-22</v>
      </c>
      <c r="G421" s="25" t="n">
        <v>-22</v>
      </c>
      <c r="H421" s="25" t="n">
        <v>-24</v>
      </c>
      <c r="I421" s="25" t="n">
        <v>-24</v>
      </c>
      <c r="J421" s="25" t="n">
        <v>-24</v>
      </c>
      <c r="K421" s="25" t="n">
        <v>-24</v>
      </c>
      <c r="L421" s="25" t="n">
        <v>-24</v>
      </c>
      <c r="M421" s="25" t="n">
        <v>-24</v>
      </c>
      <c r="N421" s="25" t="n">
        <v>-24</v>
      </c>
      <c r="O421" s="25" t="n">
        <v>-24</v>
      </c>
      <c r="P421" s="21" t="n">
        <f aca="false">SUM(D421:O421)</f>
        <v>-283</v>
      </c>
      <c r="Q421" s="25" t="n">
        <f aca="false">SUM(D421:J421)</f>
        <v>-163</v>
      </c>
      <c r="R421" s="21" t="n">
        <f aca="false">P421-Q421</f>
        <v>-120</v>
      </c>
    </row>
    <row r="422" customFormat="false" ht="14.65" hidden="false" customHeight="false" outlineLevel="0" collapsed="false">
      <c r="A422" s="22" t="s">
        <v>178</v>
      </c>
      <c r="C422" s="23" t="n">
        <v>-3</v>
      </c>
      <c r="D422" s="23" t="n">
        <v>0</v>
      </c>
      <c r="E422" s="23" t="n">
        <v>0</v>
      </c>
      <c r="F422" s="23" t="n">
        <v>0</v>
      </c>
      <c r="G422" s="23" t="n">
        <v>0</v>
      </c>
      <c r="H422" s="23" t="n">
        <v>-4</v>
      </c>
      <c r="I422" s="23" t="n">
        <v>2</v>
      </c>
      <c r="J422" s="23" t="n">
        <v>1</v>
      </c>
      <c r="K422" s="23" t="n">
        <v>0</v>
      </c>
      <c r="L422" s="23" t="n">
        <v>0</v>
      </c>
      <c r="M422" s="23" t="n">
        <v>0</v>
      </c>
      <c r="N422" s="23" t="n">
        <v>0</v>
      </c>
      <c r="O422" s="23" t="n">
        <v>0</v>
      </c>
      <c r="P422" s="24" t="n">
        <f aca="false">SUM(D422:O422)</f>
        <v>-1</v>
      </c>
      <c r="Q422" s="23" t="n">
        <f aca="false">SUM(D422:J422)</f>
        <v>-1</v>
      </c>
      <c r="R422" s="24" t="n">
        <f aca="false">P422-Q422</f>
        <v>0</v>
      </c>
    </row>
    <row r="423" customFormat="false" ht="3.95" hidden="false" customHeight="true" outlineLevel="0" collapsed="false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</row>
    <row r="424" customFormat="false" ht="14.65" hidden="false" customHeight="false" outlineLevel="0" collapsed="false">
      <c r="A424" s="20" t="s">
        <v>230</v>
      </c>
      <c r="C424" s="21" t="n">
        <f aca="false">SUM(C415:C423)</f>
        <v>2661</v>
      </c>
      <c r="D424" s="21" t="n">
        <f aca="false">SUM(D415:D423)</f>
        <v>2637</v>
      </c>
      <c r="E424" s="21" t="n">
        <f aca="false">SUM(E415:E423)</f>
        <v>2614</v>
      </c>
      <c r="F424" s="21" t="n">
        <f aca="false">SUM(F415:F423)</f>
        <v>2592</v>
      </c>
      <c r="G424" s="21" t="n">
        <f aca="false">SUM(G415:G423)</f>
        <v>2570</v>
      </c>
      <c r="H424" s="21" t="n">
        <f aca="false">SUM(H415:H423)</f>
        <v>2542</v>
      </c>
      <c r="I424" s="21" t="n">
        <f aca="false">SUM(I415:I423)</f>
        <v>2520</v>
      </c>
      <c r="J424" s="21" t="n">
        <f aca="false">SUM(J415:J423)</f>
        <v>2497</v>
      </c>
      <c r="K424" s="21" t="n">
        <f aca="false">SUM(K415:K423)</f>
        <v>2473</v>
      </c>
      <c r="L424" s="21" t="n">
        <f aca="false">SUM(L415:L423)</f>
        <v>2449</v>
      </c>
      <c r="M424" s="21" t="n">
        <f aca="false">SUM(M415:M423)</f>
        <v>2425</v>
      </c>
      <c r="N424" s="21" t="n">
        <f aca="false">SUM(N415:N423)</f>
        <v>2401</v>
      </c>
      <c r="O424" s="21" t="n">
        <f aca="false">SUM(O415:O423)</f>
        <v>2377</v>
      </c>
      <c r="P424" s="21"/>
    </row>
    <row r="425" customFormat="false" ht="3.95" hidden="false" customHeight="true" outlineLevel="0" collapsed="false"/>
    <row r="426" customFormat="false" ht="14.65" hidden="false" customHeight="false" outlineLevel="0" collapsed="false">
      <c r="A426" s="22" t="s">
        <v>30</v>
      </c>
      <c r="C426" s="21"/>
      <c r="D426" s="21" t="n">
        <f aca="false">D424-C424</f>
        <v>-24</v>
      </c>
      <c r="E426" s="21" t="n">
        <f aca="false">E424-D424</f>
        <v>-23</v>
      </c>
      <c r="F426" s="21" t="n">
        <f aca="false">F424-E424</f>
        <v>-22</v>
      </c>
      <c r="G426" s="21" t="n">
        <f aca="false">G424-F424</f>
        <v>-22</v>
      </c>
      <c r="H426" s="21" t="n">
        <f aca="false">H424-G424</f>
        <v>-28</v>
      </c>
      <c r="I426" s="21" t="n">
        <f aca="false">I424-H424</f>
        <v>-22</v>
      </c>
      <c r="J426" s="21" t="n">
        <f aca="false">J424-I424</f>
        <v>-23</v>
      </c>
      <c r="K426" s="21" t="n">
        <f aca="false">K424-J424</f>
        <v>-24</v>
      </c>
      <c r="L426" s="21" t="n">
        <f aca="false">L424-K424</f>
        <v>-24</v>
      </c>
      <c r="M426" s="21" t="n">
        <f aca="false">M424-L424</f>
        <v>-24</v>
      </c>
      <c r="N426" s="21" t="n">
        <f aca="false">N424-M424</f>
        <v>-24</v>
      </c>
      <c r="O426" s="21" t="n">
        <f aca="false">O424-N424</f>
        <v>-24</v>
      </c>
      <c r="P426" s="21" t="n">
        <f aca="false">SUM(D426:O426)</f>
        <v>-284</v>
      </c>
      <c r="Q426" s="21" t="n">
        <f aca="false">SUM(Q416:Q423)</f>
        <v>-164</v>
      </c>
      <c r="R426" s="21" t="n">
        <f aca="false">P426-Q426</f>
        <v>-120</v>
      </c>
    </row>
    <row r="428" customFormat="false" ht="14.65" hidden="false" customHeight="false" outlineLevel="0" collapsed="false">
      <c r="A428" s="20" t="s">
        <v>231</v>
      </c>
      <c r="D428" s="21" t="n">
        <f aca="false">C434</f>
        <v>0</v>
      </c>
      <c r="E428" s="21" t="n">
        <f aca="false">D434</f>
        <v>26217</v>
      </c>
      <c r="F428" s="21" t="n">
        <f aca="false">E434</f>
        <v>17748</v>
      </c>
      <c r="G428" s="21" t="n">
        <f aca="false">F434</f>
        <v>36081</v>
      </c>
      <c r="H428" s="21" t="n">
        <f aca="false">G434</f>
        <v>3332</v>
      </c>
      <c r="I428" s="21" t="n">
        <f aca="false">H434</f>
        <v>0</v>
      </c>
      <c r="J428" s="21" t="n">
        <f aca="false">I434</f>
        <v>0</v>
      </c>
      <c r="K428" s="21" t="n">
        <f aca="false">J434</f>
        <v>0</v>
      </c>
      <c r="L428" s="21" t="n">
        <f aca="false">K434</f>
        <v>0</v>
      </c>
      <c r="M428" s="21" t="n">
        <f aca="false">L434</f>
        <v>0</v>
      </c>
      <c r="N428" s="21" t="n">
        <f aca="false">M434</f>
        <v>0</v>
      </c>
      <c r="O428" s="21" t="n">
        <f aca="false">N434</f>
        <v>0</v>
      </c>
    </row>
    <row r="429" customFormat="false" ht="14.65" hidden="false" customHeight="false" outlineLevel="0" collapsed="false">
      <c r="A429" s="22" t="s">
        <v>232</v>
      </c>
      <c r="C429" s="25" t="n">
        <v>0</v>
      </c>
      <c r="D429" s="25" t="n">
        <v>26217</v>
      </c>
      <c r="E429" s="25" t="n">
        <v>-8469</v>
      </c>
      <c r="F429" s="25" t="n">
        <v>18333</v>
      </c>
      <c r="G429" s="25" t="n">
        <v>-9782</v>
      </c>
      <c r="H429" s="25" t="n">
        <v>-31283</v>
      </c>
      <c r="I429" s="25" t="n">
        <v>0</v>
      </c>
      <c r="J429" s="25" t="n">
        <v>0</v>
      </c>
      <c r="K429" s="25" t="n">
        <v>0</v>
      </c>
      <c r="L429" s="25" t="n">
        <v>0</v>
      </c>
      <c r="M429" s="25" t="n">
        <v>0</v>
      </c>
      <c r="N429" s="25" t="n">
        <v>0</v>
      </c>
      <c r="O429" s="25" t="n">
        <v>0</v>
      </c>
      <c r="P429" s="21" t="n">
        <f aca="false">SUM(D429:O429)</f>
        <v>-4984</v>
      </c>
      <c r="Q429" s="25" t="n">
        <f aca="false">SUM(D429:J429)</f>
        <v>-4984</v>
      </c>
      <c r="R429" s="21" t="n">
        <f aca="false">P429-Q429</f>
        <v>0</v>
      </c>
    </row>
    <row r="430" customFormat="false" ht="14.65" hidden="false" customHeight="false" outlineLevel="0" collapsed="false">
      <c r="A430" s="22" t="s">
        <v>233</v>
      </c>
      <c r="B430" s="27"/>
      <c r="C430" s="25" t="n">
        <v>0</v>
      </c>
      <c r="D430" s="31" t="n">
        <v>0</v>
      </c>
      <c r="E430" s="31" t="n">
        <v>0</v>
      </c>
      <c r="F430" s="31" t="n">
        <v>0</v>
      </c>
      <c r="G430" s="31" t="n">
        <v>-22967</v>
      </c>
      <c r="H430" s="31" t="n">
        <v>0</v>
      </c>
      <c r="I430" s="31" t="n">
        <v>0</v>
      </c>
      <c r="J430" s="31" t="n">
        <v>0</v>
      </c>
      <c r="K430" s="31" t="n">
        <v>0</v>
      </c>
      <c r="L430" s="31" t="n">
        <v>0</v>
      </c>
      <c r="M430" s="31" t="n">
        <v>0</v>
      </c>
      <c r="N430" s="31" t="n">
        <v>0</v>
      </c>
      <c r="O430" s="31" t="n">
        <v>0</v>
      </c>
      <c r="P430" s="21" t="n">
        <f aca="false">SUM(D430:O430)</f>
        <v>-22967</v>
      </c>
      <c r="Q430" s="25" t="n">
        <f aca="false">SUM(D430:J430)</f>
        <v>-22967</v>
      </c>
      <c r="R430" s="21" t="n">
        <f aca="false">P430-Q430</f>
        <v>0</v>
      </c>
    </row>
    <row r="431" customFormat="false" ht="14.65" hidden="false" customHeight="false" outlineLevel="0" collapsed="false">
      <c r="A431" s="22" t="s">
        <v>40</v>
      </c>
      <c r="B431" s="27"/>
      <c r="C431" s="25" t="n">
        <v>0</v>
      </c>
      <c r="D431" s="31" t="n">
        <v>0</v>
      </c>
      <c r="E431" s="31" t="n">
        <v>0</v>
      </c>
      <c r="F431" s="31" t="n">
        <v>0</v>
      </c>
      <c r="G431" s="31" t="n">
        <v>0</v>
      </c>
      <c r="H431" s="31" t="n">
        <v>27951</v>
      </c>
      <c r="I431" s="31" t="n">
        <v>0</v>
      </c>
      <c r="J431" s="31" t="n">
        <v>0</v>
      </c>
      <c r="K431" s="31" t="n">
        <v>0</v>
      </c>
      <c r="L431" s="31" t="n">
        <v>0</v>
      </c>
      <c r="M431" s="31" t="n">
        <v>0</v>
      </c>
      <c r="N431" s="31" t="n">
        <v>0</v>
      </c>
      <c r="O431" s="31" t="n">
        <v>0</v>
      </c>
      <c r="P431" s="21" t="n">
        <f aca="false">SUM(D431:O431)</f>
        <v>27951</v>
      </c>
      <c r="Q431" s="25" t="n">
        <f aca="false">SUM(D431:J431)</f>
        <v>27951</v>
      </c>
      <c r="R431" s="21" t="n">
        <f aca="false">P431-Q431</f>
        <v>0</v>
      </c>
    </row>
    <row r="432" customFormat="false" ht="14.65" hidden="false" customHeight="false" outlineLevel="0" collapsed="false">
      <c r="A432" s="22" t="s">
        <v>178</v>
      </c>
      <c r="C432" s="23" t="n">
        <v>0</v>
      </c>
      <c r="D432" s="23" t="n">
        <v>0</v>
      </c>
      <c r="E432" s="23" t="n">
        <v>0</v>
      </c>
      <c r="F432" s="23" t="n">
        <v>0</v>
      </c>
      <c r="G432" s="23" t="n">
        <v>0</v>
      </c>
      <c r="H432" s="23" t="n">
        <v>0</v>
      </c>
      <c r="I432" s="23" t="n">
        <v>0</v>
      </c>
      <c r="J432" s="23" t="n">
        <v>0</v>
      </c>
      <c r="K432" s="23" t="n">
        <v>0</v>
      </c>
      <c r="L432" s="23" t="n">
        <v>0</v>
      </c>
      <c r="M432" s="23" t="n">
        <v>0</v>
      </c>
      <c r="N432" s="23" t="n">
        <v>0</v>
      </c>
      <c r="O432" s="23" t="n">
        <v>0</v>
      </c>
      <c r="P432" s="24" t="n">
        <f aca="false">SUM(D432:O432)</f>
        <v>0</v>
      </c>
      <c r="Q432" s="23" t="n">
        <f aca="false">SUM(D432:J432)</f>
        <v>0</v>
      </c>
      <c r="R432" s="24" t="n">
        <f aca="false">P432-Q432</f>
        <v>0</v>
      </c>
    </row>
    <row r="433" customFormat="false" ht="3.95" hidden="false" customHeight="true" outlineLevel="0" collapsed="false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</row>
    <row r="434" customFormat="false" ht="14.65" hidden="false" customHeight="false" outlineLevel="0" collapsed="false">
      <c r="A434" s="20" t="s">
        <v>234</v>
      </c>
      <c r="C434" s="21" t="n">
        <f aca="false">SUM(C428:C433)</f>
        <v>0</v>
      </c>
      <c r="D434" s="21" t="n">
        <f aca="false">SUM(D428:D433)</f>
        <v>26217</v>
      </c>
      <c r="E434" s="21" t="n">
        <f aca="false">SUM(E428:E433)</f>
        <v>17748</v>
      </c>
      <c r="F434" s="21" t="n">
        <f aca="false">SUM(F428:F433)</f>
        <v>36081</v>
      </c>
      <c r="G434" s="21" t="n">
        <f aca="false">SUM(G428:G433)</f>
        <v>3332</v>
      </c>
      <c r="H434" s="21" t="n">
        <f aca="false">SUM(H428:H433)</f>
        <v>0</v>
      </c>
      <c r="I434" s="21" t="n">
        <f aca="false">SUM(I428:I433)</f>
        <v>0</v>
      </c>
      <c r="J434" s="21" t="n">
        <f aca="false">SUM(J428:J433)</f>
        <v>0</v>
      </c>
      <c r="K434" s="21" t="n">
        <f aca="false">SUM(K428:K433)</f>
        <v>0</v>
      </c>
      <c r="L434" s="21" t="n">
        <f aca="false">SUM(L428:L433)</f>
        <v>0</v>
      </c>
      <c r="M434" s="21" t="n">
        <f aca="false">SUM(M428:M433)</f>
        <v>0</v>
      </c>
      <c r="N434" s="21" t="n">
        <f aca="false">SUM(N428:N433)</f>
        <v>0</v>
      </c>
      <c r="O434" s="21" t="n">
        <f aca="false">SUM(O428:O433)</f>
        <v>0</v>
      </c>
      <c r="P434" s="21"/>
    </row>
    <row r="435" customFormat="false" ht="3.95" hidden="false" customHeight="true" outlineLevel="0" collapsed="false"/>
    <row r="436" customFormat="false" ht="14.65" hidden="false" customHeight="false" outlineLevel="0" collapsed="false">
      <c r="A436" s="22" t="s">
        <v>30</v>
      </c>
      <c r="C436" s="21"/>
      <c r="D436" s="21" t="n">
        <f aca="false">D434-C434</f>
        <v>26217</v>
      </c>
      <c r="E436" s="21" t="n">
        <f aca="false">E434-D434</f>
        <v>-8469</v>
      </c>
      <c r="F436" s="21" t="n">
        <f aca="false">F434-E434</f>
        <v>18333</v>
      </c>
      <c r="G436" s="21" t="n">
        <f aca="false">G434-F434</f>
        <v>-32749</v>
      </c>
      <c r="H436" s="21" t="n">
        <f aca="false">H434-G434</f>
        <v>-3332</v>
      </c>
      <c r="I436" s="21" t="n">
        <f aca="false">I434-H434</f>
        <v>0</v>
      </c>
      <c r="J436" s="21" t="n">
        <f aca="false">J434-I434</f>
        <v>0</v>
      </c>
      <c r="K436" s="21" t="n">
        <f aca="false">K434-J434</f>
        <v>0</v>
      </c>
      <c r="L436" s="21" t="n">
        <f aca="false">L434-K434</f>
        <v>0</v>
      </c>
      <c r="M436" s="21" t="n">
        <f aca="false">M434-L434</f>
        <v>0</v>
      </c>
      <c r="N436" s="21" t="n">
        <f aca="false">N434-M434</f>
        <v>0</v>
      </c>
      <c r="O436" s="21" t="n">
        <f aca="false">O434-N434</f>
        <v>0</v>
      </c>
      <c r="P436" s="21" t="n">
        <f aca="false">SUM(D436:O436)</f>
        <v>0</v>
      </c>
      <c r="Q436" s="21" t="n">
        <f aca="false">SUM(Q429:Q433)</f>
        <v>0</v>
      </c>
      <c r="R436" s="21" t="n">
        <f aca="false">P436-Q436</f>
        <v>0</v>
      </c>
    </row>
    <row r="437" customFormat="false" ht="8.1" hidden="false" customHeight="true" outlineLevel="0" collapsed="false"/>
    <row r="439" customFormat="false" ht="14.65" hidden="false" customHeight="false" outlineLevel="0" collapsed="false">
      <c r="A439" s="20" t="s">
        <v>235</v>
      </c>
      <c r="C439" s="21"/>
      <c r="D439" s="21" t="n">
        <f aca="false">C449</f>
        <v>-524956</v>
      </c>
      <c r="E439" s="21" t="n">
        <f aca="false">D449</f>
        <v>-541799</v>
      </c>
      <c r="F439" s="21" t="n">
        <f aca="false">E449</f>
        <v>-560015</v>
      </c>
      <c r="G439" s="21" t="n">
        <f aca="false">F449</f>
        <v>-579696</v>
      </c>
      <c r="H439" s="21" t="n">
        <f aca="false">G449</f>
        <v>-591337</v>
      </c>
      <c r="I439" s="21" t="n">
        <f aca="false">H449</f>
        <v>-587311</v>
      </c>
      <c r="J439" s="21" t="n">
        <f aca="false">I449</f>
        <v>-460025</v>
      </c>
      <c r="K439" s="21" t="n">
        <f aca="false">J449</f>
        <v>-461271</v>
      </c>
      <c r="L439" s="21" t="n">
        <f aca="false">K449</f>
        <v>-476871</v>
      </c>
      <c r="M439" s="21" t="n">
        <f aca="false">L449</f>
        <v>-478771</v>
      </c>
      <c r="N439" s="21" t="n">
        <f aca="false">M449</f>
        <v>-484471</v>
      </c>
      <c r="O439" s="21" t="n">
        <f aca="false">N449</f>
        <v>-484271</v>
      </c>
      <c r="P439" s="21"/>
    </row>
    <row r="440" customFormat="false" ht="14.65" hidden="false" customHeight="false" outlineLevel="0" collapsed="false">
      <c r="A440" s="22" t="s">
        <v>236</v>
      </c>
      <c r="D440" s="25" t="n">
        <v>-10623</v>
      </c>
      <c r="E440" s="25" t="n">
        <v>-10356</v>
      </c>
      <c r="F440" s="25" t="n">
        <v>-14673</v>
      </c>
      <c r="G440" s="25" t="n">
        <v>5986</v>
      </c>
      <c r="H440" s="25" t="n">
        <v>9459</v>
      </c>
      <c r="I440" s="26" t="n">
        <f aca="false">132325-40</f>
        <v>132285</v>
      </c>
      <c r="J440" s="39" t="n">
        <f aca="false">4060+2</f>
        <v>4062</v>
      </c>
      <c r="K440" s="25" t="n">
        <v>-10200</v>
      </c>
      <c r="L440" s="25" t="n">
        <v>3000</v>
      </c>
      <c r="M440" s="25" t="n">
        <v>-3700</v>
      </c>
      <c r="N440" s="25" t="n">
        <v>6000</v>
      </c>
      <c r="O440" s="26" t="n">
        <v>5600</v>
      </c>
      <c r="P440" s="21" t="n">
        <f aca="false">SUM(D440:O440)</f>
        <v>116840</v>
      </c>
      <c r="Q440" s="25" t="n">
        <f aca="false">SUM(D440:J440)</f>
        <v>116140</v>
      </c>
      <c r="R440" s="21" t="n">
        <f aca="false">P440-Q440</f>
        <v>700</v>
      </c>
    </row>
    <row r="441" customFormat="false" ht="14.65" hidden="false" customHeight="false" outlineLevel="0" collapsed="false">
      <c r="A441" s="22" t="s">
        <v>237</v>
      </c>
      <c r="B441" s="27" t="s">
        <v>173</v>
      </c>
      <c r="D441" s="21" t="n">
        <f aca="false">-D286</f>
        <v>-6220</v>
      </c>
      <c r="E441" s="21" t="n">
        <f aca="false">-E286</f>
        <v>-7860</v>
      </c>
      <c r="F441" s="21" t="n">
        <f aca="false">-F286</f>
        <v>-5008</v>
      </c>
      <c r="G441" s="21" t="n">
        <f aca="false">-G286</f>
        <v>-17627</v>
      </c>
      <c r="H441" s="21" t="n">
        <f aca="false">-H286</f>
        <v>-5433</v>
      </c>
      <c r="I441" s="21" t="n">
        <f aca="false">-I286</f>
        <v>-4999</v>
      </c>
      <c r="J441" s="21" t="n">
        <f aca="false">-J286</f>
        <v>-5308</v>
      </c>
      <c r="K441" s="21" t="n">
        <f aca="false">-K286</f>
        <v>-5400</v>
      </c>
      <c r="L441" s="21" t="n">
        <f aca="false">-L286</f>
        <v>-4900</v>
      </c>
      <c r="M441" s="21" t="n">
        <f aca="false">-M286</f>
        <v>-2000</v>
      </c>
      <c r="N441" s="21" t="n">
        <f aca="false">-N286</f>
        <v>-5800</v>
      </c>
      <c r="O441" s="21" t="n">
        <f aca="false">-O286</f>
        <v>-5400</v>
      </c>
      <c r="P441" s="21" t="n">
        <f aca="false">SUM(D441:O441)</f>
        <v>-75955</v>
      </c>
      <c r="Q441" s="25" t="n">
        <f aca="false">SUM(D441:J441)</f>
        <v>-52455</v>
      </c>
      <c r="R441" s="21" t="n">
        <f aca="false">P441-Q441</f>
        <v>-23500</v>
      </c>
    </row>
    <row r="442" customFormat="false" ht="14.65" hidden="false" customHeight="false" outlineLevel="0" collapsed="false">
      <c r="A442" s="22" t="s">
        <v>238</v>
      </c>
      <c r="B442" s="27" t="s">
        <v>173</v>
      </c>
      <c r="D442" s="29" t="n">
        <f aca="false">-D295+D295</f>
        <v>0</v>
      </c>
      <c r="E442" s="29" t="n">
        <f aca="false">-E295+E295</f>
        <v>0</v>
      </c>
      <c r="F442" s="29" t="n">
        <f aca="false">-F295+F295</f>
        <v>0</v>
      </c>
      <c r="G442" s="29" t="n">
        <f aca="false">-G295+G295</f>
        <v>0</v>
      </c>
      <c r="H442" s="29" t="n">
        <f aca="false">-H295+H295</f>
        <v>0</v>
      </c>
      <c r="I442" s="29" t="n">
        <f aca="false">-I295+I295</f>
        <v>0</v>
      </c>
      <c r="J442" s="29" t="n">
        <f aca="false">-J295+J295</f>
        <v>0</v>
      </c>
      <c r="K442" s="29" t="n">
        <f aca="false">-K295+K295</f>
        <v>0</v>
      </c>
      <c r="L442" s="29" t="n">
        <f aca="false">-L295+L295</f>
        <v>0</v>
      </c>
      <c r="M442" s="29" t="n">
        <f aca="false">-M295+M295</f>
        <v>0</v>
      </c>
      <c r="N442" s="29" t="n">
        <f aca="false">-N295+N295</f>
        <v>0</v>
      </c>
      <c r="O442" s="29" t="n">
        <f aca="false">-O295+O295</f>
        <v>0</v>
      </c>
      <c r="P442" s="21" t="n">
        <f aca="false">SUM(D442:O442)</f>
        <v>0</v>
      </c>
      <c r="Q442" s="25" t="n">
        <f aca="false">SUM(D442:J442)</f>
        <v>0</v>
      </c>
      <c r="R442" s="21" t="n">
        <f aca="false">P442-Q442</f>
        <v>0</v>
      </c>
    </row>
    <row r="443" customFormat="false" ht="14.65" hidden="false" customHeight="false" outlineLevel="0" collapsed="false">
      <c r="A443" s="22" t="s">
        <v>239</v>
      </c>
      <c r="B443" s="27" t="s">
        <v>173</v>
      </c>
      <c r="D443" s="21" t="n">
        <f aca="false">-D471</f>
        <v>-0</v>
      </c>
      <c r="E443" s="21" t="n">
        <f aca="false">-E471</f>
        <v>-0</v>
      </c>
      <c r="F443" s="21" t="n">
        <f aca="false">-F471</f>
        <v>-0</v>
      </c>
      <c r="G443" s="21" t="n">
        <f aca="false">-G471</f>
        <v>-0</v>
      </c>
      <c r="H443" s="21" t="n">
        <f aca="false">-H471</f>
        <v>-0</v>
      </c>
      <c r="I443" s="21" t="n">
        <f aca="false">-I471</f>
        <v>-0</v>
      </c>
      <c r="J443" s="21" t="n">
        <f aca="false">-J471</f>
        <v>-0</v>
      </c>
      <c r="K443" s="21" t="n">
        <f aca="false">-K471</f>
        <v>-0</v>
      </c>
      <c r="L443" s="21" t="n">
        <f aca="false">-L471</f>
        <v>-0</v>
      </c>
      <c r="M443" s="21" t="n">
        <f aca="false">-M471</f>
        <v>-0</v>
      </c>
      <c r="N443" s="21" t="n">
        <f aca="false">-N471</f>
        <v>-0</v>
      </c>
      <c r="O443" s="21" t="n">
        <f aca="false">-O471</f>
        <v>-0</v>
      </c>
      <c r="P443" s="21" t="n">
        <f aca="false">SUM(D443:O443)</f>
        <v>0</v>
      </c>
      <c r="Q443" s="25" t="n">
        <f aca="false">SUM(D443:J443)</f>
        <v>0</v>
      </c>
      <c r="R443" s="21" t="n">
        <f aca="false">P443-Q443</f>
        <v>0</v>
      </c>
    </row>
    <row r="444" customFormat="false" ht="14.65" hidden="false" customHeight="false" outlineLevel="0" collapsed="false">
      <c r="A444" s="22" t="s">
        <v>240</v>
      </c>
      <c r="B444" s="27" t="s">
        <v>173</v>
      </c>
      <c r="D444" s="21" t="n">
        <f aca="false">-D459</f>
        <v>-0</v>
      </c>
      <c r="E444" s="21" t="n">
        <f aca="false">-E459</f>
        <v>-0</v>
      </c>
      <c r="F444" s="21" t="n">
        <f aca="false">-F459</f>
        <v>-0</v>
      </c>
      <c r="G444" s="21" t="n">
        <f aca="false">-G459</f>
        <v>-0</v>
      </c>
      <c r="H444" s="21" t="n">
        <f aca="false">-H459</f>
        <v>-0</v>
      </c>
      <c r="I444" s="21" t="n">
        <f aca="false">-I459</f>
        <v>-0</v>
      </c>
      <c r="J444" s="21" t="n">
        <f aca="false">-J459</f>
        <v>-0</v>
      </c>
      <c r="K444" s="21" t="n">
        <f aca="false">-K459</f>
        <v>-0</v>
      </c>
      <c r="L444" s="21" t="n">
        <f aca="false">-L459</f>
        <v>-0</v>
      </c>
      <c r="M444" s="21" t="n">
        <f aca="false">-M459</f>
        <v>-0</v>
      </c>
      <c r="N444" s="21" t="n">
        <f aca="false">-N459</f>
        <v>-0</v>
      </c>
      <c r="O444" s="21" t="n">
        <f aca="false">-O459</f>
        <v>-0</v>
      </c>
      <c r="P444" s="21" t="n">
        <f aca="false">SUM(D444:O444)</f>
        <v>0</v>
      </c>
      <c r="Q444" s="25" t="n">
        <f aca="false">SUM(D444:J444)</f>
        <v>0</v>
      </c>
      <c r="R444" s="21" t="n">
        <f aca="false">P444-Q444</f>
        <v>0</v>
      </c>
    </row>
    <row r="445" customFormat="false" ht="14.65" hidden="false" customHeight="false" outlineLevel="0" collapsed="false">
      <c r="A445" s="22" t="s">
        <v>40</v>
      </c>
      <c r="D445" s="25" t="n">
        <v>0</v>
      </c>
      <c r="E445" s="25" t="n">
        <v>0</v>
      </c>
      <c r="F445" s="25" t="n">
        <v>0</v>
      </c>
      <c r="G445" s="25" t="n">
        <v>0</v>
      </c>
      <c r="H445" s="25" t="n">
        <v>0</v>
      </c>
      <c r="I445" s="25" t="n">
        <v>0</v>
      </c>
      <c r="J445" s="25" t="n">
        <v>0</v>
      </c>
      <c r="K445" s="25" t="n">
        <v>0</v>
      </c>
      <c r="L445" s="25" t="n">
        <v>0</v>
      </c>
      <c r="M445" s="25" t="n">
        <v>0</v>
      </c>
      <c r="N445" s="25" t="n">
        <v>0</v>
      </c>
      <c r="O445" s="25" t="n">
        <v>0</v>
      </c>
      <c r="P445" s="21" t="n">
        <f aca="false">SUM(D445:O445)</f>
        <v>0</v>
      </c>
      <c r="Q445" s="25" t="n">
        <f aca="false">SUM(D445:J445)</f>
        <v>0</v>
      </c>
      <c r="R445" s="21" t="n">
        <f aca="false">P445-Q445</f>
        <v>0</v>
      </c>
    </row>
    <row r="446" customFormat="false" ht="14.65" hidden="false" customHeight="false" outlineLevel="0" collapsed="false">
      <c r="A446" s="22" t="s">
        <v>241</v>
      </c>
      <c r="C446" s="25"/>
      <c r="D446" s="25" t="n">
        <v>0</v>
      </c>
      <c r="E446" s="25" t="n">
        <v>0</v>
      </c>
      <c r="F446" s="25" t="n">
        <v>0</v>
      </c>
      <c r="G446" s="25" t="n">
        <v>0</v>
      </c>
      <c r="H446" s="25" t="n">
        <v>0</v>
      </c>
      <c r="I446" s="25" t="n">
        <v>0</v>
      </c>
      <c r="J446" s="25" t="n">
        <v>0</v>
      </c>
      <c r="K446" s="25" t="n">
        <v>0</v>
      </c>
      <c r="L446" s="25" t="n">
        <v>0</v>
      </c>
      <c r="M446" s="25" t="n">
        <v>0</v>
      </c>
      <c r="N446" s="25" t="n">
        <v>0</v>
      </c>
      <c r="O446" s="25" t="n">
        <v>0</v>
      </c>
      <c r="P446" s="21" t="n">
        <f aca="false">SUM(D446:O446)</f>
        <v>0</v>
      </c>
      <c r="Q446" s="25" t="n">
        <f aca="false">SUM(D446:J446)</f>
        <v>0</v>
      </c>
      <c r="R446" s="21" t="n">
        <f aca="false">P446-Q446</f>
        <v>0</v>
      </c>
    </row>
    <row r="447" customFormat="false" ht="14.65" hidden="false" customHeight="false" outlineLevel="0" collapsed="false">
      <c r="A447" s="22" t="s">
        <v>178</v>
      </c>
      <c r="C447" s="23" t="n">
        <v>0</v>
      </c>
      <c r="D447" s="23" t="n">
        <v>0</v>
      </c>
      <c r="E447" s="23" t="n">
        <v>0</v>
      </c>
      <c r="F447" s="23" t="n">
        <v>0</v>
      </c>
      <c r="G447" s="23" t="n">
        <v>0</v>
      </c>
      <c r="H447" s="23" t="n">
        <v>0</v>
      </c>
      <c r="I447" s="23" t="n">
        <v>0</v>
      </c>
      <c r="J447" s="23" t="n">
        <v>0</v>
      </c>
      <c r="K447" s="23" t="n">
        <v>0</v>
      </c>
      <c r="L447" s="23" t="n">
        <v>0</v>
      </c>
      <c r="M447" s="23" t="n">
        <v>0</v>
      </c>
      <c r="N447" s="23" t="n">
        <v>0</v>
      </c>
      <c r="O447" s="23" t="n">
        <v>0</v>
      </c>
      <c r="P447" s="24" t="n">
        <f aca="false">SUM(D447:O447)</f>
        <v>0</v>
      </c>
      <c r="Q447" s="23" t="n">
        <f aca="false">SUM(D447:J447)</f>
        <v>0</v>
      </c>
      <c r="R447" s="24" t="n">
        <f aca="false">P447-Q447</f>
        <v>0</v>
      </c>
    </row>
    <row r="448" customFormat="false" ht="3.95" hidden="false" customHeight="true" outlineLevel="0" collapsed="false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</row>
    <row r="449" customFormat="false" ht="14.65" hidden="false" customHeight="false" outlineLevel="0" collapsed="false">
      <c r="A449" s="20" t="s">
        <v>242</v>
      </c>
      <c r="C449" s="25" t="n">
        <v>-524956</v>
      </c>
      <c r="D449" s="21" t="n">
        <f aca="false">SUM(D439:D448)</f>
        <v>-541799</v>
      </c>
      <c r="E449" s="21" t="n">
        <f aca="false">SUM(E439:E448)</f>
        <v>-560015</v>
      </c>
      <c r="F449" s="21" t="n">
        <f aca="false">SUM(F439:F448)</f>
        <v>-579696</v>
      </c>
      <c r="G449" s="21" t="n">
        <f aca="false">SUM(G439:G448)</f>
        <v>-591337</v>
      </c>
      <c r="H449" s="21" t="n">
        <f aca="false">SUM(H439:H448)</f>
        <v>-587311</v>
      </c>
      <c r="I449" s="21" t="n">
        <f aca="false">SUM(I439:I448)</f>
        <v>-460025</v>
      </c>
      <c r="J449" s="21" t="n">
        <f aca="false">SUM(J439:J448)</f>
        <v>-461271</v>
      </c>
      <c r="K449" s="21" t="n">
        <f aca="false">SUM(K439:K448)</f>
        <v>-476871</v>
      </c>
      <c r="L449" s="21" t="n">
        <f aca="false">SUM(L439:L448)</f>
        <v>-478771</v>
      </c>
      <c r="M449" s="21" t="n">
        <f aca="false">SUM(M439:M448)</f>
        <v>-484471</v>
      </c>
      <c r="N449" s="21" t="n">
        <f aca="false">SUM(N439:N448)</f>
        <v>-484271</v>
      </c>
      <c r="O449" s="21" t="n">
        <f aca="false">SUM(O439:O448)</f>
        <v>-484071</v>
      </c>
      <c r="P449" s="21"/>
    </row>
    <row r="450" customFormat="false" ht="3.95" hidden="false" customHeight="true" outlineLevel="0" collapsed="false"/>
    <row r="451" customFormat="false" ht="14.65" hidden="false" customHeight="false" outlineLevel="0" collapsed="false">
      <c r="A451" s="22" t="s">
        <v>30</v>
      </c>
      <c r="D451" s="21" t="n">
        <f aca="false">D449-C449</f>
        <v>-16843</v>
      </c>
      <c r="E451" s="21" t="n">
        <f aca="false">E449-D449</f>
        <v>-18216</v>
      </c>
      <c r="F451" s="21" t="n">
        <f aca="false">F449-E449</f>
        <v>-19681</v>
      </c>
      <c r="G451" s="21" t="n">
        <f aca="false">G449-F449</f>
        <v>-11641</v>
      </c>
      <c r="H451" s="21" t="n">
        <f aca="false">H449-G449</f>
        <v>4026</v>
      </c>
      <c r="I451" s="21" t="n">
        <f aca="false">I449-H449</f>
        <v>127286</v>
      </c>
      <c r="J451" s="21" t="n">
        <f aca="false">J449-I449</f>
        <v>-1246</v>
      </c>
      <c r="K451" s="21" t="n">
        <f aca="false">K449-J449</f>
        <v>-15600</v>
      </c>
      <c r="L451" s="21" t="n">
        <f aca="false">L449-K449</f>
        <v>-1900</v>
      </c>
      <c r="M451" s="21" t="n">
        <f aca="false">M449-L449</f>
        <v>-5700</v>
      </c>
      <c r="N451" s="21" t="n">
        <f aca="false">N449-M449</f>
        <v>200</v>
      </c>
      <c r="O451" s="21" t="n">
        <f aca="false">O449-N449</f>
        <v>200</v>
      </c>
      <c r="P451" s="21" t="n">
        <f aca="false">SUM(D451:O451)</f>
        <v>40885</v>
      </c>
      <c r="Q451" s="21" t="n">
        <f aca="false">SUM(Q447:Q448)</f>
        <v>0</v>
      </c>
      <c r="R451" s="21" t="n">
        <f aca="false">P451-Q451</f>
        <v>40885</v>
      </c>
    </row>
    <row r="454" customFormat="false" ht="14.65" hidden="false" customHeight="false" outlineLevel="0" collapsed="false">
      <c r="A454" s="20" t="s">
        <v>243</v>
      </c>
      <c r="D454" s="21" t="n">
        <f aca="false">C462</f>
        <v>161600</v>
      </c>
      <c r="E454" s="21" t="n">
        <f aca="false">D462</f>
        <v>161600</v>
      </c>
      <c r="F454" s="21" t="n">
        <f aca="false">E462</f>
        <v>161600</v>
      </c>
      <c r="G454" s="21" t="n">
        <f aca="false">F462</f>
        <v>161600</v>
      </c>
      <c r="H454" s="21" t="n">
        <f aca="false">G462</f>
        <v>161600</v>
      </c>
      <c r="I454" s="21" t="n">
        <f aca="false">H462</f>
        <v>161600</v>
      </c>
      <c r="J454" s="21" t="n">
        <f aca="false">I462</f>
        <v>11600</v>
      </c>
      <c r="K454" s="21" t="n">
        <f aca="false">J462</f>
        <v>11600</v>
      </c>
      <c r="L454" s="21" t="n">
        <f aca="false">K462</f>
        <v>11600</v>
      </c>
      <c r="M454" s="21" t="n">
        <f aca="false">L462</f>
        <v>11600</v>
      </c>
      <c r="N454" s="21" t="n">
        <f aca="false">M462</f>
        <v>11600</v>
      </c>
      <c r="O454" s="21" t="n">
        <f aca="false">N462</f>
        <v>7750</v>
      </c>
    </row>
    <row r="455" customFormat="false" ht="14.65" hidden="false" customHeight="false" outlineLevel="0" collapsed="false">
      <c r="A455" s="22" t="s">
        <v>244</v>
      </c>
      <c r="C455" s="25"/>
      <c r="D455" s="25" t="n">
        <v>0</v>
      </c>
      <c r="E455" s="25" t="n">
        <v>0</v>
      </c>
      <c r="F455" s="25" t="n">
        <v>0</v>
      </c>
      <c r="G455" s="25" t="n">
        <v>0</v>
      </c>
      <c r="H455" s="25" t="n">
        <v>0</v>
      </c>
      <c r="I455" s="25" t="n">
        <v>0</v>
      </c>
      <c r="J455" s="25" t="n">
        <v>0</v>
      </c>
      <c r="K455" s="25" t="n">
        <v>0</v>
      </c>
      <c r="L455" s="25" t="n">
        <v>0</v>
      </c>
      <c r="M455" s="25" t="n">
        <v>0</v>
      </c>
      <c r="N455" s="25" t="n">
        <v>0</v>
      </c>
      <c r="O455" s="25" t="n">
        <v>0</v>
      </c>
      <c r="P455" s="21" t="n">
        <f aca="false">SUM(D455:O455)</f>
        <v>0</v>
      </c>
      <c r="Q455" s="25" t="n">
        <f aca="false">SUM(D455:J455)</f>
        <v>0</v>
      </c>
      <c r="R455" s="21" t="n">
        <f aca="false">P455-Q455</f>
        <v>0</v>
      </c>
    </row>
    <row r="456" customFormat="false" ht="14.65" hidden="false" customHeight="false" outlineLevel="0" collapsed="false">
      <c r="A456" s="22" t="s">
        <v>245</v>
      </c>
      <c r="C456" s="25" t="n">
        <v>150000</v>
      </c>
      <c r="D456" s="25" t="n">
        <v>0</v>
      </c>
      <c r="E456" s="25" t="n">
        <v>0</v>
      </c>
      <c r="F456" s="25" t="n">
        <v>0</v>
      </c>
      <c r="G456" s="25" t="n">
        <v>0</v>
      </c>
      <c r="H456" s="25" t="n">
        <v>0</v>
      </c>
      <c r="I456" s="25" t="n">
        <v>-150000</v>
      </c>
      <c r="J456" s="25" t="n">
        <v>0</v>
      </c>
      <c r="K456" s="25" t="n">
        <v>0</v>
      </c>
      <c r="L456" s="25" t="n">
        <v>0</v>
      </c>
      <c r="M456" s="25" t="n">
        <v>0</v>
      </c>
      <c r="N456" s="25" t="n">
        <v>0</v>
      </c>
      <c r="O456" s="25" t="n">
        <v>0</v>
      </c>
      <c r="P456" s="21" t="n">
        <f aca="false">SUM(D456:O456)</f>
        <v>-150000</v>
      </c>
      <c r="Q456" s="25" t="n">
        <f aca="false">SUM(D456:J456)</f>
        <v>-150000</v>
      </c>
      <c r="R456" s="21" t="n">
        <f aca="false">P456-Q456</f>
        <v>0</v>
      </c>
    </row>
    <row r="457" customFormat="false" ht="14.65" hidden="false" customHeight="false" outlineLevel="0" collapsed="false">
      <c r="A457" s="22" t="s">
        <v>246</v>
      </c>
      <c r="C457" s="25" t="n">
        <v>0</v>
      </c>
      <c r="D457" s="25" t="n">
        <v>0</v>
      </c>
      <c r="E457" s="25" t="n">
        <v>0</v>
      </c>
      <c r="F457" s="25" t="n">
        <v>0</v>
      </c>
      <c r="G457" s="25" t="n">
        <v>0</v>
      </c>
      <c r="H457" s="25" t="n">
        <v>0</v>
      </c>
      <c r="I457" s="25" t="n">
        <v>0</v>
      </c>
      <c r="J457" s="25" t="n">
        <v>0</v>
      </c>
      <c r="K457" s="25" t="n">
        <v>0</v>
      </c>
      <c r="L457" s="25" t="n">
        <v>0</v>
      </c>
      <c r="M457" s="25" t="n">
        <v>0</v>
      </c>
      <c r="N457" s="25" t="n">
        <v>0</v>
      </c>
      <c r="O457" s="25" t="n">
        <v>0</v>
      </c>
      <c r="P457" s="21" t="n">
        <f aca="false">SUM(D457:O457)</f>
        <v>0</v>
      </c>
      <c r="Q457" s="25" t="n">
        <f aca="false">SUM(D457:J457)</f>
        <v>0</v>
      </c>
      <c r="R457" s="21" t="n">
        <f aca="false">P457-Q457</f>
        <v>0</v>
      </c>
    </row>
    <row r="458" customFormat="false" ht="14.65" hidden="false" customHeight="false" outlineLevel="0" collapsed="false">
      <c r="A458" s="22" t="s">
        <v>247</v>
      </c>
      <c r="C458" s="25" t="n">
        <f aca="false">27000-3850-3850-3850-3850</f>
        <v>11600</v>
      </c>
      <c r="D458" s="25" t="n">
        <v>0</v>
      </c>
      <c r="E458" s="25" t="n">
        <v>0</v>
      </c>
      <c r="F458" s="25" t="n">
        <v>0</v>
      </c>
      <c r="G458" s="25" t="n">
        <v>0</v>
      </c>
      <c r="H458" s="25" t="n">
        <v>0</v>
      </c>
      <c r="I458" s="25" t="n">
        <v>0</v>
      </c>
      <c r="J458" s="25" t="n">
        <v>0</v>
      </c>
      <c r="K458" s="25" t="n">
        <v>0</v>
      </c>
      <c r="L458" s="25" t="n">
        <v>0</v>
      </c>
      <c r="M458" s="25" t="n">
        <v>0</v>
      </c>
      <c r="N458" s="25" t="n">
        <v>-3850</v>
      </c>
      <c r="O458" s="25" t="n">
        <v>0</v>
      </c>
      <c r="P458" s="21" t="n">
        <f aca="false">SUM(D458:O458)</f>
        <v>-3850</v>
      </c>
      <c r="Q458" s="25" t="n">
        <f aca="false">SUM(D458:J458)</f>
        <v>0</v>
      </c>
      <c r="R458" s="21" t="n">
        <f aca="false">P458-Q458</f>
        <v>-3850</v>
      </c>
    </row>
    <row r="459" customFormat="false" ht="14.65" hidden="false" customHeight="false" outlineLevel="0" collapsed="false">
      <c r="A459" s="22" t="s">
        <v>248</v>
      </c>
      <c r="C459" s="25"/>
      <c r="D459" s="25" t="n">
        <v>0</v>
      </c>
      <c r="E459" s="25" t="n">
        <v>0</v>
      </c>
      <c r="F459" s="25" t="n">
        <v>0</v>
      </c>
      <c r="G459" s="25" t="n">
        <v>0</v>
      </c>
      <c r="H459" s="25" t="n">
        <v>0</v>
      </c>
      <c r="I459" s="25" t="n">
        <v>0</v>
      </c>
      <c r="J459" s="25" t="n">
        <v>0</v>
      </c>
      <c r="K459" s="25" t="n">
        <v>0</v>
      </c>
      <c r="L459" s="25" t="n">
        <v>0</v>
      </c>
      <c r="M459" s="25" t="n">
        <v>0</v>
      </c>
      <c r="N459" s="25" t="n">
        <v>0</v>
      </c>
      <c r="O459" s="25" t="n">
        <v>0</v>
      </c>
      <c r="P459" s="21" t="n">
        <f aca="false">SUM(D459:O459)</f>
        <v>0</v>
      </c>
      <c r="Q459" s="25" t="n">
        <f aca="false">SUM(D459:J459)</f>
        <v>0</v>
      </c>
      <c r="R459" s="21" t="n">
        <f aca="false">P459-Q459</f>
        <v>0</v>
      </c>
    </row>
    <row r="460" customFormat="false" ht="14.65" hidden="false" customHeight="false" outlineLevel="0" collapsed="false">
      <c r="A460" s="22" t="s">
        <v>178</v>
      </c>
      <c r="C460" s="23" t="n">
        <v>0</v>
      </c>
      <c r="D460" s="23" t="n">
        <v>0</v>
      </c>
      <c r="E460" s="23" t="n">
        <v>0</v>
      </c>
      <c r="F460" s="23" t="n">
        <v>0</v>
      </c>
      <c r="G460" s="23" t="n">
        <v>0</v>
      </c>
      <c r="H460" s="23" t="n">
        <v>0</v>
      </c>
      <c r="I460" s="23" t="n">
        <v>0</v>
      </c>
      <c r="J460" s="23" t="n">
        <v>0</v>
      </c>
      <c r="K460" s="23" t="n">
        <v>0</v>
      </c>
      <c r="L460" s="23" t="n">
        <v>0</v>
      </c>
      <c r="M460" s="23" t="n">
        <v>0</v>
      </c>
      <c r="N460" s="23" t="n">
        <v>0</v>
      </c>
      <c r="O460" s="23" t="n">
        <v>0</v>
      </c>
      <c r="P460" s="24" t="n">
        <f aca="false">SUM(D460:O460)</f>
        <v>0</v>
      </c>
      <c r="Q460" s="23" t="n">
        <f aca="false">SUM(D460:J460)</f>
        <v>0</v>
      </c>
      <c r="R460" s="24" t="n">
        <f aca="false">P460-Q460</f>
        <v>0</v>
      </c>
    </row>
    <row r="461" customFormat="false" ht="3.95" hidden="false" customHeight="true" outlineLevel="0" collapsed="false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</row>
    <row r="462" customFormat="false" ht="14.65" hidden="false" customHeight="false" outlineLevel="0" collapsed="false">
      <c r="A462" s="20" t="s">
        <v>249</v>
      </c>
      <c r="C462" s="21" t="n">
        <f aca="false">SUM(C454:C461)</f>
        <v>161600</v>
      </c>
      <c r="D462" s="21" t="n">
        <f aca="false">SUM(D454:D461)</f>
        <v>161600</v>
      </c>
      <c r="E462" s="21" t="n">
        <f aca="false">SUM(E454:E461)</f>
        <v>161600</v>
      </c>
      <c r="F462" s="21" t="n">
        <f aca="false">SUM(F454:F461)</f>
        <v>161600</v>
      </c>
      <c r="G462" s="21" t="n">
        <f aca="false">SUM(G454:G461)</f>
        <v>161600</v>
      </c>
      <c r="H462" s="21" t="n">
        <f aca="false">SUM(H454:H461)</f>
        <v>161600</v>
      </c>
      <c r="I462" s="21" t="n">
        <f aca="false">SUM(I454:I461)</f>
        <v>11600</v>
      </c>
      <c r="J462" s="21" t="n">
        <f aca="false">SUM(J454:J461)</f>
        <v>11600</v>
      </c>
      <c r="K462" s="21" t="n">
        <f aca="false">SUM(K454:K461)</f>
        <v>11600</v>
      </c>
      <c r="L462" s="21" t="n">
        <f aca="false">SUM(L454:L461)</f>
        <v>11600</v>
      </c>
      <c r="M462" s="21" t="n">
        <f aca="false">SUM(M454:M461)</f>
        <v>11600</v>
      </c>
      <c r="N462" s="21" t="n">
        <f aca="false">SUM(N454:N461)</f>
        <v>7750</v>
      </c>
      <c r="O462" s="21" t="n">
        <f aca="false">SUM(O454:O461)</f>
        <v>7750</v>
      </c>
      <c r="P462" s="21"/>
      <c r="Q462" s="21"/>
      <c r="R462" s="21"/>
    </row>
    <row r="463" customFormat="false" ht="3.95" hidden="false" customHeight="true" outlineLevel="0" collapsed="false"/>
    <row r="464" customFormat="false" ht="14.65" hidden="false" customHeight="false" outlineLevel="0" collapsed="false">
      <c r="A464" s="22" t="s">
        <v>30</v>
      </c>
      <c r="D464" s="21" t="n">
        <f aca="false">D462-C462</f>
        <v>0</v>
      </c>
      <c r="E464" s="21" t="n">
        <f aca="false">E462-D462</f>
        <v>0</v>
      </c>
      <c r="F464" s="21" t="n">
        <f aca="false">F462-E462</f>
        <v>0</v>
      </c>
      <c r="G464" s="21" t="n">
        <f aca="false">G462-F462</f>
        <v>0</v>
      </c>
      <c r="H464" s="21" t="n">
        <f aca="false">H462-G462</f>
        <v>0</v>
      </c>
      <c r="I464" s="21" t="n">
        <f aca="false">I462-H462</f>
        <v>-150000</v>
      </c>
      <c r="J464" s="21" t="n">
        <f aca="false">J462-I462</f>
        <v>0</v>
      </c>
      <c r="K464" s="21" t="n">
        <f aca="false">K462-J462</f>
        <v>0</v>
      </c>
      <c r="L464" s="21" t="n">
        <f aca="false">L462-K462</f>
        <v>0</v>
      </c>
      <c r="M464" s="21" t="n">
        <f aca="false">M462-L462</f>
        <v>0</v>
      </c>
      <c r="N464" s="21" t="n">
        <f aca="false">N462-M462</f>
        <v>-3850</v>
      </c>
      <c r="O464" s="21" t="n">
        <f aca="false">O462-N462</f>
        <v>0</v>
      </c>
      <c r="P464" s="21" t="n">
        <f aca="false">SUM(D464:O464)</f>
        <v>-153850</v>
      </c>
      <c r="Q464" s="21" t="n">
        <f aca="false">SUM(Q455:Q461)</f>
        <v>-150000</v>
      </c>
      <c r="R464" s="21" t="n">
        <f aca="false">P464-Q464</f>
        <v>-3850</v>
      </c>
    </row>
    <row r="466" customFormat="false" ht="14.65" hidden="false" customHeight="false" outlineLevel="0" collapsed="false">
      <c r="C466" s="21"/>
      <c r="D466" s="21"/>
    </row>
    <row r="467" customFormat="false" ht="14.65" hidden="false" customHeight="false" outlineLevel="0" collapsed="false">
      <c r="A467" s="20" t="s">
        <v>250</v>
      </c>
      <c r="D467" s="21" t="n">
        <f aca="false">C476</f>
        <v>942827</v>
      </c>
      <c r="E467" s="21" t="n">
        <f aca="false">D476</f>
        <v>923268</v>
      </c>
      <c r="F467" s="21" t="n">
        <f aca="false">E476</f>
        <v>940277</v>
      </c>
      <c r="G467" s="21" t="n">
        <f aca="false">F476</f>
        <v>939317</v>
      </c>
      <c r="H467" s="21" t="n">
        <f aca="false">G476</f>
        <v>953449</v>
      </c>
      <c r="I467" s="21" t="n">
        <f aca="false">H476</f>
        <v>980136</v>
      </c>
      <c r="J467" s="21" t="n">
        <f aca="false">I476</f>
        <v>1003347</v>
      </c>
      <c r="K467" s="21" t="n">
        <f aca="false">J476</f>
        <v>1009575</v>
      </c>
      <c r="L467" s="21" t="n">
        <f aca="false">K476</f>
        <v>1015897</v>
      </c>
      <c r="M467" s="21" t="n">
        <f aca="false">L476</f>
        <v>1027808</v>
      </c>
      <c r="N467" s="21" t="n">
        <f aca="false">M476</f>
        <v>1034122</v>
      </c>
      <c r="O467" s="21" t="n">
        <f aca="false">N476</f>
        <v>1040169</v>
      </c>
    </row>
    <row r="468" customFormat="false" ht="14.65" hidden="false" customHeight="false" outlineLevel="0" collapsed="false">
      <c r="A468" s="22" t="s">
        <v>251</v>
      </c>
      <c r="B468" s="27" t="s">
        <v>34</v>
      </c>
      <c r="C468" s="21"/>
      <c r="D468" s="28" t="n">
        <f aca="false">'''file:///mnt/12tb/@roms/datasets/enron/EDRM%20Enron%20Email%20Data%20Set%20v2%20XML/filtered-attachments/xls/EMTW01CE.XLS''#Source'!D56</f>
        <v>6658</v>
      </c>
      <c r="E468" s="28" t="n">
        <f aca="false">'''file:///mnt/12tb/@roms/datasets/enron/EDRM%20Enron%20Email%20Data%20Set%20v2%20XML/filtered-attachments/xls/EMTW01CE.XLS''#Source'!E56</f>
        <v>8540</v>
      </c>
      <c r="F468" s="28" t="n">
        <f aca="false">'''file:///mnt/12tb/@roms/datasets/enron/EDRM%20Enron%20Email%20Data%20Set%20v2%20XML/filtered-attachments/xls/EMTW01CE.XLS''#Source'!F56</f>
        <v>3341</v>
      </c>
      <c r="G468" s="21" t="n">
        <f aca="false">'''file:///mnt/12tb/@roms/datasets/enron/EDRM%20Enron%20Email%20Data%20Set%20v2%20XML/filtered-attachments/xls/EMTW01CE.XLS''#Source'!G56</f>
        <v>8154</v>
      </c>
      <c r="H468" s="21" t="n">
        <f aca="false">'''file:///mnt/12tb/@roms/datasets/enron/EDRM%20Enron%20Email%20Data%20Set%20v2%20XML/filtered-attachments/xls/EMTW01CE.XLS''#Source'!H56</f>
        <v>7578</v>
      </c>
      <c r="I468" s="28" t="n">
        <f aca="false">'''file:///mnt/12tb/@roms/datasets/enron/EDRM%20Enron%20Email%20Data%20Set%20v2%20XML/filtered-attachments/xls/EMTW01CE.XLS''#Source'!I56</f>
        <v>6296</v>
      </c>
      <c r="J468" s="28" t="n">
        <f aca="false">'''file:///mnt/12tb/@roms/datasets/enron/EDRM%20Enron%20Email%20Data%20Set%20v2%20XML/filtered-attachments/xls/EMTW01CE.XLS''#Source'!J56</f>
        <v>6729</v>
      </c>
      <c r="K468" s="28" t="n">
        <f aca="false">'''file:///mnt/12tb/@roms/datasets/enron/EDRM%20Enron%20Email%20Data%20Set%20v2%20XML/filtered-attachments/xls/EMTW01CE.XLS''#Source'!K56</f>
        <v>6322</v>
      </c>
      <c r="L468" s="28" t="n">
        <f aca="false">'''file:///mnt/12tb/@roms/datasets/enron/EDRM%20Enron%20Email%20Data%20Set%20v2%20XML/filtered-attachments/xls/EMTW01CE.XLS''#Source'!L56</f>
        <v>11911</v>
      </c>
      <c r="M468" s="28" t="n">
        <f aca="false">'''file:///mnt/12tb/@roms/datasets/enron/EDRM%20Enron%20Email%20Data%20Set%20v2%20XML/filtered-attachments/xls/EMTW01CE.XLS''#Source'!M56</f>
        <v>6314</v>
      </c>
      <c r="N468" s="28" t="n">
        <f aca="false">'''file:///mnt/12tb/@roms/datasets/enron/EDRM%20Enron%20Email%20Data%20Set%20v2%20XML/filtered-attachments/xls/EMTW01CE.XLS''#Source'!N56</f>
        <v>6047</v>
      </c>
      <c r="O468" s="28" t="n">
        <f aca="false">'''file:///mnt/12tb/@roms/datasets/enron/EDRM%20Enron%20Email%20Data%20Set%20v2%20XML/filtered-attachments/xls/EMTW01CE.XLS''#Source'!O56</f>
        <v>6386</v>
      </c>
      <c r="P468" s="21" t="n">
        <f aca="false">SUM(D468:O468)</f>
        <v>84276</v>
      </c>
      <c r="Q468" s="25" t="n">
        <f aca="false">SUM(D468:J468)</f>
        <v>47296</v>
      </c>
      <c r="R468" s="21" t="n">
        <f aca="false">P468-Q468</f>
        <v>36980</v>
      </c>
    </row>
    <row r="469" customFormat="false" ht="14.65" hidden="false" customHeight="false" outlineLevel="0" collapsed="false">
      <c r="A469" s="22" t="s">
        <v>252</v>
      </c>
      <c r="D469" s="25" t="n">
        <v>0</v>
      </c>
      <c r="E469" s="25" t="n">
        <v>0</v>
      </c>
      <c r="F469" s="25" t="n">
        <v>0</v>
      </c>
      <c r="G469" s="25" t="n">
        <v>0</v>
      </c>
      <c r="H469" s="25" t="n">
        <v>0</v>
      </c>
      <c r="I469" s="25" t="n">
        <v>0</v>
      </c>
      <c r="J469" s="25" t="n">
        <v>0</v>
      </c>
      <c r="K469" s="25" t="n">
        <v>0</v>
      </c>
      <c r="L469" s="25" t="n">
        <v>0</v>
      </c>
      <c r="M469" s="25" t="n">
        <v>0</v>
      </c>
      <c r="N469" s="25" t="n">
        <v>0</v>
      </c>
      <c r="O469" s="25" t="n">
        <v>0</v>
      </c>
      <c r="P469" s="21" t="n">
        <f aca="false">SUM(D469:O469)</f>
        <v>0</v>
      </c>
      <c r="Q469" s="25" t="n">
        <f aca="false">SUM(D469:J469)</f>
        <v>0</v>
      </c>
      <c r="R469" s="21" t="n">
        <f aca="false">P469-Q469</f>
        <v>0</v>
      </c>
    </row>
    <row r="470" customFormat="false" ht="14.65" hidden="false" customHeight="false" outlineLevel="0" collapsed="false">
      <c r="A470" s="22" t="s">
        <v>253</v>
      </c>
      <c r="D470" s="25" t="n">
        <v>0</v>
      </c>
      <c r="E470" s="25" t="n">
        <v>0</v>
      </c>
      <c r="F470" s="25" t="n">
        <v>0</v>
      </c>
      <c r="G470" s="25" t="n">
        <v>0</v>
      </c>
      <c r="H470" s="25" t="n">
        <v>0</v>
      </c>
      <c r="I470" s="25" t="n">
        <v>0</v>
      </c>
      <c r="J470" s="25" t="n">
        <v>0</v>
      </c>
      <c r="K470" s="25" t="n">
        <v>0</v>
      </c>
      <c r="L470" s="25" t="n">
        <v>0</v>
      </c>
      <c r="M470" s="25" t="n">
        <v>0</v>
      </c>
      <c r="N470" s="25" t="n">
        <v>0</v>
      </c>
      <c r="O470" s="25" t="n">
        <v>0</v>
      </c>
      <c r="P470" s="21" t="n">
        <f aca="false">SUM(D470:O470)</f>
        <v>0</v>
      </c>
      <c r="Q470" s="25" t="n">
        <f aca="false">SUM(D470:J470)</f>
        <v>0</v>
      </c>
      <c r="R470" s="21" t="n">
        <f aca="false">P470-Q470</f>
        <v>0</v>
      </c>
    </row>
    <row r="471" customFormat="false" ht="14.65" hidden="false" customHeight="false" outlineLevel="0" collapsed="false">
      <c r="A471" s="22" t="s">
        <v>239</v>
      </c>
      <c r="D471" s="25" t="n">
        <v>0</v>
      </c>
      <c r="E471" s="25" t="n">
        <v>0</v>
      </c>
      <c r="F471" s="25" t="n">
        <v>0</v>
      </c>
      <c r="G471" s="25" t="n">
        <v>0</v>
      </c>
      <c r="H471" s="25" t="n">
        <v>0</v>
      </c>
      <c r="I471" s="25" t="n">
        <v>0</v>
      </c>
      <c r="J471" s="25" t="n">
        <v>0</v>
      </c>
      <c r="K471" s="25" t="n">
        <v>0</v>
      </c>
      <c r="L471" s="25" t="n">
        <v>0</v>
      </c>
      <c r="M471" s="25" t="n">
        <v>0</v>
      </c>
      <c r="N471" s="25" t="n">
        <v>0</v>
      </c>
      <c r="O471" s="25" t="n">
        <v>0</v>
      </c>
      <c r="P471" s="21" t="n">
        <f aca="false">SUM(D471:O471)</f>
        <v>0</v>
      </c>
      <c r="Q471" s="25" t="n">
        <f aca="false">SUM(D471:J471)</f>
        <v>0</v>
      </c>
      <c r="R471" s="21" t="n">
        <f aca="false">P471-Q471</f>
        <v>0</v>
      </c>
    </row>
    <row r="472" customFormat="false" ht="14.65" hidden="false" customHeight="false" outlineLevel="0" collapsed="false">
      <c r="A472" s="22" t="s">
        <v>254</v>
      </c>
      <c r="C472" s="25" t="n">
        <v>0</v>
      </c>
      <c r="D472" s="40" t="n">
        <f aca="false">D172-D429</f>
        <v>-26217</v>
      </c>
      <c r="E472" s="40" t="n">
        <f aca="false">E172-E429</f>
        <v>8469</v>
      </c>
      <c r="F472" s="40" t="n">
        <f aca="false">F172-F429</f>
        <v>-18333</v>
      </c>
      <c r="G472" s="40" t="n">
        <f aca="false">G172-G429</f>
        <v>9782</v>
      </c>
      <c r="H472" s="25" t="n">
        <f aca="false">H172-H429-10923</f>
        <v>31272</v>
      </c>
      <c r="I472" s="25" t="n">
        <f aca="false">I172-I429+4552</f>
        <v>14980</v>
      </c>
      <c r="J472" s="25" t="n">
        <f aca="false">J172-J429+832</f>
        <v>-501</v>
      </c>
      <c r="K472" s="40" t="n">
        <f aca="false">K172-K429</f>
        <v>0</v>
      </c>
      <c r="L472" s="40" t="n">
        <f aca="false">L172-L429</f>
        <v>0</v>
      </c>
      <c r="M472" s="40" t="n">
        <f aca="false">M172-M429</f>
        <v>0</v>
      </c>
      <c r="N472" s="40" t="n">
        <f aca="false">N172-N429</f>
        <v>0</v>
      </c>
      <c r="O472" s="40" t="n">
        <f aca="false">O172-O429</f>
        <v>0</v>
      </c>
      <c r="P472" s="21" t="n">
        <f aca="false">SUM(D472:O472)</f>
        <v>19452</v>
      </c>
      <c r="Q472" s="25" t="n">
        <f aca="false">SUM(D472:J472)</f>
        <v>19452</v>
      </c>
      <c r="R472" s="21" t="n">
        <f aca="false">P472-Q472</f>
        <v>0</v>
      </c>
    </row>
    <row r="473" customFormat="false" ht="14.65" hidden="false" customHeight="false" outlineLevel="0" collapsed="false">
      <c r="A473" s="22" t="s">
        <v>255</v>
      </c>
      <c r="C473" s="25"/>
      <c r="D473" s="41" t="n">
        <f aca="false">-D359</f>
        <v>-0</v>
      </c>
      <c r="E473" s="41" t="n">
        <f aca="false">-E359</f>
        <v>-0</v>
      </c>
      <c r="F473" s="41" t="n">
        <f aca="false">-F359</f>
        <v>14032</v>
      </c>
      <c r="G473" s="41" t="n">
        <f aca="false">-G359</f>
        <v>-3804</v>
      </c>
      <c r="H473" s="41" t="n">
        <f aca="false">-H359</f>
        <v>-12163</v>
      </c>
      <c r="I473" s="41" t="n">
        <f aca="false">-I359</f>
        <v>1935</v>
      </c>
      <c r="J473" s="41" t="n">
        <f aca="false">-J359</f>
        <v>-0</v>
      </c>
      <c r="K473" s="41" t="n">
        <f aca="false">-K359</f>
        <v>-0</v>
      </c>
      <c r="L473" s="41" t="n">
        <f aca="false">-L359</f>
        <v>-0</v>
      </c>
      <c r="M473" s="41" t="n">
        <f aca="false">-M359</f>
        <v>-0</v>
      </c>
      <c r="N473" s="41" t="n">
        <f aca="false">-N359</f>
        <v>-0</v>
      </c>
      <c r="O473" s="41" t="n">
        <f aca="false">-O359</f>
        <v>-0</v>
      </c>
      <c r="P473" s="21" t="n">
        <f aca="false">SUM(D473:O473)</f>
        <v>0</v>
      </c>
      <c r="Q473" s="25" t="n">
        <f aca="false">SUM(D473:J473)</f>
        <v>0</v>
      </c>
      <c r="R473" s="21" t="n">
        <f aca="false">P473-Q473</f>
        <v>0</v>
      </c>
    </row>
    <row r="474" customFormat="false" ht="14.65" hidden="false" customHeight="false" outlineLevel="0" collapsed="false">
      <c r="A474" s="22" t="s">
        <v>178</v>
      </c>
      <c r="C474" s="23" t="n">
        <v>0</v>
      </c>
      <c r="D474" s="23" t="n">
        <v>0</v>
      </c>
      <c r="E474" s="23" t="n">
        <v>0</v>
      </c>
      <c r="F474" s="23" t="n">
        <v>0</v>
      </c>
      <c r="G474" s="23" t="n">
        <v>0</v>
      </c>
      <c r="H474" s="23" t="n">
        <v>0</v>
      </c>
      <c r="I474" s="23" t="n">
        <v>0</v>
      </c>
      <c r="J474" s="23" t="n">
        <v>0</v>
      </c>
      <c r="K474" s="23" t="n">
        <v>0</v>
      </c>
      <c r="L474" s="23" t="n">
        <v>0</v>
      </c>
      <c r="M474" s="23" t="n">
        <v>0</v>
      </c>
      <c r="N474" s="23" t="n">
        <v>0</v>
      </c>
      <c r="O474" s="23" t="n">
        <v>0</v>
      </c>
      <c r="P474" s="24" t="n">
        <f aca="false">SUM(D474:O474)</f>
        <v>0</v>
      </c>
      <c r="Q474" s="23" t="n">
        <f aca="false">SUM(D474:J474)</f>
        <v>0</v>
      </c>
      <c r="R474" s="24" t="n">
        <f aca="false">P474-Q474</f>
        <v>0</v>
      </c>
    </row>
    <row r="475" customFormat="false" ht="3.95" hidden="false" customHeight="true" outlineLevel="0" collapsed="false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</row>
    <row r="476" customFormat="false" ht="14.65" hidden="false" customHeight="false" outlineLevel="0" collapsed="false">
      <c r="A476" s="20" t="s">
        <v>256</v>
      </c>
      <c r="C476" s="25" t="n">
        <v>942827</v>
      </c>
      <c r="D476" s="21" t="n">
        <f aca="false">SUM(D467:D475)</f>
        <v>923268</v>
      </c>
      <c r="E476" s="21" t="n">
        <f aca="false">SUM(E467:E475)</f>
        <v>940277</v>
      </c>
      <c r="F476" s="21" t="n">
        <f aca="false">SUM(F467:F475)</f>
        <v>939317</v>
      </c>
      <c r="G476" s="21" t="n">
        <f aca="false">SUM(G467:G475)</f>
        <v>953449</v>
      </c>
      <c r="H476" s="21" t="n">
        <f aca="false">SUM(H467:H475)</f>
        <v>980136</v>
      </c>
      <c r="I476" s="21" t="n">
        <f aca="false">SUM(I467:I475)</f>
        <v>1003347</v>
      </c>
      <c r="J476" s="21" t="n">
        <f aca="false">SUM(J467:J475)</f>
        <v>1009575</v>
      </c>
      <c r="K476" s="21" t="n">
        <f aca="false">SUM(K467:K475)</f>
        <v>1015897</v>
      </c>
      <c r="L476" s="21" t="n">
        <f aca="false">SUM(L467:L475)</f>
        <v>1027808</v>
      </c>
      <c r="M476" s="21" t="n">
        <f aca="false">SUM(M467:M475)</f>
        <v>1034122</v>
      </c>
      <c r="N476" s="21" t="n">
        <f aca="false">SUM(N467:N475)</f>
        <v>1040169</v>
      </c>
      <c r="O476" s="21" t="n">
        <f aca="false">SUM(O467:O475)</f>
        <v>1046555</v>
      </c>
      <c r="P476" s="21"/>
      <c r="Q476" s="21"/>
      <c r="R476" s="21"/>
    </row>
    <row r="477" customFormat="false" ht="3.95" hidden="false" customHeight="true" outlineLevel="0" collapsed="false"/>
    <row r="478" customFormat="false" ht="14.65" hidden="false" customHeight="false" outlineLevel="0" collapsed="false">
      <c r="A478" s="22" t="s">
        <v>30</v>
      </c>
      <c r="D478" s="21" t="n">
        <f aca="false">D476-C476</f>
        <v>-19559</v>
      </c>
      <c r="E478" s="21" t="n">
        <f aca="false">E476-D476</f>
        <v>17009</v>
      </c>
      <c r="F478" s="21" t="n">
        <f aca="false">F476-E476</f>
        <v>-960</v>
      </c>
      <c r="G478" s="21" t="n">
        <f aca="false">G476-F476</f>
        <v>14132</v>
      </c>
      <c r="H478" s="21" t="n">
        <f aca="false">H476-G476</f>
        <v>26687</v>
      </c>
      <c r="I478" s="21" t="n">
        <f aca="false">I476-H476</f>
        <v>23211</v>
      </c>
      <c r="J478" s="21" t="n">
        <f aca="false">J476-I476</f>
        <v>6228</v>
      </c>
      <c r="K478" s="21" t="n">
        <f aca="false">K476-J476</f>
        <v>6322</v>
      </c>
      <c r="L478" s="21" t="n">
        <f aca="false">L476-K476</f>
        <v>11911</v>
      </c>
      <c r="M478" s="21" t="n">
        <f aca="false">M476-L476</f>
        <v>6314</v>
      </c>
      <c r="N478" s="21" t="n">
        <f aca="false">N476-M476</f>
        <v>6047</v>
      </c>
      <c r="O478" s="21" t="n">
        <f aca="false">O476-N476</f>
        <v>6386</v>
      </c>
      <c r="P478" s="21" t="n">
        <f aca="false">SUM(D478:O478)</f>
        <v>103728</v>
      </c>
      <c r="Q478" s="21" t="n">
        <f aca="false">SUM(Q468:Q475)</f>
        <v>66748</v>
      </c>
      <c r="R478" s="21" t="n">
        <f aca="false">P478-Q478</f>
        <v>36980</v>
      </c>
    </row>
    <row r="481" customFormat="false" ht="14.65" hidden="false" customHeight="false" outlineLevel="0" collapsed="false">
      <c r="A481" s="20" t="s">
        <v>257</v>
      </c>
      <c r="C481" s="36" t="n">
        <f aca="false">C275+C293+C309+C317+C342+C352+C362+C372+C393+C411+C402+C424+C434+C462+C476</f>
        <v>1372399</v>
      </c>
      <c r="D481" s="36" t="n">
        <f aca="false">D275+D293+D309+D317+D342+D352+D362+D372+D393+D411+D402+D424+D434+D462+D476</f>
        <v>1382503</v>
      </c>
      <c r="E481" s="36" t="n">
        <f aca="false">E275+E293+E309+E317+E342+E352+E362+E372+E393+E411+E402+E424+E434+E462+E476</f>
        <v>1391026</v>
      </c>
      <c r="F481" s="36" t="n">
        <f aca="false">F275+F293+F309+F317+F342+F352+F362+F372+F393+F411+F402+F424+F434+F462+F476</f>
        <v>1416581</v>
      </c>
      <c r="G481" s="36" t="n">
        <f aca="false">G275+G293+G309+G317+G342+G352+G362+G372+G393+G411+G402+G424+G434+G462+G476</f>
        <v>1408881</v>
      </c>
      <c r="H481" s="36" t="n">
        <f aca="false">H275+H293+H309+H317+H342+H352+H362+H372+H393+H411+H402+H424+H434+H462+H476</f>
        <v>1428255</v>
      </c>
      <c r="I481" s="36" t="n">
        <f aca="false">I275+I293+I309+I317+I342+I352+I362+I372+I393+I411+I402+I424+I434+I462+I476</f>
        <v>1295684</v>
      </c>
      <c r="J481" s="36" t="n">
        <f aca="false">J275+J293+J309+J317+J342+J352+J362+J372+J393+J411+J402+J424+J434+J462+J476</f>
        <v>1301188</v>
      </c>
      <c r="K481" s="36" t="n">
        <f aca="false">K275+K293+K309+K317+K342+K352+K362+K372+K393+K411+K402+K424+K434+K462+K476</f>
        <v>1310912</v>
      </c>
      <c r="L481" s="36" t="n">
        <f aca="false">L275+L293+L309+L317+L342+L352+L362+L372+L393+L411+L402+L424+L434+L462+L476</f>
        <v>1321022</v>
      </c>
      <c r="M481" s="36" t="n">
        <f aca="false">M275+M293+M309+M317+M342+M352+M362+M372+M393+M411+M402+M424+M434+M462+M476</f>
        <v>1328480</v>
      </c>
      <c r="N481" s="36" t="n">
        <f aca="false">N275+N293+N309+N317+N342+N352+N362+N372+N393+N411+N402+N424+N434+N462+N476</f>
        <v>1331649</v>
      </c>
      <c r="O481" s="36" t="n">
        <f aca="false">O275+O293+O309+O317+O342+O352+O362+O372+O393+O411+O402+O424+O434+O462+O476</f>
        <v>1336730</v>
      </c>
    </row>
    <row r="483" customFormat="false" ht="14.65" hidden="false" customHeight="false" outlineLevel="0" collapsed="false">
      <c r="A483" s="22" t="s">
        <v>157</v>
      </c>
      <c r="C483" s="21"/>
      <c r="D483" s="21" t="n">
        <f aca="false">D481-C481</f>
        <v>10104</v>
      </c>
      <c r="E483" s="21" t="n">
        <f aca="false">E481-D481</f>
        <v>8523</v>
      </c>
      <c r="F483" s="21" t="n">
        <f aca="false">F481-E481</f>
        <v>25555</v>
      </c>
      <c r="G483" s="21" t="n">
        <f aca="false">G481-F481</f>
        <v>-7700</v>
      </c>
      <c r="H483" s="21" t="n">
        <f aca="false">H481-G481</f>
        <v>19374</v>
      </c>
      <c r="I483" s="21" t="n">
        <f aca="false">I481-H481</f>
        <v>-132571</v>
      </c>
      <c r="J483" s="21" t="n">
        <f aca="false">J481-I481</f>
        <v>5504</v>
      </c>
      <c r="K483" s="21" t="n">
        <f aca="false">K481-J481</f>
        <v>9724</v>
      </c>
      <c r="L483" s="21" t="n">
        <f aca="false">L481-K481</f>
        <v>10110</v>
      </c>
      <c r="M483" s="21" t="n">
        <f aca="false">M481-L481</f>
        <v>7458</v>
      </c>
      <c r="N483" s="21" t="n">
        <f aca="false">N481-M481</f>
        <v>3169</v>
      </c>
      <c r="O483" s="21" t="n">
        <f aca="false">O481-N481</f>
        <v>5081</v>
      </c>
      <c r="P483" s="21" t="n">
        <f aca="false">SUM(D483:O483)</f>
        <v>-35669</v>
      </c>
      <c r="Q483" s="25" t="n">
        <f aca="false">SUM(D483:J483)</f>
        <v>-71211</v>
      </c>
      <c r="R483" s="21" t="n">
        <f aca="false">P483-Q483</f>
        <v>35542</v>
      </c>
    </row>
    <row r="486" customFormat="false" ht="14.65" hidden="false" customHeight="false" outlineLevel="0" collapsed="false">
      <c r="A486" s="22" t="s">
        <v>258</v>
      </c>
      <c r="C486" s="21" t="n">
        <f aca="false">C249-C481</f>
        <v>0</v>
      </c>
      <c r="D486" s="21" t="n">
        <f aca="false">D249-D481</f>
        <v>0</v>
      </c>
      <c r="E486" s="21" t="n">
        <f aca="false">E249-E481</f>
        <v>0</v>
      </c>
      <c r="F486" s="21" t="n">
        <f aca="false">F249-F481</f>
        <v>0</v>
      </c>
      <c r="G486" s="21" t="n">
        <f aca="false">G249-G481</f>
        <v>0</v>
      </c>
      <c r="H486" s="21" t="n">
        <f aca="false">H249-H481</f>
        <v>0</v>
      </c>
      <c r="I486" s="21" t="n">
        <f aca="false">I249-I481</f>
        <v>0</v>
      </c>
      <c r="J486" s="21" t="n">
        <f aca="false">J249-J481</f>
        <v>276</v>
      </c>
      <c r="K486" s="21" t="n">
        <f aca="false">K249-K481</f>
        <v>3546</v>
      </c>
      <c r="L486" s="21" t="n">
        <f aca="false">L249-L481</f>
        <v>1958</v>
      </c>
      <c r="M486" s="21" t="n">
        <f aca="false">M249-M481</f>
        <v>2536</v>
      </c>
      <c r="N486" s="21" t="n">
        <f aca="false">N249-N481</f>
        <v>2223</v>
      </c>
      <c r="O486" s="21" t="n">
        <f aca="false">O249-O481</f>
        <v>1771</v>
      </c>
      <c r="P486" s="21"/>
      <c r="Q486" s="21"/>
      <c r="R486" s="21"/>
    </row>
    <row r="487" customFormat="false" ht="14.65" hidden="false" customHeight="false" outlineLevel="0" collapsed="false">
      <c r="A487" s="22" t="s">
        <v>259</v>
      </c>
      <c r="D487" s="21" t="n">
        <f aca="false">D486-C486</f>
        <v>0</v>
      </c>
      <c r="E487" s="21" t="n">
        <f aca="false">E486-D486</f>
        <v>0</v>
      </c>
      <c r="F487" s="21" t="n">
        <f aca="false">F486-E486</f>
        <v>0</v>
      </c>
      <c r="G487" s="21" t="n">
        <f aca="false">G486-F486</f>
        <v>0</v>
      </c>
      <c r="H487" s="21" t="n">
        <f aca="false">H486-G486</f>
        <v>0</v>
      </c>
      <c r="I487" s="21" t="n">
        <f aca="false">I486-H486</f>
        <v>0</v>
      </c>
      <c r="J487" s="21" t="n">
        <f aca="false">J486-I486</f>
        <v>276</v>
      </c>
      <c r="K487" s="21" t="n">
        <f aca="false">K486-J486</f>
        <v>3270</v>
      </c>
      <c r="L487" s="21" t="n">
        <f aca="false">L486-K486</f>
        <v>-1588</v>
      </c>
      <c r="M487" s="21" t="n">
        <f aca="false">M486-L486</f>
        <v>578</v>
      </c>
      <c r="N487" s="21" t="n">
        <f aca="false">N486-M486</f>
        <v>-313</v>
      </c>
      <c r="O487" s="21" t="n">
        <f aca="false">O486-N486</f>
        <v>-452</v>
      </c>
      <c r="P487" s="21" t="n">
        <f aca="false">SUM(D487:O487)</f>
        <v>1771</v>
      </c>
    </row>
    <row r="488" customFormat="false" ht="8.1" hidden="false" customHeight="true" outlineLevel="0" collapsed="false"/>
    <row r="492" customFormat="false" ht="14.65" hidden="false" customHeight="false" outlineLevel="0" collapsed="false">
      <c r="C492" s="22" t="s">
        <v>260</v>
      </c>
      <c r="D492" s="22" t="s">
        <v>261</v>
      </c>
    </row>
    <row r="493" customFormat="false" ht="14.65" hidden="false" customHeight="false" outlineLevel="0" collapsed="false">
      <c r="D493" s="22" t="s">
        <v>262</v>
      </c>
    </row>
    <row r="494" customFormat="false" ht="14.65" hidden="false" customHeight="false" outlineLevel="0" collapsed="false">
      <c r="D494" s="22" t="s">
        <v>263</v>
      </c>
    </row>
    <row r="495" customFormat="false" ht="14.65" hidden="false" customHeight="false" outlineLevel="0" collapsed="false">
      <c r="D495" s="22" t="s">
        <v>264</v>
      </c>
    </row>
    <row r="496" customFormat="false" ht="14.65" hidden="false" customHeight="false" outlineLevel="0" collapsed="false">
      <c r="D496" s="22" t="s">
        <v>265</v>
      </c>
    </row>
    <row r="497" customFormat="false" ht="14.65" hidden="false" customHeight="false" outlineLevel="0" collapsed="false">
      <c r="D497" s="22" t="s">
        <v>266</v>
      </c>
    </row>
    <row r="498" customFormat="false" ht="14.65" hidden="false" customHeight="false" outlineLevel="0" collapsed="false">
      <c r="D498" s="22" t="s">
        <v>267</v>
      </c>
    </row>
    <row r="499" customFormat="false" ht="14.65" hidden="false" customHeight="false" outlineLevel="0" collapsed="false">
      <c r="D499" s="22" t="s">
        <v>268</v>
      </c>
    </row>
    <row r="500" customFormat="false" ht="14.65" hidden="false" customHeight="false" outlineLevel="0" collapsed="false">
      <c r="D500" s="22" t="s">
        <v>269</v>
      </c>
    </row>
    <row r="522" customFormat="false" ht="14.65" hidden="false" customHeight="false" outlineLevel="0" collapsed="false">
      <c r="D522" s="21"/>
    </row>
    <row r="530" customFormat="false" ht="14.65" hidden="false" customHeight="false" outlineLevel="0" collapsed="false">
      <c r="C530" s="21"/>
      <c r="D530" s="21"/>
    </row>
  </sheetData>
  <mergeCells count="4">
    <mergeCell ref="G1:J1"/>
    <mergeCell ref="G2:J2"/>
    <mergeCell ref="G3:J3"/>
    <mergeCell ref="G4:J4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0</xdr:col>
                    <xdr:colOff>624600</xdr:colOff>
                    <xdr:row>4</xdr:row>
                    <xdr:rowOff>0</xdr:rowOff>
                  </from>
                  <to>
                    <xdr:col>1</xdr:col>
                    <xdr:colOff>-1807920</xdr:colOff>
                    <xdr:row>7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O2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0.70703125" defaultRowHeight="14.65" customHeight="true" zeroHeight="false" outlineLevelRow="0" outlineLevelCol="0"/>
  <cols>
    <col collapsed="false" customWidth="true" hidden="false" outlineLevel="0" max="1" min="1" style="42" width="4.7"/>
    <col collapsed="false" customWidth="true" hidden="false" outlineLevel="0" max="2" min="2" style="42" width="43.7"/>
    <col collapsed="false" customWidth="true" hidden="false" outlineLevel="0" max="16" min="3" style="42" width="9.7"/>
    <col collapsed="false" customWidth="true" hidden="false" outlineLevel="0" max="26" min="17" style="42" width="1.7"/>
    <col collapsed="false" customWidth="true" hidden="false" outlineLevel="0" max="27" min="27" style="42" width="4.7"/>
    <col collapsed="false" customWidth="true" hidden="false" outlineLevel="0" max="28" min="28" style="42" width="43.7"/>
    <col collapsed="false" customWidth="true" hidden="false" outlineLevel="0" max="42" min="29" style="42" width="9.7"/>
    <col collapsed="false" customWidth="true" hidden="false" outlineLevel="0" max="52" min="43" style="42" width="1.7"/>
    <col collapsed="false" customWidth="true" hidden="false" outlineLevel="0" max="53" min="53" style="42" width="4.7"/>
    <col collapsed="false" customWidth="true" hidden="false" outlineLevel="0" max="54" min="54" style="42" width="43.7"/>
    <col collapsed="false" customWidth="true" hidden="false" outlineLevel="0" max="69" min="55" style="42" width="9.7"/>
    <col collapsed="false" customWidth="false" hidden="false" outlineLevel="0" max="257" min="70" style="42" width="10.71"/>
  </cols>
  <sheetData>
    <row r="1" customFormat="false" ht="12" hidden="false" customHeight="true" outlineLevel="0" collapsed="false">
      <c r="A1" s="43" t="str">
        <f aca="false">BACKUP!A1</f>
        <v>'file:///mnt/12tb/@roms/datasets/enron/EDRM Enron Email Data Set v2 XML/filtered-attachments/xls/TW3rdCECF.xls'#$BACKUP</v>
      </c>
      <c r="B1" s="44"/>
      <c r="C1" s="44"/>
      <c r="D1" s="44"/>
      <c r="E1" s="44"/>
      <c r="F1" s="45" t="str">
        <f aca="false">BACKUP!G1</f>
        <v>TRANSWESTERN PIPELINE GROUP (Including Co. 92)</v>
      </c>
      <c r="G1" s="45"/>
      <c r="H1" s="45"/>
      <c r="I1" s="45"/>
      <c r="J1" s="44"/>
      <c r="K1" s="44"/>
      <c r="L1" s="44"/>
      <c r="M1" s="44"/>
      <c r="N1" s="44"/>
      <c r="O1" s="46" t="n">
        <f aca="true">NOW()</f>
        <v>45926.9584324249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8" t="str">
        <f aca="false">A1</f>
        <v>'file:///mnt/12tb/@roms/datasets/enron/EDRM Enron Email Data Set v2 XML/filtered-attachments/xls/TW3rdCECF.xls'#$BACKUP</v>
      </c>
      <c r="AB1" s="44"/>
      <c r="AC1" s="44"/>
      <c r="AD1" s="44"/>
      <c r="AE1" s="44"/>
      <c r="AF1" s="4" t="s">
        <v>270</v>
      </c>
      <c r="AG1" s="4"/>
      <c r="AH1" s="4"/>
      <c r="AI1" s="4"/>
      <c r="AJ1" s="44"/>
      <c r="AK1" s="44"/>
      <c r="AL1" s="44"/>
      <c r="AM1" s="44"/>
      <c r="AN1" s="44"/>
      <c r="AO1" s="46" t="n">
        <f aca="true">NOW()</f>
        <v>45926.958432425</v>
      </c>
      <c r="AP1" s="47"/>
      <c r="AQ1" s="49"/>
      <c r="AR1" s="47"/>
      <c r="BA1" s="48" t="str">
        <f aca="false">A1</f>
        <v>'file:///mnt/12tb/@roms/datasets/enron/EDRM Enron Email Data Set v2 XML/filtered-attachments/xls/TW3rdCECF.xls'#$BACKUP</v>
      </c>
      <c r="BB1" s="44"/>
      <c r="BC1" s="44"/>
      <c r="BD1" s="44"/>
      <c r="BE1" s="44"/>
      <c r="BF1" s="4" t="s">
        <v>271</v>
      </c>
      <c r="BG1" s="4"/>
      <c r="BH1" s="4"/>
      <c r="BI1" s="4"/>
      <c r="BJ1" s="44"/>
      <c r="BK1" s="44"/>
      <c r="BL1" s="44"/>
      <c r="BM1" s="44"/>
      <c r="BN1" s="44"/>
      <c r="BO1" s="46" t="n">
        <f aca="true">NOW()</f>
        <v>45926.9584324251</v>
      </c>
    </row>
    <row r="2" customFormat="false" ht="12" hidden="false" customHeight="true" outlineLevel="0" collapsed="false">
      <c r="A2" s="50"/>
      <c r="B2" s="44"/>
      <c r="C2" s="44"/>
      <c r="D2" s="44"/>
      <c r="E2" s="44"/>
      <c r="F2" s="51" t="s">
        <v>272</v>
      </c>
      <c r="G2" s="51"/>
      <c r="H2" s="51"/>
      <c r="I2" s="51"/>
      <c r="J2" s="44"/>
      <c r="K2" s="44"/>
      <c r="L2" s="44"/>
      <c r="M2" s="44"/>
      <c r="N2" s="44"/>
      <c r="O2" s="52" t="n">
        <f aca="true">NOW()</f>
        <v>45926.9584324251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53" t="s">
        <v>273</v>
      </c>
      <c r="AB2" s="44"/>
      <c r="AC2" s="44"/>
      <c r="AD2" s="44"/>
      <c r="AE2" s="44"/>
      <c r="AF2" s="54" t="str">
        <f aca="false">F2</f>
        <v>BALANCE SHEET</v>
      </c>
      <c r="AG2" s="54"/>
      <c r="AH2" s="54"/>
      <c r="AI2" s="54"/>
      <c r="AJ2" s="44"/>
      <c r="AK2" s="44"/>
      <c r="AL2" s="44"/>
      <c r="AM2" s="44"/>
      <c r="AN2" s="44"/>
      <c r="AO2" s="52" t="n">
        <f aca="true">NOW()</f>
        <v>45926.9584324252</v>
      </c>
      <c r="AP2" s="47"/>
      <c r="AQ2" s="55"/>
      <c r="AR2" s="47"/>
      <c r="BA2" s="53" t="s">
        <v>273</v>
      </c>
      <c r="BB2" s="44"/>
      <c r="BC2" s="44"/>
      <c r="BD2" s="44"/>
      <c r="BE2" s="44"/>
      <c r="BF2" s="54" t="str">
        <f aca="false">F2</f>
        <v>BALANCE SHEET</v>
      </c>
      <c r="BG2" s="54"/>
      <c r="BH2" s="54"/>
      <c r="BI2" s="54"/>
      <c r="BJ2" s="44"/>
      <c r="BK2" s="44"/>
      <c r="BL2" s="44"/>
      <c r="BM2" s="44"/>
      <c r="BN2" s="44"/>
      <c r="BO2" s="52" t="n">
        <f aca="true">NOW()</f>
        <v>45926.9584324252</v>
      </c>
    </row>
    <row r="3" customFormat="false" ht="12" hidden="false" customHeight="true" outlineLevel="0" collapsed="false">
      <c r="A3" s="56"/>
      <c r="B3" s="44"/>
      <c r="C3" s="44"/>
      <c r="D3" s="44"/>
      <c r="E3" s="44"/>
      <c r="F3" s="45" t="str">
        <f aca="false">BACKUP!G3</f>
        <v>2001 ACTUAL / ESTIMATE</v>
      </c>
      <c r="G3" s="45"/>
      <c r="H3" s="45"/>
      <c r="I3" s="45"/>
      <c r="J3" s="44"/>
      <c r="K3" s="44"/>
      <c r="L3" s="44"/>
      <c r="M3" s="44"/>
      <c r="N3" s="44"/>
      <c r="O3" s="44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56"/>
      <c r="AB3" s="44"/>
      <c r="AC3" s="44"/>
      <c r="AD3" s="44"/>
      <c r="AE3" s="44"/>
      <c r="AF3" s="54" t="str">
        <f aca="false">F3</f>
        <v>2001 ACTUAL / ESTIMATE</v>
      </c>
      <c r="AG3" s="54"/>
      <c r="AH3" s="54"/>
      <c r="AI3" s="54"/>
      <c r="AJ3" s="44"/>
      <c r="AK3" s="44"/>
      <c r="AL3" s="44"/>
      <c r="AM3" s="44"/>
      <c r="AN3" s="44"/>
      <c r="AO3" s="44"/>
      <c r="AP3" s="47"/>
      <c r="AQ3" s="47"/>
      <c r="AR3" s="47"/>
      <c r="BA3" s="56"/>
      <c r="BB3" s="44"/>
      <c r="BC3" s="44"/>
      <c r="BD3" s="44"/>
      <c r="BE3" s="44"/>
      <c r="BF3" s="54" t="str">
        <f aca="false">F3</f>
        <v>2001 ACTUAL / ESTIMATE</v>
      </c>
      <c r="BG3" s="54"/>
      <c r="BH3" s="54"/>
      <c r="BI3" s="54"/>
      <c r="BJ3" s="44"/>
      <c r="BK3" s="44"/>
      <c r="BL3" s="44"/>
      <c r="BM3" s="44"/>
      <c r="BN3" s="44"/>
      <c r="BO3" s="44"/>
    </row>
    <row r="4" customFormat="false" ht="12" hidden="false" customHeight="true" outlineLevel="0" collapsed="false">
      <c r="A4" s="44"/>
      <c r="B4" s="44"/>
      <c r="C4" s="44"/>
      <c r="D4" s="44"/>
      <c r="E4" s="44"/>
      <c r="F4" s="45" t="str">
        <f aca="false">BACKUP!G4</f>
        <v>(Thousands of Dollars)</v>
      </c>
      <c r="G4" s="45"/>
      <c r="H4" s="45"/>
      <c r="I4" s="45"/>
      <c r="J4" s="44"/>
      <c r="K4" s="44"/>
      <c r="L4" s="44"/>
      <c r="M4" s="44"/>
      <c r="N4" s="44"/>
      <c r="O4" s="44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4"/>
      <c r="AB4" s="44"/>
      <c r="AC4" s="44"/>
      <c r="AD4" s="44"/>
      <c r="AE4" s="44"/>
      <c r="AF4" s="54" t="str">
        <f aca="false">F4</f>
        <v>(Thousands of Dollars)</v>
      </c>
      <c r="AG4" s="54"/>
      <c r="AH4" s="54"/>
      <c r="AI4" s="54"/>
      <c r="AJ4" s="44"/>
      <c r="AK4" s="44"/>
      <c r="AL4" s="44"/>
      <c r="AM4" s="44"/>
      <c r="AN4" s="44"/>
      <c r="AO4" s="44"/>
      <c r="AP4" s="47"/>
      <c r="AQ4" s="47"/>
      <c r="AR4" s="47"/>
      <c r="BA4" s="44"/>
      <c r="BB4" s="44"/>
      <c r="BC4" s="44"/>
      <c r="BD4" s="44"/>
      <c r="BE4" s="44"/>
      <c r="BF4" s="54" t="str">
        <f aca="false">F4</f>
        <v>(Thousands of Dollars)</v>
      </c>
      <c r="BG4" s="54"/>
      <c r="BH4" s="54"/>
      <c r="BI4" s="54"/>
      <c r="BJ4" s="44"/>
      <c r="BK4" s="44"/>
      <c r="BL4" s="44"/>
      <c r="BM4" s="44"/>
      <c r="BN4" s="44"/>
      <c r="BO4" s="44"/>
    </row>
    <row r="5" customFormat="false" ht="12" hidden="false" customHeight="true" outlineLevel="0" collapsed="false">
      <c r="A5" s="44"/>
      <c r="B5" s="44"/>
      <c r="C5" s="57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4"/>
      <c r="AB5" s="44"/>
      <c r="AC5" s="57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7"/>
      <c r="AQ5" s="47"/>
      <c r="AR5" s="47"/>
      <c r="BA5" s="44"/>
      <c r="BB5" s="44"/>
      <c r="BC5" s="57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</row>
    <row r="6" customFormat="false" ht="12" hidden="false" customHeight="true" outlineLevel="0" collapsed="false">
      <c r="A6" s="44"/>
      <c r="B6" s="44"/>
      <c r="C6" s="58" t="n">
        <f aca="false">BACKUP!C5</f>
        <v>0</v>
      </c>
      <c r="D6" s="58"/>
      <c r="E6" s="0"/>
      <c r="F6" s="0"/>
      <c r="G6" s="0"/>
      <c r="H6" s="0"/>
      <c r="I6" s="15"/>
      <c r="J6" s="57"/>
      <c r="K6" s="44"/>
      <c r="L6" s="44"/>
      <c r="M6" s="44"/>
      <c r="N6" s="44"/>
      <c r="O6" s="44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4"/>
      <c r="AB6" s="44"/>
      <c r="AC6" s="59" t="n">
        <f aca="false">C6</f>
        <v>0</v>
      </c>
      <c r="AD6" s="44"/>
      <c r="AE6" s="44"/>
      <c r="AF6" s="57"/>
      <c r="AG6" s="57"/>
      <c r="AH6" s="44"/>
      <c r="AI6" s="44"/>
      <c r="AJ6" s="44"/>
      <c r="AK6" s="44"/>
      <c r="AL6" s="44"/>
      <c r="AM6" s="44"/>
      <c r="AN6" s="44"/>
      <c r="AO6" s="44"/>
      <c r="AP6" s="47"/>
      <c r="AQ6" s="47"/>
      <c r="AR6" s="47"/>
      <c r="BA6" s="44"/>
      <c r="BB6" s="44"/>
      <c r="BC6" s="57"/>
      <c r="BD6" s="44"/>
      <c r="BE6" s="44"/>
      <c r="BF6" s="57"/>
      <c r="BG6" s="57"/>
      <c r="BH6" s="44"/>
      <c r="BI6" s="44"/>
      <c r="BJ6" s="44"/>
      <c r="BK6" s="44"/>
      <c r="BL6" s="44"/>
      <c r="BM6" s="44"/>
      <c r="BN6" s="44"/>
      <c r="BO6" s="44"/>
    </row>
    <row r="7" customFormat="false" ht="12" hidden="false" customHeight="true" outlineLevel="0" collapsed="false">
      <c r="A7" s="44"/>
      <c r="B7" s="44"/>
      <c r="C7" s="58" t="str">
        <f aca="false">BACKUP!C6</f>
        <v>ACTUAL</v>
      </c>
      <c r="D7" s="58" t="str">
        <f aca="false">BACKUP!D7</f>
        <v>ACT.</v>
      </c>
      <c r="E7" s="58" t="str">
        <f aca="false">BACKUP!E7</f>
        <v>ACT.</v>
      </c>
      <c r="F7" s="58" t="str">
        <f aca="false">BACKUP!F7</f>
        <v>ACT.</v>
      </c>
      <c r="G7" s="58" t="str">
        <f aca="false">BACKUP!G7</f>
        <v>ACT.</v>
      </c>
      <c r="H7" s="58" t="str">
        <f aca="false">BACKUP!H7</f>
        <v>ACT.</v>
      </c>
      <c r="I7" s="58" t="str">
        <f aca="false">BACKUP!I7</f>
        <v>ACT.</v>
      </c>
      <c r="J7" s="58" t="str">
        <f aca="false">BACKUP!J7</f>
        <v>ACT.</v>
      </c>
      <c r="K7" s="58" t="str">
        <f aca="false">BACKUP!K7</f>
        <v>ACT.</v>
      </c>
      <c r="L7" s="58" t="str">
        <f aca="false">BACKUP!L7</f>
        <v>3rd CE</v>
      </c>
      <c r="M7" s="58" t="str">
        <f aca="false">BACKUP!M7</f>
        <v>3rd CE</v>
      </c>
      <c r="N7" s="58" t="str">
        <f aca="false">BACKUP!N7</f>
        <v>3rd CE</v>
      </c>
      <c r="O7" s="58" t="str">
        <f aca="false">BACKUP!O7</f>
        <v>3rd CE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4"/>
      <c r="AB7" s="44"/>
      <c r="AC7" s="59" t="str">
        <f aca="false">C7</f>
        <v>ACTUAL</v>
      </c>
      <c r="AD7" s="59" t="str">
        <f aca="false">D7</f>
        <v>ACT.</v>
      </c>
      <c r="AE7" s="59" t="str">
        <f aca="false">E7</f>
        <v>ACT.</v>
      </c>
      <c r="AF7" s="59" t="str">
        <f aca="false">F7</f>
        <v>ACT.</v>
      </c>
      <c r="AG7" s="59" t="str">
        <f aca="false">G7</f>
        <v>ACT.</v>
      </c>
      <c r="AH7" s="59" t="str">
        <f aca="false">H7</f>
        <v>ACT.</v>
      </c>
      <c r="AI7" s="59" t="str">
        <f aca="false">I7</f>
        <v>ACT.</v>
      </c>
      <c r="AJ7" s="59" t="str">
        <f aca="false">J7</f>
        <v>ACT.</v>
      </c>
      <c r="AK7" s="59" t="str">
        <f aca="false">K7</f>
        <v>ACT.</v>
      </c>
      <c r="AL7" s="59" t="str">
        <f aca="false">L7</f>
        <v>3rd CE</v>
      </c>
      <c r="AM7" s="59" t="str">
        <f aca="false">M7</f>
        <v>3rd CE</v>
      </c>
      <c r="AN7" s="59" t="str">
        <f aca="false">N7</f>
        <v>3rd CE</v>
      </c>
      <c r="AO7" s="59" t="str">
        <f aca="false">O7</f>
        <v>3rd CE</v>
      </c>
      <c r="AP7" s="47"/>
      <c r="AQ7" s="47"/>
      <c r="AR7" s="47"/>
      <c r="BA7" s="44"/>
      <c r="BB7" s="44"/>
      <c r="BC7" s="59" t="str">
        <f aca="false">C7</f>
        <v>ACTUAL</v>
      </c>
      <c r="BD7" s="59" t="str">
        <f aca="false">D7</f>
        <v>ACT.</v>
      </c>
      <c r="BE7" s="59" t="str">
        <f aca="false">E7</f>
        <v>ACT.</v>
      </c>
      <c r="BF7" s="59" t="str">
        <f aca="false">F7</f>
        <v>ACT.</v>
      </c>
      <c r="BG7" s="59" t="str">
        <f aca="false">G7</f>
        <v>ACT.</v>
      </c>
      <c r="BH7" s="59" t="str">
        <f aca="false">H7</f>
        <v>ACT.</v>
      </c>
      <c r="BI7" s="59" t="str">
        <f aca="false">I7</f>
        <v>ACT.</v>
      </c>
      <c r="BJ7" s="59" t="str">
        <f aca="false">J7</f>
        <v>ACT.</v>
      </c>
      <c r="BK7" s="59" t="str">
        <f aca="false">K7</f>
        <v>ACT.</v>
      </c>
      <c r="BL7" s="59" t="str">
        <f aca="false">L7</f>
        <v>3rd CE</v>
      </c>
      <c r="BM7" s="59" t="str">
        <f aca="false">M7</f>
        <v>3rd CE</v>
      </c>
      <c r="BN7" s="59" t="str">
        <f aca="false">N7</f>
        <v>3rd CE</v>
      </c>
      <c r="BO7" s="59" t="str">
        <f aca="false">O7</f>
        <v>3rd CE</v>
      </c>
    </row>
    <row r="8" customFormat="false" ht="12" hidden="false" customHeight="true" outlineLevel="0" collapsed="false">
      <c r="A8" s="44"/>
      <c r="B8" s="44"/>
      <c r="C8" s="58" t="str">
        <f aca="false">BACKUP!C7</f>
        <v>BALANCE </v>
      </c>
      <c r="D8" s="58" t="str">
        <f aca="false">BACKUP!D8</f>
        <v>JAN</v>
      </c>
      <c r="E8" s="58" t="str">
        <f aca="false">BACKUP!E8</f>
        <v>FEB</v>
      </c>
      <c r="F8" s="58" t="str">
        <f aca="false">BACKUP!F8</f>
        <v>MAR</v>
      </c>
      <c r="G8" s="58" t="str">
        <f aca="false">BACKUP!G8</f>
        <v>APR</v>
      </c>
      <c r="H8" s="58" t="str">
        <f aca="false">BACKUP!H8</f>
        <v>MAY</v>
      </c>
      <c r="I8" s="58" t="str">
        <f aca="false">BACKUP!I8</f>
        <v>JUN</v>
      </c>
      <c r="J8" s="58" t="str">
        <f aca="false">BACKUP!J8</f>
        <v>JUL</v>
      </c>
      <c r="K8" s="58" t="str">
        <f aca="false">BACKUP!K8</f>
        <v>AUG</v>
      </c>
      <c r="L8" s="58" t="str">
        <f aca="false">BACKUP!L8</f>
        <v>SEP</v>
      </c>
      <c r="M8" s="58" t="str">
        <f aca="false">BACKUP!M8</f>
        <v>OCT</v>
      </c>
      <c r="N8" s="58" t="str">
        <f aca="false">BACKUP!N8</f>
        <v>NOV</v>
      </c>
      <c r="O8" s="58" t="str">
        <f aca="false">BACKUP!O8</f>
        <v>DEC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4"/>
      <c r="AB8" s="44"/>
      <c r="AC8" s="59" t="str">
        <f aca="false">C8</f>
        <v>BALANCE </v>
      </c>
      <c r="AD8" s="59" t="str">
        <f aca="false">D8</f>
        <v>JAN</v>
      </c>
      <c r="AE8" s="59" t="str">
        <f aca="false">E8</f>
        <v>FEB</v>
      </c>
      <c r="AF8" s="59" t="str">
        <f aca="false">F8</f>
        <v>MAR</v>
      </c>
      <c r="AG8" s="59" t="str">
        <f aca="false">G8</f>
        <v>APR</v>
      </c>
      <c r="AH8" s="59" t="str">
        <f aca="false">H8</f>
        <v>MAY</v>
      </c>
      <c r="AI8" s="59" t="str">
        <f aca="false">I8</f>
        <v>JUN</v>
      </c>
      <c r="AJ8" s="59" t="str">
        <f aca="false">J8</f>
        <v>JUL</v>
      </c>
      <c r="AK8" s="59" t="str">
        <f aca="false">K8</f>
        <v>AUG</v>
      </c>
      <c r="AL8" s="59" t="str">
        <f aca="false">L8</f>
        <v>SEP</v>
      </c>
      <c r="AM8" s="59" t="str">
        <f aca="false">M8</f>
        <v>OCT</v>
      </c>
      <c r="AN8" s="59" t="str">
        <f aca="false">N8</f>
        <v>NOV</v>
      </c>
      <c r="AO8" s="59" t="str">
        <f aca="false">O8</f>
        <v>DEC</v>
      </c>
      <c r="AP8" s="47"/>
      <c r="AQ8" s="47"/>
      <c r="AR8" s="47"/>
      <c r="BA8" s="44"/>
      <c r="BB8" s="44"/>
      <c r="BC8" s="59" t="str">
        <f aca="false">C8</f>
        <v>BALANCE </v>
      </c>
      <c r="BD8" s="59" t="str">
        <f aca="false">D8</f>
        <v>JAN</v>
      </c>
      <c r="BE8" s="59" t="str">
        <f aca="false">E8</f>
        <v>FEB</v>
      </c>
      <c r="BF8" s="59" t="str">
        <f aca="false">F8</f>
        <v>MAR</v>
      </c>
      <c r="BG8" s="59" t="str">
        <f aca="false">G8</f>
        <v>APR</v>
      </c>
      <c r="BH8" s="59" t="str">
        <f aca="false">H8</f>
        <v>MAY</v>
      </c>
      <c r="BI8" s="59" t="str">
        <f aca="false">I8</f>
        <v>JUN</v>
      </c>
      <c r="BJ8" s="59" t="str">
        <f aca="false">J8</f>
        <v>JUL</v>
      </c>
      <c r="BK8" s="59" t="str">
        <f aca="false">K8</f>
        <v>AUG</v>
      </c>
      <c r="BL8" s="59" t="str">
        <f aca="false">L8</f>
        <v>SEP</v>
      </c>
      <c r="BM8" s="59" t="str">
        <f aca="false">M8</f>
        <v>OCT</v>
      </c>
      <c r="BN8" s="59" t="str">
        <f aca="false">N8</f>
        <v>NOV</v>
      </c>
      <c r="BO8" s="59" t="str">
        <f aca="false">O8</f>
        <v>DEC</v>
      </c>
    </row>
    <row r="9" customFormat="false" ht="12" hidden="false" customHeight="true" outlineLevel="0" collapsed="false">
      <c r="A9" s="44"/>
      <c r="B9" s="44"/>
      <c r="C9" s="60" t="str">
        <f aca="false">BACKUP!C8</f>
        <v>12/31/00</v>
      </c>
      <c r="D9" s="61" t="n">
        <v>2001</v>
      </c>
      <c r="E9" s="60" t="n">
        <f aca="false">D9</f>
        <v>2001</v>
      </c>
      <c r="F9" s="60" t="n">
        <f aca="false">E9</f>
        <v>2001</v>
      </c>
      <c r="G9" s="60" t="n">
        <f aca="false">F9</f>
        <v>2001</v>
      </c>
      <c r="H9" s="60" t="n">
        <f aca="false">G9</f>
        <v>2001</v>
      </c>
      <c r="I9" s="60" t="n">
        <f aca="false">H9</f>
        <v>2001</v>
      </c>
      <c r="J9" s="60" t="n">
        <f aca="false">I9</f>
        <v>2001</v>
      </c>
      <c r="K9" s="60" t="n">
        <f aca="false">J9</f>
        <v>2001</v>
      </c>
      <c r="L9" s="60" t="n">
        <f aca="false">K9</f>
        <v>2001</v>
      </c>
      <c r="M9" s="60" t="n">
        <f aca="false">L9</f>
        <v>2001</v>
      </c>
      <c r="N9" s="60" t="n">
        <f aca="false">M9</f>
        <v>2001</v>
      </c>
      <c r="O9" s="60" t="n">
        <f aca="false">N9</f>
        <v>2001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4"/>
      <c r="AB9" s="44"/>
      <c r="AC9" s="62" t="str">
        <f aca="false">C9</f>
        <v>12/31/00</v>
      </c>
      <c r="AD9" s="62" t="n">
        <f aca="false">D9</f>
        <v>2001</v>
      </c>
      <c r="AE9" s="62" t="n">
        <f aca="false">E9</f>
        <v>2001</v>
      </c>
      <c r="AF9" s="62" t="n">
        <f aca="false">F9</f>
        <v>2001</v>
      </c>
      <c r="AG9" s="62" t="n">
        <f aca="false">G9</f>
        <v>2001</v>
      </c>
      <c r="AH9" s="62" t="n">
        <f aca="false">H9</f>
        <v>2001</v>
      </c>
      <c r="AI9" s="62" t="n">
        <f aca="false">I9</f>
        <v>2001</v>
      </c>
      <c r="AJ9" s="62" t="n">
        <f aca="false">J9</f>
        <v>2001</v>
      </c>
      <c r="AK9" s="62" t="n">
        <f aca="false">K9</f>
        <v>2001</v>
      </c>
      <c r="AL9" s="62" t="n">
        <f aca="false">L9</f>
        <v>2001</v>
      </c>
      <c r="AM9" s="62" t="n">
        <f aca="false">M9</f>
        <v>2001</v>
      </c>
      <c r="AN9" s="62" t="n">
        <f aca="false">N9</f>
        <v>2001</v>
      </c>
      <c r="AO9" s="62" t="n">
        <f aca="false">O9</f>
        <v>2001</v>
      </c>
      <c r="AP9" s="47"/>
      <c r="AQ9" s="47"/>
      <c r="AR9" s="47"/>
      <c r="BA9" s="44"/>
      <c r="BB9" s="44"/>
      <c r="BC9" s="62" t="str">
        <f aca="false">C9</f>
        <v>12/31/00</v>
      </c>
      <c r="BD9" s="62" t="n">
        <f aca="false">D9</f>
        <v>2001</v>
      </c>
      <c r="BE9" s="62" t="n">
        <f aca="false">E9</f>
        <v>2001</v>
      </c>
      <c r="BF9" s="62" t="n">
        <f aca="false">F9</f>
        <v>2001</v>
      </c>
      <c r="BG9" s="62" t="n">
        <f aca="false">G9</f>
        <v>2001</v>
      </c>
      <c r="BH9" s="62" t="n">
        <f aca="false">H9</f>
        <v>2001</v>
      </c>
      <c r="BI9" s="62" t="n">
        <f aca="false">I9</f>
        <v>2001</v>
      </c>
      <c r="BJ9" s="62" t="n">
        <f aca="false">J9</f>
        <v>2001</v>
      </c>
      <c r="BK9" s="62" t="n">
        <f aca="false">K9</f>
        <v>2001</v>
      </c>
      <c r="BL9" s="62" t="n">
        <f aca="false">L9</f>
        <v>2001</v>
      </c>
      <c r="BM9" s="62" t="n">
        <f aca="false">M9</f>
        <v>2001</v>
      </c>
      <c r="BN9" s="62" t="n">
        <f aca="false">N9</f>
        <v>2001</v>
      </c>
      <c r="BO9" s="62" t="n">
        <f aca="false">O9</f>
        <v>2001</v>
      </c>
    </row>
    <row r="10" customFormat="false" ht="6" hidden="false" customHeight="true" outlineLevel="0" collapsed="false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</row>
    <row r="11" customFormat="false" ht="12" hidden="false" customHeight="true" outlineLevel="0" collapsed="false">
      <c r="A11" s="44"/>
      <c r="B11" s="63" t="s">
        <v>274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4"/>
      <c r="AB11" s="63" t="str">
        <f aca="false">B11</f>
        <v>CURRENT ASSETS</v>
      </c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47"/>
      <c r="AQ11" s="47"/>
      <c r="AR11" s="47"/>
      <c r="BA11" s="44"/>
      <c r="BB11" s="63" t="str">
        <f aca="false">B11</f>
        <v>CURRENT ASSETS</v>
      </c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</row>
    <row r="12" customFormat="false" ht="12" hidden="false" customHeight="true" outlineLevel="0" collapsed="false">
      <c r="A12" s="65" t="s">
        <v>275</v>
      </c>
      <c r="B12" s="66" t="s">
        <v>276</v>
      </c>
      <c r="C12" s="64" t="n">
        <f aca="false">BACKUP!C13</f>
        <v>4</v>
      </c>
      <c r="D12" s="64" t="n">
        <f aca="false">BACKUP!D13</f>
        <v>4</v>
      </c>
      <c r="E12" s="64" t="n">
        <f aca="false">BACKUP!E13</f>
        <v>4</v>
      </c>
      <c r="F12" s="64" t="n">
        <f aca="false">BACKUP!F13</f>
        <v>4</v>
      </c>
      <c r="G12" s="64" t="n">
        <f aca="false">BACKUP!G13</f>
        <v>4</v>
      </c>
      <c r="H12" s="64" t="n">
        <f aca="false">BACKUP!H13</f>
        <v>4</v>
      </c>
      <c r="I12" s="64" t="n">
        <f aca="false">BACKUP!I13</f>
        <v>4</v>
      </c>
      <c r="J12" s="64" t="n">
        <f aca="false">BACKUP!J13</f>
        <v>3</v>
      </c>
      <c r="K12" s="64" t="n">
        <f aca="false">BACKUP!K13</f>
        <v>3</v>
      </c>
      <c r="L12" s="64" t="n">
        <f aca="false">BACKUP!L13</f>
        <v>3</v>
      </c>
      <c r="M12" s="64" t="n">
        <f aca="false">BACKUP!M13</f>
        <v>3</v>
      </c>
      <c r="N12" s="64" t="n">
        <f aca="false">BACKUP!N13</f>
        <v>3</v>
      </c>
      <c r="O12" s="64" t="n">
        <f aca="false">BACKUP!O13</f>
        <v>3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65" t="str">
        <f aca="false">A12</f>
        <v>1</v>
      </c>
      <c r="AB12" s="66" t="str">
        <f aca="false">B12</f>
        <v>   Cash &amp; Temporary Cash Investments</v>
      </c>
      <c r="AC12" s="67" t="n">
        <v>0</v>
      </c>
      <c r="AD12" s="67" t="n">
        <v>0</v>
      </c>
      <c r="AE12" s="67" t="n">
        <v>0</v>
      </c>
      <c r="AF12" s="67" t="n">
        <v>0</v>
      </c>
      <c r="AG12" s="67" t="n">
        <v>0</v>
      </c>
      <c r="AH12" s="67" t="n">
        <v>0</v>
      </c>
      <c r="AI12" s="67" t="n">
        <v>0</v>
      </c>
      <c r="AJ12" s="67" t="n">
        <v>0</v>
      </c>
      <c r="AK12" s="67" t="n">
        <v>0</v>
      </c>
      <c r="AL12" s="67" t="n">
        <v>0</v>
      </c>
      <c r="AM12" s="67" t="n">
        <v>0</v>
      </c>
      <c r="AN12" s="67" t="n">
        <v>0</v>
      </c>
      <c r="AO12" s="67" t="n">
        <v>0</v>
      </c>
      <c r="AP12" s="47"/>
      <c r="AQ12" s="64"/>
      <c r="AR12" s="47"/>
      <c r="BA12" s="65" t="str">
        <f aca="false">A12</f>
        <v>1</v>
      </c>
      <c r="BB12" s="66" t="str">
        <f aca="false">B12</f>
        <v>   Cash &amp; Temporary Cash Investments</v>
      </c>
      <c r="BC12" s="68" t="n">
        <f aca="false">C12-AC12</f>
        <v>4</v>
      </c>
      <c r="BD12" s="68" t="n">
        <f aca="false">D12-AD12</f>
        <v>4</v>
      </c>
      <c r="BE12" s="68" t="n">
        <f aca="false">E12-AE12</f>
        <v>4</v>
      </c>
      <c r="BF12" s="68" t="n">
        <f aca="false">F12-AF12</f>
        <v>4</v>
      </c>
      <c r="BG12" s="68" t="n">
        <f aca="false">G12-AG12</f>
        <v>4</v>
      </c>
      <c r="BH12" s="68" t="n">
        <f aca="false">H12-AH12</f>
        <v>4</v>
      </c>
      <c r="BI12" s="68" t="n">
        <f aca="false">I12-AI12</f>
        <v>4</v>
      </c>
      <c r="BJ12" s="68" t="n">
        <f aca="false">J12-AJ12</f>
        <v>3</v>
      </c>
      <c r="BK12" s="68" t="n">
        <f aca="false">K12-AK12</f>
        <v>3</v>
      </c>
      <c r="BL12" s="68" t="n">
        <f aca="false">L12-AL12</f>
        <v>3</v>
      </c>
      <c r="BM12" s="68" t="n">
        <f aca="false">M12-AM12</f>
        <v>3</v>
      </c>
      <c r="BN12" s="68" t="n">
        <f aca="false">N12-AN12</f>
        <v>3</v>
      </c>
      <c r="BO12" s="68" t="n">
        <f aca="false">O12-AO12</f>
        <v>3</v>
      </c>
    </row>
    <row r="13" customFormat="false" ht="12" hidden="false" customHeight="true" outlineLevel="0" collapsed="false">
      <c r="A13" s="65" t="s">
        <v>277</v>
      </c>
      <c r="B13" s="66" t="s">
        <v>278</v>
      </c>
      <c r="C13" s="64" t="n">
        <f aca="false">BACKUP!C34</f>
        <v>7581</v>
      </c>
      <c r="D13" s="64" t="n">
        <f aca="false">BACKUP!D34</f>
        <v>6648</v>
      </c>
      <c r="E13" s="64" t="n">
        <f aca="false">BACKUP!E34</f>
        <v>7120</v>
      </c>
      <c r="F13" s="64" t="n">
        <f aca="false">BACKUP!F34</f>
        <v>21572</v>
      </c>
      <c r="G13" s="64" t="n">
        <f aca="false">BACKUP!G34</f>
        <v>17146</v>
      </c>
      <c r="H13" s="64" t="n">
        <f aca="false">BACKUP!H34</f>
        <v>19651</v>
      </c>
      <c r="I13" s="64" t="n">
        <f aca="false">BACKUP!I34</f>
        <v>8677</v>
      </c>
      <c r="J13" s="64" t="n">
        <f aca="false">BACKUP!J34</f>
        <v>20312</v>
      </c>
      <c r="K13" s="64" t="n">
        <f aca="false">BACKUP!K34</f>
        <v>23367</v>
      </c>
      <c r="L13" s="64" t="n">
        <f aca="false">BACKUP!L34</f>
        <v>22805</v>
      </c>
      <c r="M13" s="64" t="n">
        <f aca="false">BACKUP!M34</f>
        <v>23691</v>
      </c>
      <c r="N13" s="64" t="n">
        <f aca="false">BACKUP!N34</f>
        <v>23054</v>
      </c>
      <c r="O13" s="64" t="n">
        <f aca="false">BACKUP!O34</f>
        <v>23441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65" t="str">
        <f aca="false">A13</f>
        <v>2</v>
      </c>
      <c r="AB13" s="66" t="str">
        <f aca="false">B13</f>
        <v>   Accounts Receivable</v>
      </c>
      <c r="AC13" s="67" t="n">
        <v>0</v>
      </c>
      <c r="AD13" s="67" t="n">
        <v>0</v>
      </c>
      <c r="AE13" s="67" t="n">
        <v>0</v>
      </c>
      <c r="AF13" s="67" t="n">
        <v>0</v>
      </c>
      <c r="AG13" s="67" t="n">
        <v>0</v>
      </c>
      <c r="AH13" s="67" t="n">
        <v>0</v>
      </c>
      <c r="AI13" s="67" t="n">
        <v>0</v>
      </c>
      <c r="AJ13" s="67" t="n">
        <v>0</v>
      </c>
      <c r="AK13" s="67" t="n">
        <v>0</v>
      </c>
      <c r="AL13" s="67" t="n">
        <v>0</v>
      </c>
      <c r="AM13" s="67" t="n">
        <v>0</v>
      </c>
      <c r="AN13" s="67" t="n">
        <v>0</v>
      </c>
      <c r="AO13" s="67" t="n">
        <v>0</v>
      </c>
      <c r="AP13" s="47"/>
      <c r="AQ13" s="64"/>
      <c r="AR13" s="47"/>
      <c r="BA13" s="65" t="str">
        <f aca="false">A13</f>
        <v>2</v>
      </c>
      <c r="BB13" s="66" t="str">
        <f aca="false">B13</f>
        <v>   Accounts Receivable</v>
      </c>
      <c r="BC13" s="68" t="n">
        <f aca="false">C13-AC13</f>
        <v>7581</v>
      </c>
      <c r="BD13" s="68" t="n">
        <f aca="false">D13-AD13</f>
        <v>6648</v>
      </c>
      <c r="BE13" s="68" t="n">
        <f aca="false">E13-AE13</f>
        <v>7120</v>
      </c>
      <c r="BF13" s="68" t="n">
        <f aca="false">F13-AF13</f>
        <v>21572</v>
      </c>
      <c r="BG13" s="68" t="n">
        <f aca="false">G13-AG13</f>
        <v>17146</v>
      </c>
      <c r="BH13" s="68" t="n">
        <f aca="false">H13-AH13</f>
        <v>19651</v>
      </c>
      <c r="BI13" s="68" t="n">
        <f aca="false">I13-AI13</f>
        <v>8677</v>
      </c>
      <c r="BJ13" s="68" t="n">
        <f aca="false">J13-AJ13</f>
        <v>20312</v>
      </c>
      <c r="BK13" s="68" t="n">
        <f aca="false">K13-AK13</f>
        <v>23367</v>
      </c>
      <c r="BL13" s="68" t="n">
        <f aca="false">L13-AL13</f>
        <v>22805</v>
      </c>
      <c r="BM13" s="68" t="n">
        <f aca="false">M13-AM13</f>
        <v>23691</v>
      </c>
      <c r="BN13" s="68" t="n">
        <f aca="false">N13-AN13</f>
        <v>23054</v>
      </c>
      <c r="BO13" s="68" t="n">
        <f aca="false">O13-AO13</f>
        <v>23441</v>
      </c>
    </row>
    <row r="14" customFormat="false" ht="12" hidden="false" customHeight="true" outlineLevel="0" collapsed="false">
      <c r="A14" s="65" t="s">
        <v>279</v>
      </c>
      <c r="B14" s="66" t="s">
        <v>280</v>
      </c>
      <c r="C14" s="64" t="n">
        <f aca="false">-BACKUP!C449</f>
        <v>524956</v>
      </c>
      <c r="D14" s="64" t="n">
        <f aca="false">-BACKUP!D449</f>
        <v>541799</v>
      </c>
      <c r="E14" s="64" t="n">
        <f aca="false">-BACKUP!E449</f>
        <v>560015</v>
      </c>
      <c r="F14" s="64" t="n">
        <f aca="false">-BACKUP!F449</f>
        <v>579696</v>
      </c>
      <c r="G14" s="64" t="n">
        <f aca="false">-BACKUP!G449</f>
        <v>591337</v>
      </c>
      <c r="H14" s="64" t="n">
        <f aca="false">-BACKUP!H449</f>
        <v>587311</v>
      </c>
      <c r="I14" s="64" t="n">
        <f aca="false">-BACKUP!I449</f>
        <v>460025</v>
      </c>
      <c r="J14" s="64" t="n">
        <f aca="false">-BACKUP!J449</f>
        <v>461271</v>
      </c>
      <c r="K14" s="64" t="n">
        <f aca="false">-BACKUP!K449</f>
        <v>476871</v>
      </c>
      <c r="L14" s="64" t="n">
        <f aca="false">-BACKUP!L449</f>
        <v>478771</v>
      </c>
      <c r="M14" s="64" t="n">
        <f aca="false">-BACKUP!M449</f>
        <v>484471</v>
      </c>
      <c r="N14" s="64" t="n">
        <f aca="false">-BACKUP!N449</f>
        <v>484271</v>
      </c>
      <c r="O14" s="64" t="n">
        <f aca="false">-BACKUP!O449</f>
        <v>484071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65" t="str">
        <f aca="false">A14</f>
        <v>I</v>
      </c>
      <c r="AB14" s="66" t="str">
        <f aca="false">B14</f>
        <v>   Enron Corporate - Receivable (Acct. 1466)</v>
      </c>
      <c r="AC14" s="67" t="n">
        <v>-5</v>
      </c>
      <c r="AD14" s="67" t="n">
        <v>-5</v>
      </c>
      <c r="AE14" s="67" t="n">
        <v>-5</v>
      </c>
      <c r="AF14" s="67" t="n">
        <v>-5</v>
      </c>
      <c r="AG14" s="67" t="n">
        <v>-5</v>
      </c>
      <c r="AH14" s="67" t="n">
        <v>-5</v>
      </c>
      <c r="AI14" s="67" t="n">
        <v>-5</v>
      </c>
      <c r="AJ14" s="67" t="n">
        <v>-5</v>
      </c>
      <c r="AK14" s="67" t="n">
        <v>-5</v>
      </c>
      <c r="AL14" s="67" t="n">
        <v>-5</v>
      </c>
      <c r="AM14" s="67" t="n">
        <v>-5</v>
      </c>
      <c r="AN14" s="67" t="n">
        <v>-5</v>
      </c>
      <c r="AO14" s="67" t="n">
        <v>-5</v>
      </c>
      <c r="AP14" s="47"/>
      <c r="AQ14" s="64"/>
      <c r="AR14" s="47"/>
      <c r="BA14" s="65" t="str">
        <f aca="false">A14</f>
        <v>I</v>
      </c>
      <c r="BB14" s="66" t="str">
        <f aca="false">B14</f>
        <v>   Enron Corporate - Receivable (Acct. 1466)</v>
      </c>
      <c r="BC14" s="68" t="n">
        <f aca="false">C14-AC14</f>
        <v>524961</v>
      </c>
      <c r="BD14" s="68" t="n">
        <f aca="false">D14-AD14</f>
        <v>541804</v>
      </c>
      <c r="BE14" s="68" t="n">
        <f aca="false">E14-AE14</f>
        <v>560020</v>
      </c>
      <c r="BF14" s="68" t="n">
        <f aca="false">F14-AF14</f>
        <v>579701</v>
      </c>
      <c r="BG14" s="68" t="n">
        <f aca="false">G14-AG14</f>
        <v>591342</v>
      </c>
      <c r="BH14" s="68" t="n">
        <f aca="false">H14-AH14</f>
        <v>587316</v>
      </c>
      <c r="BI14" s="68" t="n">
        <f aca="false">I14-AI14</f>
        <v>460030</v>
      </c>
      <c r="BJ14" s="68" t="n">
        <f aca="false">J14-AJ14</f>
        <v>461276</v>
      </c>
      <c r="BK14" s="68" t="n">
        <f aca="false">K14-AK14</f>
        <v>476876</v>
      </c>
      <c r="BL14" s="68" t="n">
        <f aca="false">L14-AL14</f>
        <v>478776</v>
      </c>
      <c r="BM14" s="68" t="n">
        <f aca="false">M14-AM14</f>
        <v>484476</v>
      </c>
      <c r="BN14" s="68" t="n">
        <f aca="false">N14-AN14</f>
        <v>484276</v>
      </c>
      <c r="BO14" s="68" t="n">
        <f aca="false">O14-AO14</f>
        <v>484076</v>
      </c>
    </row>
    <row r="15" customFormat="false" ht="12" hidden="false" customHeight="true" outlineLevel="0" collapsed="false">
      <c r="A15" s="65"/>
      <c r="B15" s="66" t="s">
        <v>281</v>
      </c>
      <c r="C15" s="64" t="n">
        <f aca="false">-BACKUP!C284</f>
        <v>-146935</v>
      </c>
      <c r="D15" s="64" t="n">
        <f aca="false">-BACKUP!D284</f>
        <v>-153155</v>
      </c>
      <c r="E15" s="64" t="n">
        <f aca="false">-BACKUP!E284</f>
        <v>-161015</v>
      </c>
      <c r="F15" s="64" t="n">
        <f aca="false">-BACKUP!F284</f>
        <v>-166023</v>
      </c>
      <c r="G15" s="64" t="n">
        <f aca="false">-BACKUP!G284</f>
        <v>-183650</v>
      </c>
      <c r="H15" s="64" t="n">
        <f aca="false">-BACKUP!H284</f>
        <v>-189083</v>
      </c>
      <c r="I15" s="64" t="n">
        <f aca="false">-BACKUP!I284</f>
        <v>-194082</v>
      </c>
      <c r="J15" s="64" t="n">
        <f aca="false">-BACKUP!J284</f>
        <v>-199390</v>
      </c>
      <c r="K15" s="64" t="n">
        <f aca="false">-BACKUP!K284</f>
        <v>-204790</v>
      </c>
      <c r="L15" s="64" t="n">
        <f aca="false">-BACKUP!L284</f>
        <v>-209690</v>
      </c>
      <c r="M15" s="64" t="n">
        <f aca="false">-BACKUP!M284</f>
        <v>-211690</v>
      </c>
      <c r="N15" s="64" t="n">
        <f aca="false">-BACKUP!N284</f>
        <v>-217490</v>
      </c>
      <c r="O15" s="64" t="n">
        <f aca="false">-BACKUP!O284</f>
        <v>-222890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65"/>
      <c r="AB15" s="66" t="str">
        <f aca="false">B15</f>
        <v>                           - Payable (Acct. 1460)</v>
      </c>
      <c r="AC15" s="67" t="n">
        <v>0</v>
      </c>
      <c r="AD15" s="67" t="n">
        <v>0</v>
      </c>
      <c r="AE15" s="67" t="n">
        <v>0</v>
      </c>
      <c r="AF15" s="67" t="n">
        <v>0</v>
      </c>
      <c r="AG15" s="67" t="n">
        <v>0</v>
      </c>
      <c r="AH15" s="67" t="n">
        <v>0</v>
      </c>
      <c r="AI15" s="67" t="n">
        <v>0</v>
      </c>
      <c r="AJ15" s="67" t="n">
        <v>0</v>
      </c>
      <c r="AK15" s="67" t="n">
        <v>0</v>
      </c>
      <c r="AL15" s="67" t="n">
        <v>0</v>
      </c>
      <c r="AM15" s="67" t="n">
        <v>0</v>
      </c>
      <c r="AN15" s="67" t="n">
        <v>0</v>
      </c>
      <c r="AO15" s="67" t="n">
        <v>0</v>
      </c>
      <c r="AP15" s="47"/>
      <c r="AQ15" s="64"/>
      <c r="AR15" s="47"/>
      <c r="BA15" s="65" t="n">
        <f aca="false">A15</f>
        <v>0</v>
      </c>
      <c r="BB15" s="66" t="str">
        <f aca="false">B15</f>
        <v>                           - Payable (Acct. 1460)</v>
      </c>
      <c r="BC15" s="68" t="n">
        <f aca="false">C15-AC15</f>
        <v>-146935</v>
      </c>
      <c r="BD15" s="68" t="n">
        <f aca="false">D15-AD15</f>
        <v>-153155</v>
      </c>
      <c r="BE15" s="68" t="n">
        <f aca="false">E15-AE15</f>
        <v>-161015</v>
      </c>
      <c r="BF15" s="68" t="n">
        <f aca="false">F15-AF15</f>
        <v>-166023</v>
      </c>
      <c r="BG15" s="68" t="n">
        <f aca="false">G15-AG15</f>
        <v>-183650</v>
      </c>
      <c r="BH15" s="68" t="n">
        <f aca="false">H15-AH15</f>
        <v>-189083</v>
      </c>
      <c r="BI15" s="68" t="n">
        <f aca="false">I15-AI15</f>
        <v>-194082</v>
      </c>
      <c r="BJ15" s="68" t="n">
        <f aca="false">J15-AJ15</f>
        <v>-199390</v>
      </c>
      <c r="BK15" s="68" t="n">
        <f aca="false">K15-AK15</f>
        <v>-204790</v>
      </c>
      <c r="BL15" s="68" t="n">
        <f aca="false">L15-AL15</f>
        <v>-209690</v>
      </c>
      <c r="BM15" s="68" t="n">
        <f aca="false">M15-AM15</f>
        <v>-211690</v>
      </c>
      <c r="BN15" s="68" t="n">
        <f aca="false">N15-AN15</f>
        <v>-217490</v>
      </c>
      <c r="BO15" s="68" t="n">
        <f aca="false">O15-AO15</f>
        <v>-222890</v>
      </c>
    </row>
    <row r="16" customFormat="false" ht="12" hidden="false" customHeight="true" outlineLevel="0" collapsed="false">
      <c r="A16" s="65" t="s">
        <v>282</v>
      </c>
      <c r="B16" s="66" t="s">
        <v>283</v>
      </c>
      <c r="C16" s="64" t="n">
        <f aca="false">BACKUP!C42</f>
        <v>0</v>
      </c>
      <c r="D16" s="64" t="n">
        <f aca="false">BACKUP!D42</f>
        <v>0</v>
      </c>
      <c r="E16" s="64" t="n">
        <f aca="false">BACKUP!E42</f>
        <v>0</v>
      </c>
      <c r="F16" s="64" t="n">
        <f aca="false">BACKUP!F42</f>
        <v>0</v>
      </c>
      <c r="G16" s="64" t="n">
        <f aca="false">BACKUP!G42</f>
        <v>42</v>
      </c>
      <c r="H16" s="64" t="n">
        <f aca="false">BACKUP!H42</f>
        <v>53</v>
      </c>
      <c r="I16" s="64" t="n">
        <f aca="false">BACKUP!I42</f>
        <v>4541</v>
      </c>
      <c r="J16" s="64" t="n">
        <f aca="false">BACKUP!J42</f>
        <v>5383</v>
      </c>
      <c r="K16" s="64" t="n">
        <f aca="false">BACKUP!K42</f>
        <v>5383</v>
      </c>
      <c r="L16" s="64" t="n">
        <f aca="false">BACKUP!L42</f>
        <v>5383</v>
      </c>
      <c r="M16" s="64" t="n">
        <f aca="false">BACKUP!M42</f>
        <v>5383</v>
      </c>
      <c r="N16" s="64" t="n">
        <f aca="false">BACKUP!N42</f>
        <v>5383</v>
      </c>
      <c r="O16" s="64" t="n">
        <f aca="false">BACKUP!O42</f>
        <v>5383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65" t="str">
        <f aca="false">A16</f>
        <v>3</v>
      </c>
      <c r="AB16" s="66" t="str">
        <f aca="false">B16</f>
        <v>   Asset Price Risk Management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7" t="n">
        <v>0</v>
      </c>
      <c r="AN16" s="67" t="n">
        <v>0</v>
      </c>
      <c r="AO16" s="67" t="n">
        <v>0</v>
      </c>
      <c r="AP16" s="47"/>
      <c r="AQ16" s="64"/>
      <c r="AR16" s="47"/>
      <c r="BA16" s="65" t="str">
        <f aca="false">A16</f>
        <v>3</v>
      </c>
      <c r="BB16" s="66" t="str">
        <f aca="false">B16</f>
        <v>   Asset Price Risk Management</v>
      </c>
      <c r="BC16" s="68" t="n">
        <f aca="false">C16-AC16</f>
        <v>0</v>
      </c>
      <c r="BD16" s="68" t="n">
        <f aca="false">D16-AD16</f>
        <v>0</v>
      </c>
      <c r="BE16" s="68" t="n">
        <f aca="false">E16-AE16</f>
        <v>0</v>
      </c>
      <c r="BF16" s="68" t="n">
        <f aca="false">F16-AF16</f>
        <v>0</v>
      </c>
      <c r="BG16" s="68" t="n">
        <f aca="false">G16-AG16</f>
        <v>42</v>
      </c>
      <c r="BH16" s="68" t="n">
        <f aca="false">H16-AH16</f>
        <v>53</v>
      </c>
      <c r="BI16" s="68" t="n">
        <f aca="false">I16-AI16</f>
        <v>4541</v>
      </c>
      <c r="BJ16" s="68" t="n">
        <f aca="false">J16-AJ16</f>
        <v>5383</v>
      </c>
      <c r="BK16" s="68" t="n">
        <f aca="false">K16-AK16</f>
        <v>5383</v>
      </c>
      <c r="BL16" s="68" t="n">
        <f aca="false">L16-AL16</f>
        <v>5383</v>
      </c>
      <c r="BM16" s="68" t="n">
        <f aca="false">M16-AM16</f>
        <v>5383</v>
      </c>
      <c r="BN16" s="68" t="n">
        <f aca="false">N16-AN16</f>
        <v>5383</v>
      </c>
      <c r="BO16" s="68" t="n">
        <f aca="false">O16-AO16</f>
        <v>5383</v>
      </c>
    </row>
    <row r="17" customFormat="false" ht="12" hidden="false" customHeight="true" outlineLevel="0" collapsed="false">
      <c r="A17" s="65" t="s">
        <v>282</v>
      </c>
      <c r="B17" s="66" t="s">
        <v>284</v>
      </c>
      <c r="C17" s="64" t="n">
        <f aca="false">BACKUP!C60</f>
        <v>4134</v>
      </c>
      <c r="D17" s="64" t="n">
        <f aca="false">BACKUP!D60</f>
        <v>4127</v>
      </c>
      <c r="E17" s="64" t="n">
        <f aca="false">BACKUP!E60</f>
        <v>4133</v>
      </c>
      <c r="F17" s="64" t="n">
        <f aca="false">BACKUP!F60</f>
        <v>4106</v>
      </c>
      <c r="G17" s="64" t="n">
        <f aca="false">BACKUP!G60</f>
        <v>4096</v>
      </c>
      <c r="H17" s="64" t="n">
        <f aca="false">BACKUP!H60</f>
        <v>4063</v>
      </c>
      <c r="I17" s="64" t="n">
        <f aca="false">BACKUP!I60</f>
        <v>4051</v>
      </c>
      <c r="J17" s="64" t="n">
        <f aca="false">BACKUP!J60</f>
        <v>4033</v>
      </c>
      <c r="K17" s="64" t="n">
        <f aca="false">BACKUP!K60</f>
        <v>4033</v>
      </c>
      <c r="L17" s="64" t="n">
        <f aca="false">BACKUP!L60</f>
        <v>4033</v>
      </c>
      <c r="M17" s="64" t="n">
        <f aca="false">BACKUP!M60</f>
        <v>4033</v>
      </c>
      <c r="N17" s="64" t="n">
        <f aca="false">BACKUP!N60</f>
        <v>4033</v>
      </c>
      <c r="O17" s="64" t="n">
        <f aca="false">BACKUP!O60</f>
        <v>4033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65" t="str">
        <f aca="false">A17</f>
        <v>3</v>
      </c>
      <c r="AB17" s="66" t="str">
        <f aca="false">B17</f>
        <v>   Materials and Supplies</v>
      </c>
      <c r="AC17" s="67" t="n">
        <v>0</v>
      </c>
      <c r="AD17" s="67" t="n">
        <v>0</v>
      </c>
      <c r="AE17" s="67" t="n">
        <v>0</v>
      </c>
      <c r="AF17" s="67" t="n">
        <v>0</v>
      </c>
      <c r="AG17" s="67" t="n">
        <v>0</v>
      </c>
      <c r="AH17" s="67" t="n">
        <v>0</v>
      </c>
      <c r="AI17" s="67" t="n">
        <v>0</v>
      </c>
      <c r="AJ17" s="67" t="n">
        <v>0</v>
      </c>
      <c r="AK17" s="67" t="n">
        <v>0</v>
      </c>
      <c r="AL17" s="67" t="n">
        <v>0</v>
      </c>
      <c r="AM17" s="67" t="n">
        <v>0</v>
      </c>
      <c r="AN17" s="67" t="n">
        <v>0</v>
      </c>
      <c r="AO17" s="67" t="n">
        <v>0</v>
      </c>
      <c r="AP17" s="47"/>
      <c r="AQ17" s="64"/>
      <c r="AR17" s="47"/>
      <c r="BA17" s="65" t="str">
        <f aca="false">A17</f>
        <v>3</v>
      </c>
      <c r="BB17" s="66" t="str">
        <f aca="false">B17</f>
        <v>   Materials and Supplies</v>
      </c>
      <c r="BC17" s="68" t="n">
        <f aca="false">C17-AC17</f>
        <v>4134</v>
      </c>
      <c r="BD17" s="68" t="n">
        <f aca="false">D17-AD17</f>
        <v>4127</v>
      </c>
      <c r="BE17" s="68" t="n">
        <f aca="false">E17-AE17</f>
        <v>4133</v>
      </c>
      <c r="BF17" s="68" t="n">
        <f aca="false">F17-AF17</f>
        <v>4106</v>
      </c>
      <c r="BG17" s="68" t="n">
        <f aca="false">G17-AG17</f>
        <v>4096</v>
      </c>
      <c r="BH17" s="68" t="n">
        <f aca="false">H17-AH17</f>
        <v>4063</v>
      </c>
      <c r="BI17" s="68" t="n">
        <f aca="false">I17-AI17</f>
        <v>4051</v>
      </c>
      <c r="BJ17" s="68" t="n">
        <f aca="false">J17-AJ17</f>
        <v>4033</v>
      </c>
      <c r="BK17" s="68" t="n">
        <f aca="false">K17-AK17</f>
        <v>4033</v>
      </c>
      <c r="BL17" s="68" t="n">
        <f aca="false">L17-AL17</f>
        <v>4033</v>
      </c>
      <c r="BM17" s="68" t="n">
        <f aca="false">M17-AM17</f>
        <v>4033</v>
      </c>
      <c r="BN17" s="68" t="n">
        <f aca="false">N17-AN17</f>
        <v>4033</v>
      </c>
      <c r="BO17" s="68" t="n">
        <f aca="false">O17-AO17</f>
        <v>4033</v>
      </c>
    </row>
    <row r="18" customFormat="false" ht="12" hidden="false" customHeight="true" outlineLevel="0" collapsed="false">
      <c r="A18" s="65" t="s">
        <v>285</v>
      </c>
      <c r="B18" s="66" t="s">
        <v>286</v>
      </c>
      <c r="C18" s="64" t="n">
        <f aca="false">BACKUP!C67</f>
        <v>11991</v>
      </c>
      <c r="D18" s="64" t="n">
        <f aca="false">BACKUP!D67</f>
        <v>14096</v>
      </c>
      <c r="E18" s="64" t="n">
        <f aca="false">BACKUP!E67</f>
        <v>12657</v>
      </c>
      <c r="F18" s="64" t="n">
        <f aca="false">BACKUP!F67</f>
        <v>12433</v>
      </c>
      <c r="G18" s="64" t="n">
        <f aca="false">BACKUP!G67</f>
        <v>14203</v>
      </c>
      <c r="H18" s="64" t="n">
        <f aca="false">BACKUP!H67</f>
        <v>15118</v>
      </c>
      <c r="I18" s="64" t="n">
        <f aca="false">BACKUP!I67</f>
        <v>15077</v>
      </c>
      <c r="J18" s="64" t="n">
        <f aca="false">BACKUP!J67</f>
        <v>14543</v>
      </c>
      <c r="K18" s="64" t="n">
        <f aca="false">BACKUP!K67</f>
        <v>14543</v>
      </c>
      <c r="L18" s="64" t="n">
        <f aca="false">BACKUP!L67</f>
        <v>14543</v>
      </c>
      <c r="M18" s="64" t="n">
        <f aca="false">BACKUP!M67</f>
        <v>14543</v>
      </c>
      <c r="N18" s="64" t="n">
        <f aca="false">BACKUP!N67</f>
        <v>14543</v>
      </c>
      <c r="O18" s="64" t="n">
        <f aca="false">BACKUP!O67</f>
        <v>14543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65" t="str">
        <f aca="false">A18</f>
        <v>4</v>
      </c>
      <c r="AB18" s="66" t="str">
        <f aca="false">B18</f>
        <v>   Exchange Gas Receivable</v>
      </c>
      <c r="AC18" s="67" t="n">
        <v>0</v>
      </c>
      <c r="AD18" s="67" t="n">
        <v>0</v>
      </c>
      <c r="AE18" s="67" t="n">
        <v>0</v>
      </c>
      <c r="AF18" s="67" t="n">
        <v>0</v>
      </c>
      <c r="AG18" s="67" t="n">
        <v>0</v>
      </c>
      <c r="AH18" s="67" t="n">
        <v>0</v>
      </c>
      <c r="AI18" s="67" t="n">
        <v>0</v>
      </c>
      <c r="AJ18" s="67" t="n">
        <v>0</v>
      </c>
      <c r="AK18" s="67" t="n">
        <v>0</v>
      </c>
      <c r="AL18" s="67" t="n">
        <v>0</v>
      </c>
      <c r="AM18" s="67" t="n">
        <v>0</v>
      </c>
      <c r="AN18" s="67" t="n">
        <v>0</v>
      </c>
      <c r="AO18" s="67" t="n">
        <v>0</v>
      </c>
      <c r="AP18" s="47"/>
      <c r="AQ18" s="64"/>
      <c r="AR18" s="47"/>
      <c r="BA18" s="65" t="str">
        <f aca="false">A18</f>
        <v>4</v>
      </c>
      <c r="BB18" s="66" t="str">
        <f aca="false">B18</f>
        <v>   Exchange Gas Receivable</v>
      </c>
      <c r="BC18" s="68" t="n">
        <f aca="false">C18-AC18</f>
        <v>11991</v>
      </c>
      <c r="BD18" s="68" t="n">
        <f aca="false">D18-AD18</f>
        <v>14096</v>
      </c>
      <c r="BE18" s="68" t="n">
        <f aca="false">E18-AE18</f>
        <v>12657</v>
      </c>
      <c r="BF18" s="68" t="n">
        <f aca="false">F18-AF18</f>
        <v>12433</v>
      </c>
      <c r="BG18" s="68" t="n">
        <f aca="false">G18-AG18</f>
        <v>14203</v>
      </c>
      <c r="BH18" s="68" t="n">
        <f aca="false">H18-AH18</f>
        <v>15118</v>
      </c>
      <c r="BI18" s="68" t="n">
        <f aca="false">I18-AI18</f>
        <v>15077</v>
      </c>
      <c r="BJ18" s="68" t="n">
        <f aca="false">J18-AJ18</f>
        <v>14543</v>
      </c>
      <c r="BK18" s="68" t="n">
        <f aca="false">K18-AK18</f>
        <v>14543</v>
      </c>
      <c r="BL18" s="68" t="n">
        <f aca="false">L18-AL18</f>
        <v>14543</v>
      </c>
      <c r="BM18" s="68" t="n">
        <f aca="false">M18-AM18</f>
        <v>14543</v>
      </c>
      <c r="BN18" s="68" t="n">
        <f aca="false">N18-AN18</f>
        <v>14543</v>
      </c>
      <c r="BO18" s="68" t="n">
        <f aca="false">O18-AO18</f>
        <v>14543</v>
      </c>
    </row>
    <row r="19" customFormat="false" ht="12" hidden="false" customHeight="true" outlineLevel="0" collapsed="false">
      <c r="A19" s="65" t="s">
        <v>285</v>
      </c>
      <c r="B19" s="66" t="s">
        <v>287</v>
      </c>
      <c r="C19" s="69" t="n">
        <v>0</v>
      </c>
      <c r="D19" s="69" t="n">
        <v>0</v>
      </c>
      <c r="E19" s="69" t="n">
        <v>0</v>
      </c>
      <c r="F19" s="69" t="n">
        <v>0</v>
      </c>
      <c r="G19" s="69" t="n">
        <v>0</v>
      </c>
      <c r="H19" s="69" t="n">
        <v>0</v>
      </c>
      <c r="I19" s="69" t="n">
        <v>0</v>
      </c>
      <c r="J19" s="69" t="n">
        <v>0</v>
      </c>
      <c r="K19" s="69" t="n">
        <v>0</v>
      </c>
      <c r="L19" s="69" t="n">
        <v>0</v>
      </c>
      <c r="M19" s="69" t="n">
        <v>0</v>
      </c>
      <c r="N19" s="69" t="n">
        <v>0</v>
      </c>
      <c r="O19" s="69" t="n">
        <v>0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65" t="str">
        <f aca="false">A19</f>
        <v>4</v>
      </c>
      <c r="AB19" s="66" t="str">
        <f aca="false">B19</f>
        <v>   (Over) / Under Recovered Gas Cost</v>
      </c>
      <c r="AC19" s="67" t="n">
        <v>0</v>
      </c>
      <c r="AD19" s="67" t="n">
        <v>0</v>
      </c>
      <c r="AE19" s="67" t="n">
        <v>0</v>
      </c>
      <c r="AF19" s="67" t="n">
        <v>0</v>
      </c>
      <c r="AG19" s="67" t="n">
        <v>0</v>
      </c>
      <c r="AH19" s="67" t="n">
        <v>0</v>
      </c>
      <c r="AI19" s="67" t="n">
        <v>0</v>
      </c>
      <c r="AJ19" s="67" t="n">
        <v>0</v>
      </c>
      <c r="AK19" s="67" t="n">
        <v>0</v>
      </c>
      <c r="AL19" s="67" t="n">
        <v>0</v>
      </c>
      <c r="AM19" s="67" t="n">
        <v>0</v>
      </c>
      <c r="AN19" s="67" t="n">
        <v>0</v>
      </c>
      <c r="AO19" s="67" t="n">
        <v>0</v>
      </c>
      <c r="AP19" s="47"/>
      <c r="AQ19" s="64"/>
      <c r="AR19" s="47"/>
      <c r="BA19" s="65" t="str">
        <f aca="false">A19</f>
        <v>4</v>
      </c>
      <c r="BB19" s="66" t="str">
        <f aca="false">B19</f>
        <v>   (Over) / Under Recovered Gas Cost</v>
      </c>
      <c r="BC19" s="68" t="n">
        <f aca="false">C19-AC19</f>
        <v>0</v>
      </c>
      <c r="BD19" s="68" t="n">
        <f aca="false">D19-AD19</f>
        <v>0</v>
      </c>
      <c r="BE19" s="68" t="n">
        <f aca="false">E19-AE19</f>
        <v>0</v>
      </c>
      <c r="BF19" s="68" t="n">
        <f aca="false">F19-AF19</f>
        <v>0</v>
      </c>
      <c r="BG19" s="68" t="n">
        <f aca="false">G19-AG19</f>
        <v>0</v>
      </c>
      <c r="BH19" s="68" t="n">
        <f aca="false">H19-AH19</f>
        <v>0</v>
      </c>
      <c r="BI19" s="68" t="n">
        <f aca="false">I19-AI19</f>
        <v>0</v>
      </c>
      <c r="BJ19" s="68" t="n">
        <f aca="false">J19-AJ19</f>
        <v>0</v>
      </c>
      <c r="BK19" s="68" t="n">
        <f aca="false">K19-AK19</f>
        <v>0</v>
      </c>
      <c r="BL19" s="68" t="n">
        <f aca="false">L19-AL19</f>
        <v>0</v>
      </c>
      <c r="BM19" s="68" t="n">
        <f aca="false">M19-AM19</f>
        <v>0</v>
      </c>
      <c r="BN19" s="68" t="n">
        <f aca="false">N19-AN19</f>
        <v>0</v>
      </c>
      <c r="BO19" s="68" t="n">
        <f aca="false">O19-AO19</f>
        <v>0</v>
      </c>
    </row>
    <row r="20" customFormat="false" ht="12" hidden="false" customHeight="true" outlineLevel="0" collapsed="false">
      <c r="A20" s="65" t="s">
        <v>285</v>
      </c>
      <c r="B20" s="66" t="s">
        <v>288</v>
      </c>
      <c r="C20" s="64" t="n">
        <f aca="false">BACKUP!C53</f>
        <v>6</v>
      </c>
      <c r="D20" s="64" t="n">
        <f aca="false">BACKUP!D53</f>
        <v>5</v>
      </c>
      <c r="E20" s="64" t="n">
        <f aca="false">BACKUP!E53</f>
        <v>4</v>
      </c>
      <c r="F20" s="64" t="n">
        <f aca="false">BACKUP!F53</f>
        <v>3</v>
      </c>
      <c r="G20" s="64" t="n">
        <f aca="false">BACKUP!G53</f>
        <v>3</v>
      </c>
      <c r="H20" s="64" t="n">
        <f aca="false">BACKUP!H53</f>
        <v>2</v>
      </c>
      <c r="I20" s="64" t="n">
        <f aca="false">BACKUP!I53</f>
        <v>1</v>
      </c>
      <c r="J20" s="64" t="n">
        <f aca="false">BACKUP!J53</f>
        <v>0</v>
      </c>
      <c r="K20" s="64" t="n">
        <f aca="false">BACKUP!K53</f>
        <v>0</v>
      </c>
      <c r="L20" s="64" t="n">
        <f aca="false">BACKUP!L53</f>
        <v>0</v>
      </c>
      <c r="M20" s="64" t="n">
        <f aca="false">BACKUP!M53</f>
        <v>0</v>
      </c>
      <c r="N20" s="64" t="n">
        <f aca="false">BACKUP!N53</f>
        <v>0</v>
      </c>
      <c r="O20" s="64" t="n">
        <f aca="false">BACKUP!O53</f>
        <v>156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65" t="str">
        <f aca="false">A20</f>
        <v>4</v>
      </c>
      <c r="AB20" s="66" t="str">
        <f aca="false">B20</f>
        <v>   Prepayments</v>
      </c>
      <c r="AC20" s="67" t="n">
        <v>0</v>
      </c>
      <c r="AD20" s="67" t="n">
        <v>0</v>
      </c>
      <c r="AE20" s="67" t="n">
        <v>0</v>
      </c>
      <c r="AF20" s="67" t="n">
        <v>0</v>
      </c>
      <c r="AG20" s="67" t="n">
        <v>0</v>
      </c>
      <c r="AH20" s="67" t="n">
        <v>0</v>
      </c>
      <c r="AI20" s="67" t="n">
        <v>0</v>
      </c>
      <c r="AJ20" s="67" t="n">
        <v>0</v>
      </c>
      <c r="AK20" s="67" t="n">
        <v>0</v>
      </c>
      <c r="AL20" s="67" t="n">
        <v>0</v>
      </c>
      <c r="AM20" s="67" t="n">
        <v>0</v>
      </c>
      <c r="AN20" s="67" t="n">
        <v>0</v>
      </c>
      <c r="AO20" s="67" t="n">
        <v>0</v>
      </c>
      <c r="AP20" s="47"/>
      <c r="AQ20" s="64"/>
      <c r="AR20" s="47"/>
      <c r="BA20" s="65" t="str">
        <f aca="false">A20</f>
        <v>4</v>
      </c>
      <c r="BB20" s="66" t="str">
        <f aca="false">B20</f>
        <v>   Prepayments</v>
      </c>
      <c r="BC20" s="68" t="n">
        <f aca="false">C20-AC20</f>
        <v>6</v>
      </c>
      <c r="BD20" s="68" t="n">
        <f aca="false">D20-AD20</f>
        <v>5</v>
      </c>
      <c r="BE20" s="68" t="n">
        <f aca="false">E20-AE20</f>
        <v>4</v>
      </c>
      <c r="BF20" s="68" t="n">
        <f aca="false">F20-AF20</f>
        <v>3</v>
      </c>
      <c r="BG20" s="68" t="n">
        <f aca="false">G20-AG20</f>
        <v>3</v>
      </c>
      <c r="BH20" s="68" t="n">
        <f aca="false">H20-AH20</f>
        <v>2</v>
      </c>
      <c r="BI20" s="68" t="n">
        <f aca="false">I20-AI20</f>
        <v>1</v>
      </c>
      <c r="BJ20" s="68" t="n">
        <f aca="false">J20-AJ20</f>
        <v>0</v>
      </c>
      <c r="BK20" s="68" t="n">
        <f aca="false">K20-AK20</f>
        <v>0</v>
      </c>
      <c r="BL20" s="68" t="n">
        <f aca="false">L20-AL20</f>
        <v>0</v>
      </c>
      <c r="BM20" s="68" t="n">
        <f aca="false">M20-AM20</f>
        <v>0</v>
      </c>
      <c r="BN20" s="68" t="n">
        <f aca="false">N20-AN20</f>
        <v>0</v>
      </c>
      <c r="BO20" s="68" t="n">
        <f aca="false">O20-AO20</f>
        <v>156</v>
      </c>
    </row>
    <row r="21" customFormat="false" ht="12" hidden="false" customHeight="true" outlineLevel="0" collapsed="false">
      <c r="A21" s="65" t="s">
        <v>289</v>
      </c>
      <c r="B21" s="66" t="s">
        <v>290</v>
      </c>
      <c r="C21" s="64" t="n">
        <f aca="false">BACKUP!C98</f>
        <v>6553</v>
      </c>
      <c r="D21" s="64" t="n">
        <f aca="false">BACKUP!D98</f>
        <v>6456</v>
      </c>
      <c r="E21" s="64" t="n">
        <f aca="false">BACKUP!E98</f>
        <v>6359</v>
      </c>
      <c r="F21" s="64" t="n">
        <f aca="false">BACKUP!F98</f>
        <v>5681</v>
      </c>
      <c r="G21" s="64" t="n">
        <f aca="false">BACKUP!G98</f>
        <v>5681</v>
      </c>
      <c r="H21" s="64" t="n">
        <f aca="false">BACKUP!H98</f>
        <v>5681</v>
      </c>
      <c r="I21" s="64" t="n">
        <f aca="false">BACKUP!I98</f>
        <v>5681</v>
      </c>
      <c r="J21" s="64" t="n">
        <f aca="false">BACKUP!J98</f>
        <v>5660</v>
      </c>
      <c r="K21" s="64" t="n">
        <f aca="false">BACKUP!K98</f>
        <v>5660</v>
      </c>
      <c r="L21" s="64" t="n">
        <f aca="false">BACKUP!L98</f>
        <v>6860</v>
      </c>
      <c r="M21" s="64" t="n">
        <f aca="false">BACKUP!M98</f>
        <v>6760</v>
      </c>
      <c r="N21" s="64" t="n">
        <f aca="false">BACKUP!N98</f>
        <v>6660</v>
      </c>
      <c r="O21" s="64" t="n">
        <f aca="false">BACKUP!O98</f>
        <v>6560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65" t="str">
        <f aca="false">A21</f>
        <v>8</v>
      </c>
      <c r="AB21" s="66" t="str">
        <f aca="false">B21</f>
        <v>   Regulatory Assets</v>
      </c>
      <c r="AC21" s="67" t="n">
        <v>0</v>
      </c>
      <c r="AD21" s="67" t="n">
        <v>0</v>
      </c>
      <c r="AE21" s="67" t="n">
        <v>0</v>
      </c>
      <c r="AF21" s="67" t="n">
        <v>0</v>
      </c>
      <c r="AG21" s="67" t="n">
        <v>0</v>
      </c>
      <c r="AH21" s="67" t="n">
        <v>0</v>
      </c>
      <c r="AI21" s="67" t="n">
        <v>0</v>
      </c>
      <c r="AJ21" s="67" t="n">
        <v>0</v>
      </c>
      <c r="AK21" s="67" t="n">
        <v>0</v>
      </c>
      <c r="AL21" s="67" t="n">
        <v>0</v>
      </c>
      <c r="AM21" s="67" t="n">
        <v>0</v>
      </c>
      <c r="AN21" s="67" t="n">
        <v>0</v>
      </c>
      <c r="AO21" s="67" t="n">
        <v>0</v>
      </c>
      <c r="AP21" s="47"/>
      <c r="AQ21" s="64"/>
      <c r="AR21" s="47"/>
      <c r="BA21" s="65" t="str">
        <f aca="false">A21</f>
        <v>8</v>
      </c>
      <c r="BB21" s="66" t="str">
        <f aca="false">B21</f>
        <v>   Regulatory Assets</v>
      </c>
      <c r="BC21" s="68" t="n">
        <f aca="false">C21-AC21</f>
        <v>6553</v>
      </c>
      <c r="BD21" s="68" t="n">
        <f aca="false">D21-AD21</f>
        <v>6456</v>
      </c>
      <c r="BE21" s="68" t="n">
        <f aca="false">E21-AE21</f>
        <v>6359</v>
      </c>
      <c r="BF21" s="68" t="n">
        <f aca="false">F21-AF21</f>
        <v>5681</v>
      </c>
      <c r="BG21" s="68" t="n">
        <f aca="false">G21-AG21</f>
        <v>5681</v>
      </c>
      <c r="BH21" s="68" t="n">
        <f aca="false">H21-AH21</f>
        <v>5681</v>
      </c>
      <c r="BI21" s="68" t="n">
        <f aca="false">I21-AI21</f>
        <v>5681</v>
      </c>
      <c r="BJ21" s="68" t="n">
        <f aca="false">J21-AJ21</f>
        <v>5660</v>
      </c>
      <c r="BK21" s="68" t="n">
        <f aca="false">K21-AK21</f>
        <v>5660</v>
      </c>
      <c r="BL21" s="68" t="n">
        <f aca="false">L21-AL21</f>
        <v>6860</v>
      </c>
      <c r="BM21" s="68" t="n">
        <f aca="false">M21-AM21</f>
        <v>6760</v>
      </c>
      <c r="BN21" s="68" t="n">
        <f aca="false">N21-AN21</f>
        <v>6660</v>
      </c>
      <c r="BO21" s="68" t="n">
        <f aca="false">O21-AO21</f>
        <v>6560</v>
      </c>
    </row>
    <row r="22" customFormat="false" ht="12" hidden="false" customHeight="true" outlineLevel="0" collapsed="false">
      <c r="A22" s="65" t="s">
        <v>285</v>
      </c>
      <c r="B22" s="66" t="s">
        <v>40</v>
      </c>
      <c r="C22" s="70" t="n">
        <f aca="false">BACKUP!C107</f>
        <v>58</v>
      </c>
      <c r="D22" s="70" t="n">
        <f aca="false">BACKUP!D107</f>
        <v>-37</v>
      </c>
      <c r="E22" s="70" t="n">
        <f aca="false">BACKUP!E107</f>
        <v>1052</v>
      </c>
      <c r="F22" s="70" t="n">
        <f aca="false">BACKUP!F107</f>
        <v>0</v>
      </c>
      <c r="G22" s="70" t="n">
        <f aca="false">BACKUP!G107</f>
        <v>0</v>
      </c>
      <c r="H22" s="70" t="n">
        <f aca="false">BACKUP!H107</f>
        <v>0</v>
      </c>
      <c r="I22" s="70" t="n">
        <f aca="false">BACKUP!I107</f>
        <v>0</v>
      </c>
      <c r="J22" s="70" t="n">
        <f aca="false">BACKUP!J107</f>
        <v>1</v>
      </c>
      <c r="K22" s="70" t="n">
        <f aca="false">BACKUP!K107</f>
        <v>1</v>
      </c>
      <c r="L22" s="70" t="n">
        <f aca="false">BACKUP!L107</f>
        <v>1</v>
      </c>
      <c r="M22" s="70" t="n">
        <f aca="false">BACKUP!M107</f>
        <v>1</v>
      </c>
      <c r="N22" s="70" t="n">
        <f aca="false">BACKUP!N107</f>
        <v>1</v>
      </c>
      <c r="O22" s="70" t="n">
        <f aca="false">BACKUP!O107</f>
        <v>1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65" t="str">
        <f aca="false">A22</f>
        <v>4</v>
      </c>
      <c r="AB22" s="66" t="str">
        <f aca="false">B22</f>
        <v>   Other</v>
      </c>
      <c r="AC22" s="71" t="n">
        <v>0</v>
      </c>
      <c r="AD22" s="71" t="n">
        <v>0</v>
      </c>
      <c r="AE22" s="71" t="n">
        <v>0</v>
      </c>
      <c r="AF22" s="71" t="n">
        <v>0</v>
      </c>
      <c r="AG22" s="71" t="n">
        <v>0</v>
      </c>
      <c r="AH22" s="71" t="n">
        <v>0</v>
      </c>
      <c r="AI22" s="71" t="n">
        <v>0</v>
      </c>
      <c r="AJ22" s="71" t="n">
        <v>0</v>
      </c>
      <c r="AK22" s="71" t="n">
        <v>0</v>
      </c>
      <c r="AL22" s="71" t="n">
        <v>0</v>
      </c>
      <c r="AM22" s="71" t="n">
        <v>0</v>
      </c>
      <c r="AN22" s="71" t="n">
        <v>0</v>
      </c>
      <c r="AO22" s="71" t="n">
        <v>0</v>
      </c>
      <c r="AP22" s="47"/>
      <c r="AQ22" s="64"/>
      <c r="AR22" s="47"/>
      <c r="BA22" s="65" t="str">
        <f aca="false">A22</f>
        <v>4</v>
      </c>
      <c r="BB22" s="66" t="str">
        <f aca="false">B22</f>
        <v>   Other</v>
      </c>
      <c r="BC22" s="72" t="n">
        <f aca="false">C22-AC22</f>
        <v>58</v>
      </c>
      <c r="BD22" s="72" t="n">
        <f aca="false">D22-AD22</f>
        <v>-37</v>
      </c>
      <c r="BE22" s="72" t="n">
        <f aca="false">E22-AE22</f>
        <v>1052</v>
      </c>
      <c r="BF22" s="72" t="n">
        <f aca="false">F22-AF22</f>
        <v>0</v>
      </c>
      <c r="BG22" s="72" t="n">
        <f aca="false">G22-AG22</f>
        <v>0</v>
      </c>
      <c r="BH22" s="72" t="n">
        <f aca="false">H22-AH22</f>
        <v>0</v>
      </c>
      <c r="BI22" s="72" t="n">
        <f aca="false">I22-AI22</f>
        <v>0</v>
      </c>
      <c r="BJ22" s="72" t="n">
        <f aca="false">J22-AJ22</f>
        <v>1</v>
      </c>
      <c r="BK22" s="72" t="n">
        <f aca="false">K22-AK22</f>
        <v>1</v>
      </c>
      <c r="BL22" s="72" t="n">
        <f aca="false">L22-AL22</f>
        <v>1</v>
      </c>
      <c r="BM22" s="72" t="n">
        <f aca="false">M22-AM22</f>
        <v>1</v>
      </c>
      <c r="BN22" s="72" t="n">
        <f aca="false">N22-AN22</f>
        <v>1</v>
      </c>
      <c r="BO22" s="72" t="n">
        <f aca="false">O22-AO22</f>
        <v>1</v>
      </c>
    </row>
    <row r="23" customFormat="false" ht="3.95" hidden="false" customHeight="true" outlineLevel="0" collapsed="fals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</row>
    <row r="24" customFormat="false" ht="14.65" hidden="false" customHeight="false" outlineLevel="0" collapsed="false">
      <c r="A24" s="44"/>
      <c r="B24" s="63" t="s">
        <v>291</v>
      </c>
      <c r="C24" s="70" t="n">
        <f aca="false">SUM(C12:C23)</f>
        <v>408348</v>
      </c>
      <c r="D24" s="70" t="n">
        <f aca="false">SUM(D12:D23)</f>
        <v>419943</v>
      </c>
      <c r="E24" s="70" t="n">
        <f aca="false">SUM(E12:E23)</f>
        <v>430329</v>
      </c>
      <c r="F24" s="70" t="n">
        <f aca="false">SUM(F12:F23)</f>
        <v>457472</v>
      </c>
      <c r="G24" s="70" t="n">
        <f aca="false">SUM(G12:G23)</f>
        <v>448862</v>
      </c>
      <c r="H24" s="70" t="n">
        <f aca="false">SUM(H12:H23)</f>
        <v>442800</v>
      </c>
      <c r="I24" s="70" t="n">
        <f aca="false">SUM(I12:I23)</f>
        <v>303975</v>
      </c>
      <c r="J24" s="70" t="n">
        <f aca="false">SUM(J12:J23)</f>
        <v>311816</v>
      </c>
      <c r="K24" s="70" t="n">
        <f aca="false">SUM(K12:K23)</f>
        <v>325071</v>
      </c>
      <c r="L24" s="70" t="n">
        <f aca="false">SUM(L12:L23)</f>
        <v>322709</v>
      </c>
      <c r="M24" s="70" t="n">
        <f aca="false">SUM(M12:M23)</f>
        <v>327195</v>
      </c>
      <c r="N24" s="70" t="n">
        <f aca="false">SUM(N12:N23)</f>
        <v>320458</v>
      </c>
      <c r="O24" s="70" t="n">
        <f aca="false">SUM(O12:O23)</f>
        <v>315301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4"/>
      <c r="AB24" s="63" t="str">
        <f aca="false">B24</f>
        <v>      Total Current Assets</v>
      </c>
      <c r="AC24" s="70" t="n">
        <f aca="false">SUM(AC12:AC23)</f>
        <v>-5</v>
      </c>
      <c r="AD24" s="70" t="n">
        <f aca="false">SUM(AD12:AD23)</f>
        <v>-5</v>
      </c>
      <c r="AE24" s="70" t="n">
        <f aca="false">SUM(AE12:AE23)</f>
        <v>-5</v>
      </c>
      <c r="AF24" s="70" t="n">
        <f aca="false">SUM(AF12:AF23)</f>
        <v>-5</v>
      </c>
      <c r="AG24" s="70" t="n">
        <f aca="false">SUM(AG12:AG23)</f>
        <v>-5</v>
      </c>
      <c r="AH24" s="70" t="n">
        <f aca="false">SUM(AH12:AH23)</f>
        <v>-5</v>
      </c>
      <c r="AI24" s="70" t="n">
        <f aca="false">SUM(AI12:AI23)</f>
        <v>-5</v>
      </c>
      <c r="AJ24" s="70" t="n">
        <f aca="false">SUM(AJ12:AJ23)</f>
        <v>-5</v>
      </c>
      <c r="AK24" s="70" t="n">
        <f aca="false">SUM(AK12:AK23)</f>
        <v>-5</v>
      </c>
      <c r="AL24" s="70" t="n">
        <f aca="false">SUM(AL12:AL23)</f>
        <v>-5</v>
      </c>
      <c r="AM24" s="70" t="n">
        <f aca="false">SUM(AM12:AM23)</f>
        <v>-5</v>
      </c>
      <c r="AN24" s="70" t="n">
        <f aca="false">SUM(AN12:AN23)</f>
        <v>-5</v>
      </c>
      <c r="AO24" s="70" t="n">
        <f aca="false">SUM(AO12:AO23)</f>
        <v>-5</v>
      </c>
      <c r="AP24" s="47"/>
      <c r="AQ24" s="64"/>
      <c r="AR24" s="47"/>
      <c r="BA24" s="44"/>
      <c r="BB24" s="63" t="str">
        <f aca="false">B24</f>
        <v>      Total Current Assets</v>
      </c>
      <c r="BC24" s="70" t="n">
        <f aca="false">SUM(BC12:BC23)</f>
        <v>408353</v>
      </c>
      <c r="BD24" s="70" t="n">
        <f aca="false">SUM(BD12:BD23)</f>
        <v>419948</v>
      </c>
      <c r="BE24" s="70" t="n">
        <f aca="false">SUM(BE12:BE23)</f>
        <v>430334</v>
      </c>
      <c r="BF24" s="70" t="n">
        <f aca="false">SUM(BF12:BF23)</f>
        <v>457477</v>
      </c>
      <c r="BG24" s="70" t="n">
        <f aca="false">SUM(BG12:BG23)</f>
        <v>448867</v>
      </c>
      <c r="BH24" s="70" t="n">
        <f aca="false">SUM(BH12:BH23)</f>
        <v>442805</v>
      </c>
      <c r="BI24" s="70" t="n">
        <f aca="false">SUM(BI12:BI23)</f>
        <v>303980</v>
      </c>
      <c r="BJ24" s="70" t="n">
        <f aca="false">SUM(BJ12:BJ23)</f>
        <v>311821</v>
      </c>
      <c r="BK24" s="70" t="n">
        <f aca="false">SUM(BK12:BK23)</f>
        <v>325076</v>
      </c>
      <c r="BL24" s="70" t="n">
        <f aca="false">SUM(BL12:BL23)</f>
        <v>322714</v>
      </c>
      <c r="BM24" s="70" t="n">
        <f aca="false">SUM(BM12:BM23)</f>
        <v>327200</v>
      </c>
      <c r="BN24" s="70" t="n">
        <f aca="false">SUM(BN12:BN23)</f>
        <v>320463</v>
      </c>
      <c r="BO24" s="70" t="n">
        <f aca="false">SUM(BO12:BO23)</f>
        <v>315306</v>
      </c>
    </row>
    <row r="25" customFormat="false" ht="14.65" hidden="false" customHeight="false" outlineLevel="0" collapsed="false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</row>
    <row r="26" customFormat="false" ht="14.65" hidden="false" customHeight="false" outlineLevel="0" collapsed="false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64"/>
      <c r="AR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</row>
    <row r="27" customFormat="false" ht="14.65" hidden="false" customHeight="false" outlineLevel="0" collapsed="false">
      <c r="A27" s="44"/>
      <c r="B27" s="63" t="s">
        <v>292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4"/>
      <c r="AB27" s="63" t="str">
        <f aca="false">B27</f>
        <v>INVESTMENTS AND OTHER ASSETS</v>
      </c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64"/>
      <c r="AR27" s="47"/>
      <c r="BA27" s="44"/>
      <c r="BB27" s="63" t="str">
        <f aca="false">B27</f>
        <v>INVESTMENTS AND OTHER ASSETS</v>
      </c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</row>
    <row r="28" customFormat="false" ht="14.65" hidden="false" customHeight="false" outlineLevel="0" collapsed="false">
      <c r="A28" s="65" t="s">
        <v>293</v>
      </c>
      <c r="B28" s="66" t="s">
        <v>294</v>
      </c>
      <c r="C28" s="64" t="n">
        <f aca="false">BACKUP!C116</f>
        <v>0</v>
      </c>
      <c r="D28" s="64" t="n">
        <f aca="false">BACKUP!D116</f>
        <v>0</v>
      </c>
      <c r="E28" s="64" t="n">
        <f aca="false">BACKUP!E116</f>
        <v>0</v>
      </c>
      <c r="F28" s="64" t="n">
        <f aca="false">BACKUP!F116</f>
        <v>0</v>
      </c>
      <c r="G28" s="64" t="n">
        <f aca="false">BACKUP!G116</f>
        <v>0</v>
      </c>
      <c r="H28" s="64" t="n">
        <f aca="false">BACKUP!H116</f>
        <v>0</v>
      </c>
      <c r="I28" s="64" t="n">
        <f aca="false">BACKUP!I116</f>
        <v>0</v>
      </c>
      <c r="J28" s="64" t="n">
        <f aca="false">BACKUP!J116</f>
        <v>0</v>
      </c>
      <c r="K28" s="64" t="n">
        <f aca="false">BACKUP!K116</f>
        <v>0</v>
      </c>
      <c r="L28" s="64" t="n">
        <f aca="false">BACKUP!L116</f>
        <v>0</v>
      </c>
      <c r="M28" s="64" t="n">
        <f aca="false">BACKUP!M116</f>
        <v>0</v>
      </c>
      <c r="N28" s="64" t="n">
        <f aca="false">BACKUP!N116</f>
        <v>0</v>
      </c>
      <c r="O28" s="64" t="n">
        <f aca="false">BACKUP!O116</f>
        <v>0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65" t="str">
        <f aca="false">A28</f>
        <v>5</v>
      </c>
      <c r="AB28" s="66" t="str">
        <f aca="false">B28</f>
        <v>   Pipeline Partnerships</v>
      </c>
      <c r="AC28" s="68" t="n">
        <f aca="false">C28</f>
        <v>0</v>
      </c>
      <c r="AD28" s="68" t="n">
        <f aca="false">D28</f>
        <v>0</v>
      </c>
      <c r="AE28" s="68" t="n">
        <f aca="false">E28</f>
        <v>0</v>
      </c>
      <c r="AF28" s="68" t="n">
        <f aca="false">F28</f>
        <v>0</v>
      </c>
      <c r="AG28" s="68" t="n">
        <f aca="false">G28</f>
        <v>0</v>
      </c>
      <c r="AH28" s="68" t="n">
        <f aca="false">H28</f>
        <v>0</v>
      </c>
      <c r="AI28" s="68" t="n">
        <f aca="false">I28</f>
        <v>0</v>
      </c>
      <c r="AJ28" s="68" t="n">
        <f aca="false">J28</f>
        <v>0</v>
      </c>
      <c r="AK28" s="68" t="n">
        <f aca="false">K28</f>
        <v>0</v>
      </c>
      <c r="AL28" s="68" t="n">
        <f aca="false">L28</f>
        <v>0</v>
      </c>
      <c r="AM28" s="68" t="n">
        <f aca="false">M28</f>
        <v>0</v>
      </c>
      <c r="AN28" s="68" t="n">
        <f aca="false">N28</f>
        <v>0</v>
      </c>
      <c r="AO28" s="68" t="n">
        <f aca="false">O28</f>
        <v>0</v>
      </c>
      <c r="AP28" s="47"/>
      <c r="AQ28" s="64"/>
      <c r="AR28" s="47"/>
      <c r="BA28" s="65" t="str">
        <f aca="false">A28</f>
        <v>5</v>
      </c>
      <c r="BB28" s="66" t="str">
        <f aca="false">B28</f>
        <v>   Pipeline Partnerships</v>
      </c>
      <c r="BC28" s="68" t="n">
        <f aca="false">C28-AC28</f>
        <v>0</v>
      </c>
      <c r="BD28" s="68" t="n">
        <f aca="false">D28-AD28</f>
        <v>0</v>
      </c>
      <c r="BE28" s="68" t="n">
        <f aca="false">E28-AE28</f>
        <v>0</v>
      </c>
      <c r="BF28" s="68" t="n">
        <f aca="false">F28-AF28</f>
        <v>0</v>
      </c>
      <c r="BG28" s="68" t="n">
        <f aca="false">G28-AG28</f>
        <v>0</v>
      </c>
      <c r="BH28" s="68" t="n">
        <f aca="false">H28-AH28</f>
        <v>0</v>
      </c>
      <c r="BI28" s="68" t="n">
        <f aca="false">I28-AI28</f>
        <v>0</v>
      </c>
      <c r="BJ28" s="68" t="n">
        <f aca="false">J28-AJ28</f>
        <v>0</v>
      </c>
      <c r="BK28" s="68" t="n">
        <f aca="false">K28-AK28</f>
        <v>0</v>
      </c>
      <c r="BL28" s="68" t="n">
        <f aca="false">L28-AL28</f>
        <v>0</v>
      </c>
      <c r="BM28" s="68" t="n">
        <f aca="false">M28-AM28</f>
        <v>0</v>
      </c>
      <c r="BN28" s="68" t="n">
        <f aca="false">N28-AN28</f>
        <v>0</v>
      </c>
      <c r="BO28" s="68" t="n">
        <f aca="false">O28-AO28</f>
        <v>0</v>
      </c>
    </row>
    <row r="29" customFormat="false" ht="14.65" hidden="false" customHeight="false" outlineLevel="0" collapsed="false">
      <c r="A29" s="65" t="s">
        <v>295</v>
      </c>
      <c r="B29" s="66" t="s">
        <v>283</v>
      </c>
      <c r="C29" s="64" t="n">
        <f aca="false">BACKUP!C177</f>
        <v>0</v>
      </c>
      <c r="D29" s="64" t="n">
        <f aca="false">BACKUP!D177</f>
        <v>128</v>
      </c>
      <c r="E29" s="64" t="n">
        <f aca="false">BACKUP!E177</f>
        <v>128</v>
      </c>
      <c r="F29" s="64" t="n">
        <f aca="false">BACKUP!F177</f>
        <v>128</v>
      </c>
      <c r="G29" s="64" t="n">
        <f aca="false">BACKUP!G177</f>
        <v>86</v>
      </c>
      <c r="H29" s="64" t="n">
        <f aca="false">BACKUP!H177</f>
        <v>10987</v>
      </c>
      <c r="I29" s="64" t="n">
        <f aca="false">BACKUP!I177</f>
        <v>15539</v>
      </c>
      <c r="J29" s="64" t="n">
        <f aca="false">BACKUP!J177</f>
        <v>14193</v>
      </c>
      <c r="K29" s="64" t="n">
        <f aca="false">BACKUP!K177</f>
        <v>14193</v>
      </c>
      <c r="L29" s="64" t="n">
        <f aca="false">BACKUP!L177</f>
        <v>14193</v>
      </c>
      <c r="M29" s="64" t="n">
        <f aca="false">BACKUP!M177</f>
        <v>14193</v>
      </c>
      <c r="N29" s="64" t="n">
        <f aca="false">BACKUP!N177</f>
        <v>14193</v>
      </c>
      <c r="O29" s="64" t="n">
        <f aca="false">BACKUP!O177</f>
        <v>14193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65" t="str">
        <f aca="false">A29</f>
        <v>9</v>
      </c>
      <c r="AB29" s="66" t="str">
        <f aca="false">B29</f>
        <v>   Asset Price Risk Management</v>
      </c>
      <c r="AC29" s="67" t="n">
        <v>0</v>
      </c>
      <c r="AD29" s="67" t="n">
        <v>0</v>
      </c>
      <c r="AE29" s="67" t="n">
        <v>0</v>
      </c>
      <c r="AF29" s="67" t="n">
        <v>0</v>
      </c>
      <c r="AG29" s="67" t="n">
        <v>0</v>
      </c>
      <c r="AH29" s="67" t="n">
        <v>0</v>
      </c>
      <c r="AI29" s="67" t="n">
        <v>0</v>
      </c>
      <c r="AJ29" s="67" t="n">
        <v>0</v>
      </c>
      <c r="AK29" s="67" t="n">
        <v>0</v>
      </c>
      <c r="AL29" s="67" t="n">
        <v>0</v>
      </c>
      <c r="AM29" s="67" t="n">
        <v>0</v>
      </c>
      <c r="AN29" s="67" t="n">
        <v>0</v>
      </c>
      <c r="AO29" s="67" t="n">
        <v>0</v>
      </c>
      <c r="AP29" s="47"/>
      <c r="AQ29" s="64"/>
      <c r="AR29" s="47"/>
      <c r="BA29" s="65" t="str">
        <f aca="false">A29</f>
        <v>9</v>
      </c>
      <c r="BB29" s="66" t="str">
        <f aca="false">B29</f>
        <v>   Asset Price Risk Management</v>
      </c>
      <c r="BC29" s="68" t="n">
        <f aca="false">C29-AC29</f>
        <v>0</v>
      </c>
      <c r="BD29" s="68" t="n">
        <f aca="false">D29-AD29</f>
        <v>128</v>
      </c>
      <c r="BE29" s="68" t="n">
        <f aca="false">E29-AE29</f>
        <v>128</v>
      </c>
      <c r="BF29" s="68" t="n">
        <f aca="false">F29-AF29</f>
        <v>128</v>
      </c>
      <c r="BG29" s="68" t="n">
        <f aca="false">G29-AG29</f>
        <v>86</v>
      </c>
      <c r="BH29" s="68" t="n">
        <f aca="false">H29-AH29</f>
        <v>10987</v>
      </c>
      <c r="BI29" s="68" t="n">
        <f aca="false">I29-AI29</f>
        <v>15539</v>
      </c>
      <c r="BJ29" s="68" t="n">
        <f aca="false">J29-AJ29</f>
        <v>14193</v>
      </c>
      <c r="BK29" s="68" t="n">
        <f aca="false">K29-AK29</f>
        <v>14193</v>
      </c>
      <c r="BL29" s="68" t="n">
        <f aca="false">L29-AL29</f>
        <v>14193</v>
      </c>
      <c r="BM29" s="68" t="n">
        <f aca="false">M29-AM29</f>
        <v>14193</v>
      </c>
      <c r="BN29" s="68" t="n">
        <f aca="false">N29-AN29</f>
        <v>14193</v>
      </c>
      <c r="BO29" s="68" t="n">
        <f aca="false">O29-AO29</f>
        <v>14193</v>
      </c>
    </row>
    <row r="30" customFormat="false" ht="14.65" hidden="false" customHeight="false" outlineLevel="0" collapsed="false">
      <c r="A30" s="65" t="s">
        <v>293</v>
      </c>
      <c r="B30" s="66" t="s">
        <v>40</v>
      </c>
      <c r="C30" s="70" t="n">
        <f aca="false">BACKUP!C124</f>
        <v>0</v>
      </c>
      <c r="D30" s="70" t="n">
        <f aca="false">BACKUP!D124</f>
        <v>0</v>
      </c>
      <c r="E30" s="70" t="n">
        <f aca="false">BACKUP!E124</f>
        <v>0</v>
      </c>
      <c r="F30" s="70" t="n">
        <f aca="false">BACKUP!F124</f>
        <v>0</v>
      </c>
      <c r="G30" s="70" t="n">
        <f aca="false">BACKUP!G124</f>
        <v>0</v>
      </c>
      <c r="H30" s="70" t="n">
        <f aca="false">BACKUP!H124</f>
        <v>0</v>
      </c>
      <c r="I30" s="70" t="n">
        <f aca="false">BACKUP!I124</f>
        <v>0</v>
      </c>
      <c r="J30" s="70" t="n">
        <f aca="false">BACKUP!J124</f>
        <v>0</v>
      </c>
      <c r="K30" s="70" t="n">
        <f aca="false">BACKUP!K124</f>
        <v>0</v>
      </c>
      <c r="L30" s="70" t="n">
        <f aca="false">BACKUP!L124</f>
        <v>0</v>
      </c>
      <c r="M30" s="70" t="n">
        <f aca="false">BACKUP!M124</f>
        <v>0</v>
      </c>
      <c r="N30" s="70" t="n">
        <f aca="false">BACKUP!N124</f>
        <v>0</v>
      </c>
      <c r="O30" s="70" t="n">
        <f aca="false">BACKUP!O124</f>
        <v>0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65" t="str">
        <f aca="false">A30</f>
        <v>5</v>
      </c>
      <c r="AB30" s="66" t="str">
        <f aca="false">B30</f>
        <v>   Other</v>
      </c>
      <c r="AC30" s="71" t="n">
        <v>0</v>
      </c>
      <c r="AD30" s="71" t="n">
        <v>0</v>
      </c>
      <c r="AE30" s="71" t="n">
        <v>0</v>
      </c>
      <c r="AF30" s="71" t="n">
        <v>0</v>
      </c>
      <c r="AG30" s="71" t="n">
        <v>0</v>
      </c>
      <c r="AH30" s="71" t="n">
        <v>0</v>
      </c>
      <c r="AI30" s="71" t="n">
        <v>0</v>
      </c>
      <c r="AJ30" s="71" t="n">
        <v>0</v>
      </c>
      <c r="AK30" s="71" t="n">
        <v>0</v>
      </c>
      <c r="AL30" s="71" t="n">
        <v>0</v>
      </c>
      <c r="AM30" s="71" t="n">
        <v>0</v>
      </c>
      <c r="AN30" s="71" t="n">
        <v>0</v>
      </c>
      <c r="AO30" s="71" t="n">
        <v>0</v>
      </c>
      <c r="AP30" s="47"/>
      <c r="AQ30" s="64"/>
      <c r="AR30" s="47"/>
      <c r="BA30" s="65" t="str">
        <f aca="false">A30</f>
        <v>5</v>
      </c>
      <c r="BB30" s="66" t="str">
        <f aca="false">B30</f>
        <v>   Other</v>
      </c>
      <c r="BC30" s="72" t="n">
        <f aca="false">C30-AC30</f>
        <v>0</v>
      </c>
      <c r="BD30" s="72" t="n">
        <f aca="false">D30-AD30</f>
        <v>0</v>
      </c>
      <c r="BE30" s="72" t="n">
        <f aca="false">E30-AE30</f>
        <v>0</v>
      </c>
      <c r="BF30" s="72" t="n">
        <f aca="false">F30-AF30</f>
        <v>0</v>
      </c>
      <c r="BG30" s="72" t="n">
        <f aca="false">G30-AG30</f>
        <v>0</v>
      </c>
      <c r="BH30" s="72" t="n">
        <f aca="false">H30-AH30</f>
        <v>0</v>
      </c>
      <c r="BI30" s="72" t="n">
        <f aca="false">I30-AI30</f>
        <v>0</v>
      </c>
      <c r="BJ30" s="72" t="n">
        <f aca="false">J30-AJ30</f>
        <v>0</v>
      </c>
      <c r="BK30" s="72" t="n">
        <f aca="false">K30-AK30</f>
        <v>0</v>
      </c>
      <c r="BL30" s="72" t="n">
        <f aca="false">L30-AL30</f>
        <v>0</v>
      </c>
      <c r="BM30" s="72" t="n">
        <f aca="false">M30-AM30</f>
        <v>0</v>
      </c>
      <c r="BN30" s="72" t="n">
        <f aca="false">N30-AN30</f>
        <v>0</v>
      </c>
      <c r="BO30" s="72" t="n">
        <f aca="false">O30-AO30</f>
        <v>0</v>
      </c>
    </row>
    <row r="31" customFormat="false" ht="3.95" hidden="false" customHeight="true" outlineLevel="0" collapsed="false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</row>
    <row r="32" customFormat="false" ht="14.65" hidden="false" customHeight="false" outlineLevel="0" collapsed="false">
      <c r="A32" s="44"/>
      <c r="B32" s="63" t="s">
        <v>296</v>
      </c>
      <c r="C32" s="70" t="n">
        <f aca="false">SUM(C28:C31)</f>
        <v>0</v>
      </c>
      <c r="D32" s="70" t="n">
        <f aca="false">SUM(D28:D31)</f>
        <v>128</v>
      </c>
      <c r="E32" s="70" t="n">
        <f aca="false">SUM(E28:E31)</f>
        <v>128</v>
      </c>
      <c r="F32" s="70" t="n">
        <f aca="false">SUM(F28:F31)</f>
        <v>128</v>
      </c>
      <c r="G32" s="70" t="n">
        <f aca="false">SUM(G28:G31)</f>
        <v>86</v>
      </c>
      <c r="H32" s="70" t="n">
        <f aca="false">SUM(H28:H31)</f>
        <v>10987</v>
      </c>
      <c r="I32" s="70" t="n">
        <f aca="false">SUM(I28:I31)</f>
        <v>15539</v>
      </c>
      <c r="J32" s="70" t="n">
        <f aca="false">SUM(J28:J31)</f>
        <v>14193</v>
      </c>
      <c r="K32" s="70" t="n">
        <f aca="false">SUM(K28:K31)</f>
        <v>14193</v>
      </c>
      <c r="L32" s="70" t="n">
        <f aca="false">SUM(L28:L31)</f>
        <v>14193</v>
      </c>
      <c r="M32" s="70" t="n">
        <f aca="false">SUM(M28:M31)</f>
        <v>14193</v>
      </c>
      <c r="N32" s="70" t="n">
        <f aca="false">SUM(N28:N31)</f>
        <v>14193</v>
      </c>
      <c r="O32" s="70" t="n">
        <f aca="false">SUM(O28:O31)</f>
        <v>14193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4"/>
      <c r="AB32" s="63" t="str">
        <f aca="false">B32</f>
        <v>      Total Investments &amp; Other Assets</v>
      </c>
      <c r="AC32" s="70" t="n">
        <f aca="false">SUM(AC28:AC31)</f>
        <v>0</v>
      </c>
      <c r="AD32" s="70" t="n">
        <f aca="false">SUM(AD28:AD31)</f>
        <v>0</v>
      </c>
      <c r="AE32" s="70" t="n">
        <f aca="false">SUM(AE28:AE31)</f>
        <v>0</v>
      </c>
      <c r="AF32" s="70" t="n">
        <f aca="false">SUM(AF28:AF31)</f>
        <v>0</v>
      </c>
      <c r="AG32" s="70" t="n">
        <f aca="false">SUM(AG28:AG31)</f>
        <v>0</v>
      </c>
      <c r="AH32" s="70" t="n">
        <f aca="false">SUM(AH28:AH31)</f>
        <v>0</v>
      </c>
      <c r="AI32" s="70" t="n">
        <f aca="false">SUM(AI28:AI31)</f>
        <v>0</v>
      </c>
      <c r="AJ32" s="70" t="n">
        <f aca="false">SUM(AJ28:AJ31)</f>
        <v>0</v>
      </c>
      <c r="AK32" s="70" t="n">
        <f aca="false">SUM(AK28:AK31)</f>
        <v>0</v>
      </c>
      <c r="AL32" s="70" t="n">
        <f aca="false">SUM(AL28:AL31)</f>
        <v>0</v>
      </c>
      <c r="AM32" s="70" t="n">
        <f aca="false">SUM(AM28:AM31)</f>
        <v>0</v>
      </c>
      <c r="AN32" s="70" t="n">
        <f aca="false">SUM(AN28:AN31)</f>
        <v>0</v>
      </c>
      <c r="AO32" s="70" t="n">
        <f aca="false">SUM(AO28:AO31)</f>
        <v>0</v>
      </c>
      <c r="AP32" s="47"/>
      <c r="AQ32" s="64"/>
      <c r="AR32" s="47"/>
      <c r="BA32" s="44"/>
      <c r="BB32" s="63" t="str">
        <f aca="false">B32</f>
        <v>      Total Investments &amp; Other Assets</v>
      </c>
      <c r="BC32" s="70" t="n">
        <f aca="false">SUM(BC28:BC31)</f>
        <v>0</v>
      </c>
      <c r="BD32" s="70" t="n">
        <f aca="false">SUM(BD28:BD31)</f>
        <v>128</v>
      </c>
      <c r="BE32" s="70" t="n">
        <f aca="false">SUM(BE28:BE31)</f>
        <v>128</v>
      </c>
      <c r="BF32" s="70" t="n">
        <f aca="false">SUM(BF28:BF31)</f>
        <v>128</v>
      </c>
      <c r="BG32" s="70" t="n">
        <f aca="false">SUM(BG28:BG31)</f>
        <v>86</v>
      </c>
      <c r="BH32" s="70" t="n">
        <f aca="false">SUM(BH28:BH31)</f>
        <v>10987</v>
      </c>
      <c r="BI32" s="70" t="n">
        <f aca="false">SUM(BI28:BI31)</f>
        <v>15539</v>
      </c>
      <c r="BJ32" s="70" t="n">
        <f aca="false">SUM(BJ28:BJ31)</f>
        <v>14193</v>
      </c>
      <c r="BK32" s="70" t="n">
        <f aca="false">SUM(BK28:BK31)</f>
        <v>14193</v>
      </c>
      <c r="BL32" s="70" t="n">
        <f aca="false">SUM(BL28:BL31)</f>
        <v>14193</v>
      </c>
      <c r="BM32" s="70" t="n">
        <f aca="false">SUM(BM28:BM31)</f>
        <v>14193</v>
      </c>
      <c r="BN32" s="70" t="n">
        <f aca="false">SUM(BN28:BN31)</f>
        <v>14193</v>
      </c>
      <c r="BO32" s="70" t="n">
        <f aca="false">SUM(BO28:BO31)</f>
        <v>14193</v>
      </c>
    </row>
    <row r="33" customFormat="false" ht="14.65" hidden="false" customHeight="false" outlineLevel="0" collapsed="false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</row>
    <row r="34" customFormat="false" ht="14.65" hidden="false" customHeight="false" outlineLevel="0" collapsed="false">
      <c r="A34" s="47"/>
      <c r="B34" s="47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47"/>
      <c r="AQ34" s="64"/>
      <c r="AR34" s="47"/>
      <c r="BA34" s="47"/>
      <c r="BB34" s="47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</row>
    <row r="35" customFormat="false" ht="14.65" hidden="false" customHeight="false" outlineLevel="0" collapsed="false">
      <c r="A35" s="44"/>
      <c r="B35" s="63" t="s">
        <v>297</v>
      </c>
      <c r="C35" s="64" t="n">
        <f aca="false">BACKUP!C142</f>
        <v>987107</v>
      </c>
      <c r="D35" s="64" t="n">
        <f aca="false">BACKUP!D142</f>
        <v>987543</v>
      </c>
      <c r="E35" s="64" t="n">
        <f aca="false">BACKUP!E142</f>
        <v>986923</v>
      </c>
      <c r="F35" s="64" t="n">
        <f aca="false">BACKUP!F142</f>
        <v>987812</v>
      </c>
      <c r="G35" s="64" t="n">
        <f aca="false">BACKUP!G142</f>
        <v>990597</v>
      </c>
      <c r="H35" s="64" t="n">
        <f aca="false">BACKUP!H142</f>
        <v>1006548</v>
      </c>
      <c r="I35" s="64" t="n">
        <f aca="false">BACKUP!I142</f>
        <v>1010004</v>
      </c>
      <c r="J35" s="64" t="n">
        <f aca="false">BACKUP!J142</f>
        <v>1011084</v>
      </c>
      <c r="K35" s="64" t="n">
        <f aca="false">BACKUP!K142</f>
        <v>1012984</v>
      </c>
      <c r="L35" s="64" t="n">
        <f aca="false">BACKUP!L142</f>
        <v>1026027</v>
      </c>
      <c r="M35" s="64" t="n">
        <f aca="false">BACKUP!M142</f>
        <v>1031844</v>
      </c>
      <c r="N35" s="64" t="n">
        <f aca="false">BACKUP!N142</f>
        <v>1043696</v>
      </c>
      <c r="O35" s="64" t="n">
        <f aca="false">BACKUP!O142</f>
        <v>1055244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4"/>
      <c r="AB35" s="63" t="str">
        <f aca="false">B35</f>
        <v>PLANT</v>
      </c>
      <c r="AC35" s="67" t="n">
        <v>76024</v>
      </c>
      <c r="AD35" s="67" t="n">
        <v>76024</v>
      </c>
      <c r="AE35" s="67" t="n">
        <v>76024</v>
      </c>
      <c r="AF35" s="67" t="n">
        <v>76024</v>
      </c>
      <c r="AG35" s="67" t="n">
        <v>76024</v>
      </c>
      <c r="AH35" s="67" t="n">
        <v>76024</v>
      </c>
      <c r="AI35" s="67" t="n">
        <v>76024</v>
      </c>
      <c r="AJ35" s="67" t="n">
        <v>76024</v>
      </c>
      <c r="AK35" s="67" t="n">
        <v>76024</v>
      </c>
      <c r="AL35" s="67" t="n">
        <v>76024</v>
      </c>
      <c r="AM35" s="67" t="n">
        <v>76024</v>
      </c>
      <c r="AN35" s="67" t="n">
        <v>76024</v>
      </c>
      <c r="AO35" s="67" t="n">
        <v>76024</v>
      </c>
      <c r="AP35" s="47"/>
      <c r="AQ35" s="64"/>
      <c r="AR35" s="47"/>
      <c r="BA35" s="44"/>
      <c r="BB35" s="63" t="str">
        <f aca="false">B35</f>
        <v>PLANT</v>
      </c>
      <c r="BC35" s="68" t="n">
        <f aca="false">C35-AC35</f>
        <v>911083</v>
      </c>
      <c r="BD35" s="68" t="n">
        <f aca="false">D35-AD35</f>
        <v>911519</v>
      </c>
      <c r="BE35" s="68" t="n">
        <f aca="false">E35-AE35</f>
        <v>910899</v>
      </c>
      <c r="BF35" s="68" t="n">
        <f aca="false">F35-AF35</f>
        <v>911788</v>
      </c>
      <c r="BG35" s="68" t="n">
        <f aca="false">G35-AG35</f>
        <v>914573</v>
      </c>
      <c r="BH35" s="68" t="n">
        <f aca="false">H35-AH35</f>
        <v>930524</v>
      </c>
      <c r="BI35" s="68" t="n">
        <f aca="false">I35-AI35</f>
        <v>933980</v>
      </c>
      <c r="BJ35" s="68" t="n">
        <f aca="false">J35-AJ35</f>
        <v>935060</v>
      </c>
      <c r="BK35" s="68" t="n">
        <f aca="false">K35-AK35</f>
        <v>936960</v>
      </c>
      <c r="BL35" s="68" t="n">
        <f aca="false">L35-AL35</f>
        <v>950003</v>
      </c>
      <c r="BM35" s="68" t="n">
        <f aca="false">M35-AM35</f>
        <v>955820</v>
      </c>
      <c r="BN35" s="68" t="n">
        <f aca="false">N35-AN35</f>
        <v>967672</v>
      </c>
      <c r="BO35" s="68" t="n">
        <f aca="false">O35-AO35</f>
        <v>979220</v>
      </c>
    </row>
    <row r="36" customFormat="false" ht="14.65" hidden="false" customHeight="false" outlineLevel="0" collapsed="false">
      <c r="A36" s="47"/>
      <c r="B36" s="66" t="s">
        <v>298</v>
      </c>
      <c r="C36" s="70" t="n">
        <f aca="false">BACKUP!C157</f>
        <v>104364</v>
      </c>
      <c r="D36" s="70" t="n">
        <f aca="false">BACKUP!D157</f>
        <v>105907</v>
      </c>
      <c r="E36" s="70" t="n">
        <f aca="false">BACKUP!E157</f>
        <v>107444</v>
      </c>
      <c r="F36" s="70" t="n">
        <f aca="false">BACKUP!F157</f>
        <v>109084</v>
      </c>
      <c r="G36" s="70" t="n">
        <f aca="false">BACKUP!G157</f>
        <v>110716</v>
      </c>
      <c r="H36" s="70" t="n">
        <f aca="false">BACKUP!H157</f>
        <v>112236</v>
      </c>
      <c r="I36" s="70" t="n">
        <f aca="false">BACKUP!I157</f>
        <v>113908</v>
      </c>
      <c r="J36" s="70" t="n">
        <f aca="false">BACKUP!J157</f>
        <v>115495</v>
      </c>
      <c r="K36" s="70" t="n">
        <f aca="false">BACKUP!K157</f>
        <v>117180</v>
      </c>
      <c r="L36" s="70" t="n">
        <f aca="false">BACKUP!L157</f>
        <v>118866</v>
      </c>
      <c r="M36" s="70" t="n">
        <f aca="false">BACKUP!M157</f>
        <v>120652</v>
      </c>
      <c r="N36" s="70" t="n">
        <f aca="false">BACKUP!N157</f>
        <v>122437</v>
      </c>
      <c r="O36" s="70" t="n">
        <f aca="false">BACKUP!O157</f>
        <v>124222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66" t="str">
        <f aca="false">B36</f>
        <v>   Accumulated Depreciation</v>
      </c>
      <c r="AC36" s="71" t="n">
        <v>-224145</v>
      </c>
      <c r="AD36" s="73" t="n">
        <f aca="false">AC36+500</f>
        <v>-223645</v>
      </c>
      <c r="AE36" s="73" t="n">
        <f aca="false">AD36+500</f>
        <v>-223145</v>
      </c>
      <c r="AF36" s="73" t="n">
        <f aca="false">AE36+500</f>
        <v>-222645</v>
      </c>
      <c r="AG36" s="73" t="n">
        <f aca="false">AF36+500</f>
        <v>-222145</v>
      </c>
      <c r="AH36" s="73" t="n">
        <f aca="false">AG36+500</f>
        <v>-221645</v>
      </c>
      <c r="AI36" s="73" t="n">
        <f aca="false">AH36+500</f>
        <v>-221145</v>
      </c>
      <c r="AJ36" s="73" t="n">
        <f aca="false">AI36+500</f>
        <v>-220645</v>
      </c>
      <c r="AK36" s="73" t="n">
        <f aca="false">AJ36+500</f>
        <v>-220145</v>
      </c>
      <c r="AL36" s="73" t="n">
        <f aca="false">AK36+500</f>
        <v>-219645</v>
      </c>
      <c r="AM36" s="73" t="n">
        <f aca="false">AL36+500</f>
        <v>-219145</v>
      </c>
      <c r="AN36" s="73" t="n">
        <f aca="false">AM36+500</f>
        <v>-218645</v>
      </c>
      <c r="AO36" s="73" t="n">
        <f aca="false">AN36+500</f>
        <v>-218145</v>
      </c>
      <c r="AP36" s="47"/>
      <c r="AQ36" s="64"/>
      <c r="AR36" s="47"/>
      <c r="BA36" s="47"/>
      <c r="BB36" s="66" t="str">
        <f aca="false">B36</f>
        <v>   Accumulated Depreciation</v>
      </c>
      <c r="BC36" s="72" t="n">
        <f aca="false">C36-AC36</f>
        <v>328509</v>
      </c>
      <c r="BD36" s="72" t="n">
        <f aca="false">D36-AD36</f>
        <v>329552</v>
      </c>
      <c r="BE36" s="72" t="n">
        <f aca="false">E36-AE36</f>
        <v>330589</v>
      </c>
      <c r="BF36" s="72" t="n">
        <f aca="false">F36-AF36</f>
        <v>331729</v>
      </c>
      <c r="BG36" s="72" t="n">
        <f aca="false">G36-AG36</f>
        <v>332861</v>
      </c>
      <c r="BH36" s="72" t="n">
        <f aca="false">H36-AH36</f>
        <v>333881</v>
      </c>
      <c r="BI36" s="72" t="n">
        <f aca="false">I36-AI36</f>
        <v>335053</v>
      </c>
      <c r="BJ36" s="72" t="n">
        <f aca="false">J36-AJ36</f>
        <v>336140</v>
      </c>
      <c r="BK36" s="72" t="n">
        <f aca="false">K36-AK36</f>
        <v>337325</v>
      </c>
      <c r="BL36" s="72" t="n">
        <f aca="false">L36-AL36</f>
        <v>338511</v>
      </c>
      <c r="BM36" s="72" t="n">
        <f aca="false">M36-AM36</f>
        <v>339797</v>
      </c>
      <c r="BN36" s="72" t="n">
        <f aca="false">N36-AN36</f>
        <v>341082</v>
      </c>
      <c r="BO36" s="72" t="n">
        <f aca="false">O36-AO36</f>
        <v>342367</v>
      </c>
    </row>
    <row r="37" customFormat="false" ht="3.95" hidden="false" customHeight="tru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</row>
    <row r="38" customFormat="false" ht="14.65" hidden="false" customHeight="false" outlineLevel="0" collapsed="false">
      <c r="A38" s="65" t="s">
        <v>299</v>
      </c>
      <c r="B38" s="63" t="s">
        <v>300</v>
      </c>
      <c r="C38" s="70" t="n">
        <f aca="false">C35-C36</f>
        <v>882743</v>
      </c>
      <c r="D38" s="70" t="n">
        <f aca="false">D35-D36</f>
        <v>881636</v>
      </c>
      <c r="E38" s="70" t="n">
        <f aca="false">E35-E36</f>
        <v>879479</v>
      </c>
      <c r="F38" s="70" t="n">
        <f aca="false">F35-F36</f>
        <v>878728</v>
      </c>
      <c r="G38" s="70" t="n">
        <f aca="false">G35-G36</f>
        <v>879881</v>
      </c>
      <c r="H38" s="70" t="n">
        <f aca="false">H35-H36</f>
        <v>894312</v>
      </c>
      <c r="I38" s="70" t="n">
        <f aca="false">I35-I36</f>
        <v>896096</v>
      </c>
      <c r="J38" s="70" t="n">
        <f aca="false">J35-J36</f>
        <v>895589</v>
      </c>
      <c r="K38" s="70" t="n">
        <f aca="false">K35-K36</f>
        <v>895804</v>
      </c>
      <c r="L38" s="70" t="n">
        <f aca="false">L35-L36</f>
        <v>907161</v>
      </c>
      <c r="M38" s="70" t="n">
        <f aca="false">M35-M36</f>
        <v>911192</v>
      </c>
      <c r="N38" s="70" t="n">
        <f aca="false">N35-N36</f>
        <v>921259</v>
      </c>
      <c r="O38" s="70" t="n">
        <f aca="false">O35-O36</f>
        <v>931022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65" t="str">
        <f aca="false">A38</f>
        <v>6</v>
      </c>
      <c r="AB38" s="63" t="str">
        <f aca="false">B38</f>
        <v>      Net Plant</v>
      </c>
      <c r="AC38" s="70" t="n">
        <f aca="false">AC35-AC36</f>
        <v>300169</v>
      </c>
      <c r="AD38" s="70" t="n">
        <f aca="false">AD35-AD36</f>
        <v>299669</v>
      </c>
      <c r="AE38" s="70" t="n">
        <f aca="false">AE35-AE36</f>
        <v>299169</v>
      </c>
      <c r="AF38" s="70" t="n">
        <f aca="false">AF35-AF36</f>
        <v>298669</v>
      </c>
      <c r="AG38" s="70" t="n">
        <f aca="false">AG35-AG36</f>
        <v>298169</v>
      </c>
      <c r="AH38" s="70" t="n">
        <f aca="false">AH35-AH36</f>
        <v>297669</v>
      </c>
      <c r="AI38" s="70" t="n">
        <f aca="false">AI35-AI36</f>
        <v>297169</v>
      </c>
      <c r="AJ38" s="70" t="n">
        <f aca="false">AJ35-AJ36</f>
        <v>296669</v>
      </c>
      <c r="AK38" s="70" t="n">
        <f aca="false">AK35-AK36</f>
        <v>296169</v>
      </c>
      <c r="AL38" s="70" t="n">
        <f aca="false">AL35-AL36</f>
        <v>295669</v>
      </c>
      <c r="AM38" s="70" t="n">
        <f aca="false">AM35-AM36</f>
        <v>295169</v>
      </c>
      <c r="AN38" s="70" t="n">
        <f aca="false">AN35-AN36</f>
        <v>294669</v>
      </c>
      <c r="AO38" s="70" t="n">
        <f aca="false">AO35-AO36</f>
        <v>294169</v>
      </c>
      <c r="AP38" s="47"/>
      <c r="AQ38" s="64"/>
      <c r="AR38" s="47"/>
      <c r="BA38" s="65" t="str">
        <f aca="false">A38</f>
        <v>6</v>
      </c>
      <c r="BB38" s="63" t="str">
        <f aca="false">B38</f>
        <v>      Net Plant</v>
      </c>
      <c r="BC38" s="70" t="n">
        <f aca="false">BC35-BC36</f>
        <v>582574</v>
      </c>
      <c r="BD38" s="70" t="n">
        <f aca="false">BD35-BD36</f>
        <v>581967</v>
      </c>
      <c r="BE38" s="70" t="n">
        <f aca="false">BE35-BE36</f>
        <v>580310</v>
      </c>
      <c r="BF38" s="70" t="n">
        <f aca="false">BF35-BF36</f>
        <v>580059</v>
      </c>
      <c r="BG38" s="70" t="n">
        <f aca="false">BG35-BG36</f>
        <v>581712</v>
      </c>
      <c r="BH38" s="70" t="n">
        <f aca="false">BH35-BH36</f>
        <v>596643</v>
      </c>
      <c r="BI38" s="70" t="n">
        <f aca="false">BI35-BI36</f>
        <v>598927</v>
      </c>
      <c r="BJ38" s="70" t="n">
        <f aca="false">BJ35-BJ36</f>
        <v>598920</v>
      </c>
      <c r="BK38" s="70" t="n">
        <f aca="false">BK35-BK36</f>
        <v>599635</v>
      </c>
      <c r="BL38" s="70" t="n">
        <f aca="false">BL35-BL36</f>
        <v>611492</v>
      </c>
      <c r="BM38" s="70" t="n">
        <f aca="false">BM35-BM36</f>
        <v>616023</v>
      </c>
      <c r="BN38" s="70" t="n">
        <f aca="false">BN35-BN36</f>
        <v>626590</v>
      </c>
      <c r="BO38" s="70" t="n">
        <f aca="false">BO35-BO36</f>
        <v>636853</v>
      </c>
    </row>
    <row r="39" customFormat="false" ht="14.65" hidden="false" customHeight="false" outlineLevel="0" collapsed="false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</row>
    <row r="40" customFormat="false" ht="14.65" hidden="false" customHeight="false" outlineLevel="0" collapsed="false">
      <c r="A40" s="47"/>
      <c r="B40" s="47"/>
      <c r="C40" s="47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47"/>
      <c r="AQ40" s="64"/>
      <c r="AR40" s="47"/>
      <c r="BA40" s="47"/>
      <c r="BB40" s="47"/>
      <c r="BC40" s="47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</row>
    <row r="41" customFormat="false" ht="14.65" hidden="false" customHeight="false" outlineLevel="0" collapsed="false">
      <c r="A41" s="44"/>
      <c r="B41" s="63" t="s">
        <v>301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4"/>
      <c r="AB41" s="63" t="str">
        <f aca="false">B41</f>
        <v>DEFERRED CHARGES</v>
      </c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47"/>
      <c r="AQ41" s="64"/>
      <c r="AR41" s="47"/>
      <c r="BA41" s="44"/>
      <c r="BB41" s="63" t="str">
        <f aca="false">B41</f>
        <v>DEFERRED CHARGES</v>
      </c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</row>
    <row r="42" customFormat="false" ht="14.65" hidden="false" customHeight="false" outlineLevel="0" collapsed="false">
      <c r="A42" s="65" t="s">
        <v>289</v>
      </c>
      <c r="B42" s="66" t="s">
        <v>302</v>
      </c>
      <c r="C42" s="74" t="n">
        <f aca="false">BACKUP!C167</f>
        <v>0</v>
      </c>
      <c r="D42" s="74" t="n">
        <f aca="false">BACKUP!D167</f>
        <v>0</v>
      </c>
      <c r="E42" s="74" t="n">
        <f aca="false">BACKUP!E167</f>
        <v>0</v>
      </c>
      <c r="F42" s="74" t="n">
        <f aca="false">BACKUP!F167</f>
        <v>0</v>
      </c>
      <c r="G42" s="74" t="n">
        <f aca="false">BACKUP!G167</f>
        <v>0</v>
      </c>
      <c r="H42" s="74" t="n">
        <f aca="false">BACKUP!H167</f>
        <v>0</v>
      </c>
      <c r="I42" s="74" t="n">
        <f aca="false">BACKUP!I167</f>
        <v>0</v>
      </c>
      <c r="J42" s="74" t="n">
        <f aca="false">BACKUP!J167</f>
        <v>0</v>
      </c>
      <c r="K42" s="74" t="n">
        <f aca="false">BACKUP!K167</f>
        <v>0</v>
      </c>
      <c r="L42" s="74" t="n">
        <f aca="false">BACKUP!L167</f>
        <v>0</v>
      </c>
      <c r="M42" s="74" t="n">
        <f aca="false">BACKUP!M167</f>
        <v>0</v>
      </c>
      <c r="N42" s="74" t="n">
        <f aca="false">BACKUP!N167</f>
        <v>0</v>
      </c>
      <c r="O42" s="74" t="n">
        <f aca="false">BACKUP!O167</f>
        <v>0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65" t="str">
        <f aca="false">A42</f>
        <v>8</v>
      </c>
      <c r="AB42" s="66" t="str">
        <f aca="false">B42</f>
        <v>   Deferred Contract Reformation Costs </v>
      </c>
      <c r="AC42" s="67" t="n">
        <v>0</v>
      </c>
      <c r="AD42" s="67" t="n">
        <v>0</v>
      </c>
      <c r="AE42" s="67" t="n">
        <v>0</v>
      </c>
      <c r="AF42" s="67" t="n">
        <v>0</v>
      </c>
      <c r="AG42" s="67" t="n">
        <v>0</v>
      </c>
      <c r="AH42" s="67" t="n">
        <v>0</v>
      </c>
      <c r="AI42" s="67" t="n">
        <v>0</v>
      </c>
      <c r="AJ42" s="67" t="n">
        <v>0</v>
      </c>
      <c r="AK42" s="67" t="n">
        <v>0</v>
      </c>
      <c r="AL42" s="67" t="n">
        <v>0</v>
      </c>
      <c r="AM42" s="67" t="n">
        <v>0</v>
      </c>
      <c r="AN42" s="67" t="n">
        <v>0</v>
      </c>
      <c r="AO42" s="67" t="n">
        <v>0</v>
      </c>
      <c r="AP42" s="47"/>
      <c r="AQ42" s="64"/>
      <c r="AR42" s="47"/>
      <c r="BA42" s="65" t="str">
        <f aca="false">A42</f>
        <v>8</v>
      </c>
      <c r="BB42" s="66" t="str">
        <f aca="false">B42</f>
        <v>   Deferred Contract Reformation Costs </v>
      </c>
      <c r="BC42" s="68" t="n">
        <f aca="false">C42-AC42</f>
        <v>0</v>
      </c>
      <c r="BD42" s="68" t="n">
        <f aca="false">D42-AD42</f>
        <v>0</v>
      </c>
      <c r="BE42" s="68" t="n">
        <f aca="false">E42-AE42</f>
        <v>0</v>
      </c>
      <c r="BF42" s="68" t="n">
        <f aca="false">F42-AF42</f>
        <v>0</v>
      </c>
      <c r="BG42" s="68" t="n">
        <f aca="false">G42-AG42</f>
        <v>0</v>
      </c>
      <c r="BH42" s="68" t="n">
        <f aca="false">H42-AH42</f>
        <v>0</v>
      </c>
      <c r="BI42" s="68" t="n">
        <f aca="false">I42-AI42</f>
        <v>0</v>
      </c>
      <c r="BJ42" s="68" t="n">
        <f aca="false">J42-AJ42</f>
        <v>0</v>
      </c>
      <c r="BK42" s="68" t="n">
        <f aca="false">K42-AK42</f>
        <v>0</v>
      </c>
      <c r="BL42" s="68" t="n">
        <f aca="false">L42-AL42</f>
        <v>0</v>
      </c>
      <c r="BM42" s="68" t="n">
        <f aca="false">M42-AM42</f>
        <v>0</v>
      </c>
      <c r="BN42" s="68" t="n">
        <f aca="false">N42-AN42</f>
        <v>0</v>
      </c>
      <c r="BO42" s="68" t="n">
        <f aca="false">O42-AO42</f>
        <v>0</v>
      </c>
    </row>
    <row r="43" customFormat="false" ht="14.65" hidden="false" customHeight="false" outlineLevel="0" collapsed="false">
      <c r="A43" s="65" t="s">
        <v>303</v>
      </c>
      <c r="B43" s="66" t="s">
        <v>304</v>
      </c>
      <c r="C43" s="64" t="n">
        <f aca="false">BACKUP!C226</f>
        <v>79054</v>
      </c>
      <c r="D43" s="64" t="n">
        <f aca="false">BACKUP!D226</f>
        <v>78591</v>
      </c>
      <c r="E43" s="64" t="n">
        <f aca="false">BACKUP!E226</f>
        <v>78162</v>
      </c>
      <c r="F43" s="64" t="n">
        <f aca="false">BACKUP!F226</f>
        <v>77693</v>
      </c>
      <c r="G43" s="64" t="n">
        <f aca="false">BACKUP!G226</f>
        <v>77224</v>
      </c>
      <c r="H43" s="64" t="n">
        <f aca="false">BACKUP!H226</f>
        <v>76755</v>
      </c>
      <c r="I43" s="64" t="n">
        <f aca="false">BACKUP!I226</f>
        <v>76288</v>
      </c>
      <c r="J43" s="64" t="n">
        <f aca="false">BACKUP!J226</f>
        <v>75840</v>
      </c>
      <c r="K43" s="64" t="n">
        <f aca="false">BACKUP!K226</f>
        <v>75377</v>
      </c>
      <c r="L43" s="64" t="n">
        <f aca="false">BACKUP!L226</f>
        <v>74916</v>
      </c>
      <c r="M43" s="64" t="n">
        <f aca="false">BACKUP!M226</f>
        <v>74448</v>
      </c>
      <c r="N43" s="64" t="n">
        <f aca="false">BACKUP!N226</f>
        <v>73986</v>
      </c>
      <c r="O43" s="64" t="n">
        <f aca="false">BACKUP!O226</f>
        <v>74022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65" t="str">
        <f aca="false">A43</f>
        <v>7</v>
      </c>
      <c r="AB43" s="66" t="str">
        <f aca="false">B43</f>
        <v>   Other Regulatory Assets</v>
      </c>
      <c r="AC43" s="67" t="n">
        <v>0</v>
      </c>
      <c r="AD43" s="67" t="n">
        <v>0</v>
      </c>
      <c r="AE43" s="67" t="n">
        <v>0</v>
      </c>
      <c r="AF43" s="67" t="n">
        <v>0</v>
      </c>
      <c r="AG43" s="67" t="n">
        <v>0</v>
      </c>
      <c r="AH43" s="67" t="n">
        <v>0</v>
      </c>
      <c r="AI43" s="67" t="n">
        <v>0</v>
      </c>
      <c r="AJ43" s="67" t="n">
        <v>0</v>
      </c>
      <c r="AK43" s="67" t="n">
        <v>0</v>
      </c>
      <c r="AL43" s="67" t="n">
        <v>0</v>
      </c>
      <c r="AM43" s="67" t="n">
        <v>0</v>
      </c>
      <c r="AN43" s="67" t="n">
        <v>0</v>
      </c>
      <c r="AO43" s="67" t="n">
        <v>0</v>
      </c>
      <c r="AP43" s="47"/>
      <c r="AQ43" s="47"/>
      <c r="AR43" s="47"/>
      <c r="BA43" s="65" t="str">
        <f aca="false">A43</f>
        <v>7</v>
      </c>
      <c r="BB43" s="66" t="str">
        <f aca="false">B43</f>
        <v>   Other Regulatory Assets</v>
      </c>
      <c r="BC43" s="68" t="n">
        <f aca="false">C43-AC43</f>
        <v>79054</v>
      </c>
      <c r="BD43" s="68" t="n">
        <f aca="false">D43-AD43</f>
        <v>78591</v>
      </c>
      <c r="BE43" s="68" t="n">
        <f aca="false">E43-AE43</f>
        <v>78162</v>
      </c>
      <c r="BF43" s="68" t="n">
        <f aca="false">F43-AF43</f>
        <v>77693</v>
      </c>
      <c r="BG43" s="68" t="n">
        <f aca="false">G43-AG43</f>
        <v>77224</v>
      </c>
      <c r="BH43" s="68" t="n">
        <f aca="false">H43-AH43</f>
        <v>76755</v>
      </c>
      <c r="BI43" s="68" t="n">
        <f aca="false">I43-AI43</f>
        <v>76288</v>
      </c>
      <c r="BJ43" s="68" t="n">
        <f aca="false">J43-AJ43</f>
        <v>75840</v>
      </c>
      <c r="BK43" s="68" t="n">
        <f aca="false">K43-AK43</f>
        <v>75377</v>
      </c>
      <c r="BL43" s="68" t="n">
        <f aca="false">L43-AL43</f>
        <v>74916</v>
      </c>
      <c r="BM43" s="68" t="n">
        <f aca="false">M43-AM43</f>
        <v>74448</v>
      </c>
      <c r="BN43" s="68" t="n">
        <f aca="false">N43-AN43</f>
        <v>73986</v>
      </c>
      <c r="BO43" s="68" t="n">
        <f aca="false">O43-AO43</f>
        <v>74022</v>
      </c>
    </row>
    <row r="44" customFormat="false" ht="14.65" hidden="false" customHeight="false" outlineLevel="0" collapsed="false">
      <c r="A44" s="65" t="s">
        <v>295</v>
      </c>
      <c r="B44" s="66" t="s">
        <v>40</v>
      </c>
      <c r="C44" s="70" t="n">
        <f aca="false">BACKUP!C245</f>
        <v>2254</v>
      </c>
      <c r="D44" s="70" t="n">
        <f aca="false">BACKUP!D245</f>
        <v>2205</v>
      </c>
      <c r="E44" s="70" t="n">
        <f aca="false">BACKUP!E245</f>
        <v>2928</v>
      </c>
      <c r="F44" s="70" t="n">
        <f aca="false">BACKUP!F245</f>
        <v>2560</v>
      </c>
      <c r="G44" s="70" t="n">
        <f aca="false">BACKUP!G245</f>
        <v>2828</v>
      </c>
      <c r="H44" s="70" t="n">
        <f aca="false">BACKUP!H245</f>
        <v>3401</v>
      </c>
      <c r="I44" s="70" t="n">
        <f aca="false">BACKUP!I245</f>
        <v>3786</v>
      </c>
      <c r="J44" s="70" t="n">
        <f aca="false">BACKUP!J245</f>
        <v>4026</v>
      </c>
      <c r="K44" s="70" t="n">
        <f aca="false">BACKUP!K245</f>
        <v>4013</v>
      </c>
      <c r="L44" s="70" t="n">
        <f aca="false">BACKUP!L245</f>
        <v>4001</v>
      </c>
      <c r="M44" s="70" t="n">
        <f aca="false">BACKUP!M245</f>
        <v>3988</v>
      </c>
      <c r="N44" s="70" t="n">
        <f aca="false">BACKUP!N245</f>
        <v>3976</v>
      </c>
      <c r="O44" s="70" t="n">
        <f aca="false">BACKUP!O245</f>
        <v>3963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65" t="str">
        <f aca="false">A44</f>
        <v>9</v>
      </c>
      <c r="AB44" s="66" t="str">
        <f aca="false">B44</f>
        <v>   Other</v>
      </c>
      <c r="AC44" s="71" t="n">
        <v>0</v>
      </c>
      <c r="AD44" s="71" t="n">
        <v>0</v>
      </c>
      <c r="AE44" s="71" t="n">
        <v>0</v>
      </c>
      <c r="AF44" s="71" t="n">
        <v>0</v>
      </c>
      <c r="AG44" s="71" t="n">
        <v>0</v>
      </c>
      <c r="AH44" s="71" t="n">
        <v>0</v>
      </c>
      <c r="AI44" s="71" t="n">
        <v>0</v>
      </c>
      <c r="AJ44" s="71" t="n">
        <v>0</v>
      </c>
      <c r="AK44" s="71" t="n">
        <v>0</v>
      </c>
      <c r="AL44" s="71" t="n">
        <v>0</v>
      </c>
      <c r="AM44" s="71" t="n">
        <v>0</v>
      </c>
      <c r="AN44" s="71" t="n">
        <v>0</v>
      </c>
      <c r="AO44" s="71" t="n">
        <v>0</v>
      </c>
      <c r="AP44" s="47"/>
      <c r="AQ44" s="64"/>
      <c r="AR44" s="47"/>
      <c r="BA44" s="65" t="str">
        <f aca="false">A44</f>
        <v>9</v>
      </c>
      <c r="BB44" s="66" t="str">
        <f aca="false">B44</f>
        <v>   Other</v>
      </c>
      <c r="BC44" s="72" t="n">
        <f aca="false">C44-AC44</f>
        <v>2254</v>
      </c>
      <c r="BD44" s="72" t="n">
        <f aca="false">D44-AD44</f>
        <v>2205</v>
      </c>
      <c r="BE44" s="72" t="n">
        <f aca="false">E44-AE44</f>
        <v>2928</v>
      </c>
      <c r="BF44" s="72" t="n">
        <f aca="false">F44-AF44</f>
        <v>2560</v>
      </c>
      <c r="BG44" s="72" t="n">
        <f aca="false">G44-AG44</f>
        <v>2828</v>
      </c>
      <c r="BH44" s="72" t="n">
        <f aca="false">H44-AH44</f>
        <v>3401</v>
      </c>
      <c r="BI44" s="72" t="n">
        <f aca="false">I44-AI44</f>
        <v>3786</v>
      </c>
      <c r="BJ44" s="72" t="n">
        <f aca="false">J44-AJ44</f>
        <v>4026</v>
      </c>
      <c r="BK44" s="72" t="n">
        <f aca="false">K44-AK44</f>
        <v>4013</v>
      </c>
      <c r="BL44" s="72" t="n">
        <f aca="false">L44-AL44</f>
        <v>4001</v>
      </c>
      <c r="BM44" s="72" t="n">
        <f aca="false">M44-AM44</f>
        <v>3988</v>
      </c>
      <c r="BN44" s="72" t="n">
        <f aca="false">N44-AN44</f>
        <v>3976</v>
      </c>
      <c r="BO44" s="72" t="n">
        <f aca="false">O44-AO44</f>
        <v>3963</v>
      </c>
    </row>
    <row r="45" customFormat="false" ht="3.95" hidden="false" customHeight="true" outlineLevel="0" collapsed="false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</row>
    <row r="46" customFormat="false" ht="14.65" hidden="false" customHeight="false" outlineLevel="0" collapsed="false">
      <c r="A46" s="44"/>
      <c r="B46" s="63" t="s">
        <v>305</v>
      </c>
      <c r="C46" s="70" t="n">
        <f aca="false">SUM(C42:C45)</f>
        <v>81308</v>
      </c>
      <c r="D46" s="70" t="n">
        <f aca="false">SUM(D42:D45)</f>
        <v>80796</v>
      </c>
      <c r="E46" s="70" t="n">
        <f aca="false">SUM(E42:E45)</f>
        <v>81090</v>
      </c>
      <c r="F46" s="70" t="n">
        <f aca="false">SUM(F42:F45)</f>
        <v>80253</v>
      </c>
      <c r="G46" s="70" t="n">
        <f aca="false">SUM(G42:G45)</f>
        <v>80052</v>
      </c>
      <c r="H46" s="70" t="n">
        <f aca="false">SUM(H42:H45)</f>
        <v>80156</v>
      </c>
      <c r="I46" s="70" t="n">
        <f aca="false">SUM(I42:I45)</f>
        <v>80074</v>
      </c>
      <c r="J46" s="70" t="n">
        <f aca="false">SUM(J42:J45)</f>
        <v>79866</v>
      </c>
      <c r="K46" s="70" t="n">
        <f aca="false">SUM(K42:K45)</f>
        <v>79390</v>
      </c>
      <c r="L46" s="70" t="n">
        <f aca="false">SUM(L42:L45)</f>
        <v>78917</v>
      </c>
      <c r="M46" s="70" t="n">
        <f aca="false">SUM(M42:M45)</f>
        <v>78436</v>
      </c>
      <c r="N46" s="70" t="n">
        <f aca="false">SUM(N42:N45)</f>
        <v>77962</v>
      </c>
      <c r="O46" s="70" t="n">
        <f aca="false">SUM(O42:O45)</f>
        <v>77985</v>
      </c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4"/>
      <c r="AB46" s="63" t="str">
        <f aca="false">B46</f>
        <v>      Total Deferred Charges</v>
      </c>
      <c r="AC46" s="70" t="n">
        <f aca="false">SUM(AC42:AC45)</f>
        <v>0</v>
      </c>
      <c r="AD46" s="70" t="n">
        <f aca="false">SUM(AD42:AD45)</f>
        <v>0</v>
      </c>
      <c r="AE46" s="70" t="n">
        <f aca="false">SUM(AE42:AE45)</f>
        <v>0</v>
      </c>
      <c r="AF46" s="70" t="n">
        <f aca="false">SUM(AF42:AF45)</f>
        <v>0</v>
      </c>
      <c r="AG46" s="70" t="n">
        <f aca="false">SUM(AG42:AG45)</f>
        <v>0</v>
      </c>
      <c r="AH46" s="70" t="n">
        <f aca="false">SUM(AH42:AH45)</f>
        <v>0</v>
      </c>
      <c r="AI46" s="70" t="n">
        <f aca="false">SUM(AI42:AI45)</f>
        <v>0</v>
      </c>
      <c r="AJ46" s="70" t="n">
        <f aca="false">SUM(AJ42:AJ45)</f>
        <v>0</v>
      </c>
      <c r="AK46" s="70" t="n">
        <f aca="false">SUM(AK42:AK45)</f>
        <v>0</v>
      </c>
      <c r="AL46" s="70" t="n">
        <f aca="false">SUM(AL42:AL45)</f>
        <v>0</v>
      </c>
      <c r="AM46" s="70" t="n">
        <f aca="false">SUM(AM42:AM45)</f>
        <v>0</v>
      </c>
      <c r="AN46" s="70" t="n">
        <f aca="false">SUM(AN42:AN45)</f>
        <v>0</v>
      </c>
      <c r="AO46" s="70" t="n">
        <f aca="false">SUM(AO42:AO45)</f>
        <v>0</v>
      </c>
      <c r="AP46" s="47"/>
      <c r="AQ46" s="64"/>
      <c r="AR46" s="47"/>
      <c r="BA46" s="44"/>
      <c r="BB46" s="63" t="str">
        <f aca="false">B46</f>
        <v>      Total Deferred Charges</v>
      </c>
      <c r="BC46" s="70" t="n">
        <f aca="false">SUM(BC42:BC45)</f>
        <v>81308</v>
      </c>
      <c r="BD46" s="70" t="n">
        <f aca="false">SUM(BD42:BD45)</f>
        <v>80796</v>
      </c>
      <c r="BE46" s="70" t="n">
        <f aca="false">SUM(BE42:BE45)</f>
        <v>81090</v>
      </c>
      <c r="BF46" s="70" t="n">
        <f aca="false">SUM(BF42:BF45)</f>
        <v>80253</v>
      </c>
      <c r="BG46" s="70" t="n">
        <f aca="false">SUM(BG42:BG45)</f>
        <v>80052</v>
      </c>
      <c r="BH46" s="70" t="n">
        <f aca="false">SUM(BH42:BH45)</f>
        <v>80156</v>
      </c>
      <c r="BI46" s="70" t="n">
        <f aca="false">SUM(BI42:BI45)</f>
        <v>80074</v>
      </c>
      <c r="BJ46" s="70" t="n">
        <f aca="false">SUM(BJ42:BJ45)</f>
        <v>79866</v>
      </c>
      <c r="BK46" s="70" t="n">
        <f aca="false">SUM(BK42:BK45)</f>
        <v>79390</v>
      </c>
      <c r="BL46" s="70" t="n">
        <f aca="false">SUM(BL42:BL45)</f>
        <v>78917</v>
      </c>
      <c r="BM46" s="70" t="n">
        <f aca="false">SUM(BM42:BM45)</f>
        <v>78436</v>
      </c>
      <c r="BN46" s="70" t="n">
        <f aca="false">SUM(BN42:BN45)</f>
        <v>77962</v>
      </c>
      <c r="BO46" s="70" t="n">
        <f aca="false">SUM(BO42:BO45)</f>
        <v>77985</v>
      </c>
    </row>
    <row r="47" customFormat="false" ht="14.65" hidden="false" customHeight="false" outlineLevel="0" collapsed="false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</row>
    <row r="48" customFormat="false" ht="14.65" hidden="false" customHeight="false" outlineLevel="0" collapsed="false">
      <c r="A48" s="47"/>
      <c r="B48" s="47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47"/>
      <c r="AQ48" s="64"/>
      <c r="AR48" s="47"/>
      <c r="BA48" s="47"/>
      <c r="BB48" s="47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</row>
    <row r="49" customFormat="false" ht="14.65" hidden="false" customHeight="false" outlineLevel="0" collapsed="false">
      <c r="A49" s="44"/>
      <c r="B49" s="63" t="s">
        <v>306</v>
      </c>
      <c r="C49" s="75" t="n">
        <f aca="false">C24+C32+C38+C46</f>
        <v>1372399</v>
      </c>
      <c r="D49" s="75" t="n">
        <f aca="false">D24+D32+D38+D46</f>
        <v>1382503</v>
      </c>
      <c r="E49" s="75" t="n">
        <f aca="false">E24+E32+E38+E46</f>
        <v>1391026</v>
      </c>
      <c r="F49" s="75" t="n">
        <f aca="false">F24+F32+F38+F46</f>
        <v>1416581</v>
      </c>
      <c r="G49" s="75" t="n">
        <f aca="false">G24+G32+G38+G46</f>
        <v>1408881</v>
      </c>
      <c r="H49" s="75" t="n">
        <f aca="false">H24+H32+H38+H46</f>
        <v>1428255</v>
      </c>
      <c r="I49" s="75" t="n">
        <f aca="false">I24+I32+I38+I46</f>
        <v>1295684</v>
      </c>
      <c r="J49" s="75" t="n">
        <f aca="false">J24+J32+J38+J46</f>
        <v>1301464</v>
      </c>
      <c r="K49" s="75" t="n">
        <f aca="false">K24+K32+K38+K46</f>
        <v>1314458</v>
      </c>
      <c r="L49" s="75" t="n">
        <f aca="false">L24+L32+L38+L46</f>
        <v>1322980</v>
      </c>
      <c r="M49" s="75" t="n">
        <f aca="false">M24+M32+M38+M46</f>
        <v>1331016</v>
      </c>
      <c r="N49" s="75" t="n">
        <f aca="false">N24+N32+N38+N46</f>
        <v>1333872</v>
      </c>
      <c r="O49" s="75" t="n">
        <f aca="false">O24+O32+O38+O46</f>
        <v>1338501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4"/>
      <c r="AB49" s="63" t="str">
        <f aca="false">B49</f>
        <v>            TOTAL ASSETS</v>
      </c>
      <c r="AC49" s="75" t="n">
        <f aca="false">AC24+AC32+AC38+AC46</f>
        <v>300164</v>
      </c>
      <c r="AD49" s="75" t="n">
        <f aca="false">AD24+AD32+AD38+AD46</f>
        <v>299664</v>
      </c>
      <c r="AE49" s="75" t="n">
        <f aca="false">AE24+AE32+AE38+AE46</f>
        <v>299164</v>
      </c>
      <c r="AF49" s="75" t="n">
        <f aca="false">AF24+AF32+AF38+AF46</f>
        <v>298664</v>
      </c>
      <c r="AG49" s="75" t="n">
        <f aca="false">AG24+AG32+AG38+AG46</f>
        <v>298164</v>
      </c>
      <c r="AH49" s="75" t="n">
        <f aca="false">AH24+AH32+AH38+AH46</f>
        <v>297664</v>
      </c>
      <c r="AI49" s="75" t="n">
        <f aca="false">AI24+AI32+AI38+AI46</f>
        <v>297164</v>
      </c>
      <c r="AJ49" s="75" t="n">
        <f aca="false">AJ24+AJ32+AJ38+AJ46</f>
        <v>296664</v>
      </c>
      <c r="AK49" s="75" t="n">
        <f aca="false">AK24+AK32+AK38+AK46</f>
        <v>296164</v>
      </c>
      <c r="AL49" s="75" t="n">
        <f aca="false">AL24+AL32+AL38+AL46</f>
        <v>295664</v>
      </c>
      <c r="AM49" s="75" t="n">
        <f aca="false">AM24+AM32+AM38+AM46</f>
        <v>295164</v>
      </c>
      <c r="AN49" s="75" t="n">
        <f aca="false">AN24+AN32+AN38+AN46</f>
        <v>294664</v>
      </c>
      <c r="AO49" s="75" t="n">
        <f aca="false">AO24+AO32+AO38+AO46</f>
        <v>294164</v>
      </c>
      <c r="AP49" s="47"/>
      <c r="AQ49" s="64"/>
      <c r="AR49" s="47"/>
      <c r="BA49" s="44"/>
      <c r="BB49" s="63" t="str">
        <f aca="false">B49</f>
        <v>            TOTAL ASSETS</v>
      </c>
      <c r="BC49" s="75" t="n">
        <f aca="false">BC24+BC32+BC38+BC46</f>
        <v>1072235</v>
      </c>
      <c r="BD49" s="75" t="n">
        <f aca="false">BD24+BD32+BD38+BD46</f>
        <v>1082839</v>
      </c>
      <c r="BE49" s="75" t="n">
        <f aca="false">BE24+BE32+BE38+BE46</f>
        <v>1091862</v>
      </c>
      <c r="BF49" s="75" t="n">
        <f aca="false">BF24+BF32+BF38+BF46</f>
        <v>1117917</v>
      </c>
      <c r="BG49" s="75" t="n">
        <f aca="false">BG24+BG32+BG38+BG46</f>
        <v>1110717</v>
      </c>
      <c r="BH49" s="75" t="n">
        <f aca="false">BH24+BH32+BH38+BH46</f>
        <v>1130591</v>
      </c>
      <c r="BI49" s="75" t="n">
        <f aca="false">BI24+BI32+BI38+BI46</f>
        <v>998520</v>
      </c>
      <c r="BJ49" s="75" t="n">
        <f aca="false">BJ24+BJ32+BJ38+BJ46</f>
        <v>1004800</v>
      </c>
      <c r="BK49" s="75" t="n">
        <f aca="false">BK24+BK32+BK38+BK46</f>
        <v>1018294</v>
      </c>
      <c r="BL49" s="75" t="n">
        <f aca="false">BL24+BL32+BL38+BL46</f>
        <v>1027316</v>
      </c>
      <c r="BM49" s="75" t="n">
        <f aca="false">BM24+BM32+BM38+BM46</f>
        <v>1035852</v>
      </c>
      <c r="BN49" s="75" t="n">
        <f aca="false">BN24+BN32+BN38+BN46</f>
        <v>1039208</v>
      </c>
      <c r="BO49" s="75" t="n">
        <f aca="false">BO24+BO32+BO38+BO46</f>
        <v>1044337</v>
      </c>
    </row>
    <row r="50" customFormat="false" ht="14.65" hidden="false" customHeight="false" outlineLevel="0" collapsed="false">
      <c r="A50" s="47"/>
      <c r="B50" s="4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47"/>
      <c r="AQ50" s="64"/>
      <c r="AR50" s="47"/>
      <c r="BA50" s="47"/>
      <c r="BB50" s="47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</row>
    <row r="51" customFormat="false" ht="14.65" hidden="false" customHeight="false" outlineLevel="0" collapsed="false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</row>
    <row r="52" customFormat="false" ht="14.65" hidden="false" customHeight="false" outlineLevel="0" collapsed="false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76"/>
      <c r="AG52" s="65"/>
      <c r="AH52" s="65"/>
      <c r="AI52" s="65"/>
      <c r="AJ52" s="47"/>
      <c r="AK52" s="47"/>
      <c r="AL52" s="47"/>
      <c r="AM52" s="47"/>
      <c r="AN52" s="47"/>
      <c r="AO52" s="47"/>
      <c r="AP52" s="47"/>
      <c r="AQ52" s="47"/>
      <c r="AR52" s="47"/>
      <c r="BA52" s="47"/>
      <c r="BB52" s="47"/>
    </row>
    <row r="53" customFormat="false" ht="8.1" hidden="false" customHeight="true" outlineLevel="0" collapsed="false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BA53" s="47"/>
      <c r="BB53" s="47"/>
    </row>
    <row r="54" customFormat="false" ht="14.65" hidden="false" customHeight="false" outlineLevel="0" collapsed="false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77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47"/>
      <c r="AQ54" s="64"/>
      <c r="AR54" s="47"/>
      <c r="BA54" s="47"/>
      <c r="BB54" s="47"/>
    </row>
    <row r="55" customFormat="false" ht="14.65" hidden="false" customHeight="false" outlineLevel="0" collapsed="false">
      <c r="A55" s="44"/>
      <c r="B55" s="63" t="s">
        <v>307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4"/>
      <c r="AB55" s="63" t="str">
        <f aca="false">B55</f>
        <v>CURRENT LIABILITIES</v>
      </c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47"/>
      <c r="AQ55" s="64"/>
      <c r="AR55" s="47"/>
      <c r="BA55" s="44"/>
      <c r="BB55" s="63" t="str">
        <f aca="false">B55</f>
        <v>CURRENT LIABILITIES</v>
      </c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</row>
    <row r="56" customFormat="false" ht="14.65" hidden="false" customHeight="false" outlineLevel="0" collapsed="false">
      <c r="A56" s="65" t="s">
        <v>308</v>
      </c>
      <c r="B56" s="66" t="s">
        <v>309</v>
      </c>
      <c r="C56" s="64" t="n">
        <f aca="false">BACKUP!C275</f>
        <v>7735</v>
      </c>
      <c r="D56" s="64" t="n">
        <f aca="false">BACKUP!D275</f>
        <v>10169</v>
      </c>
      <c r="E56" s="64" t="n">
        <f aca="false">BACKUP!E275</f>
        <v>9207</v>
      </c>
      <c r="F56" s="64" t="n">
        <f aca="false">BACKUP!F275</f>
        <v>20539</v>
      </c>
      <c r="G56" s="64" t="n">
        <f aca="false">BACKUP!G275</f>
        <v>8787</v>
      </c>
      <c r="H56" s="64" t="n">
        <f aca="false">BACKUP!H275</f>
        <v>8434</v>
      </c>
      <c r="I56" s="64" t="n">
        <f aca="false">BACKUP!I275</f>
        <v>10259</v>
      </c>
      <c r="J56" s="64" t="n">
        <f aca="false">BACKUP!J275</f>
        <v>7327</v>
      </c>
      <c r="K56" s="64" t="n">
        <f aca="false">BACKUP!K275</f>
        <v>7327</v>
      </c>
      <c r="L56" s="64" t="n">
        <f aca="false">BACKUP!L275</f>
        <v>7327</v>
      </c>
      <c r="M56" s="64" t="n">
        <f aca="false">BACKUP!M275</f>
        <v>7327</v>
      </c>
      <c r="N56" s="64" t="n">
        <f aca="false">BACKUP!N275</f>
        <v>7327</v>
      </c>
      <c r="O56" s="64" t="n">
        <f aca="false">BACKUP!O275</f>
        <v>7327</v>
      </c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65" t="str">
        <f aca="false">A56</f>
        <v>A</v>
      </c>
      <c r="AB56" s="66" t="str">
        <f aca="false">B56</f>
        <v>   Accounts Payable - Assoc. Companies / Trade</v>
      </c>
      <c r="AC56" s="67" t="n">
        <v>0</v>
      </c>
      <c r="AD56" s="67" t="n">
        <v>0</v>
      </c>
      <c r="AE56" s="67" t="n">
        <v>0</v>
      </c>
      <c r="AF56" s="67" t="n">
        <v>0</v>
      </c>
      <c r="AG56" s="67" t="n">
        <v>0</v>
      </c>
      <c r="AH56" s="67" t="n">
        <v>0</v>
      </c>
      <c r="AI56" s="67" t="n">
        <v>0</v>
      </c>
      <c r="AJ56" s="67" t="n">
        <v>0</v>
      </c>
      <c r="AK56" s="67" t="n">
        <v>0</v>
      </c>
      <c r="AL56" s="67" t="n">
        <v>0</v>
      </c>
      <c r="AM56" s="67" t="n">
        <v>0</v>
      </c>
      <c r="AN56" s="67" t="n">
        <v>0</v>
      </c>
      <c r="AO56" s="67" t="n">
        <v>0</v>
      </c>
      <c r="AP56" s="47"/>
      <c r="AQ56" s="64"/>
      <c r="AR56" s="47"/>
      <c r="BA56" s="65" t="str">
        <f aca="false">A56</f>
        <v>A</v>
      </c>
      <c r="BB56" s="66" t="str">
        <f aca="false">B56</f>
        <v>   Accounts Payable - Assoc. Companies / Trade</v>
      </c>
      <c r="BC56" s="68" t="n">
        <f aca="false">C56-AC56</f>
        <v>7735</v>
      </c>
      <c r="BD56" s="68" t="n">
        <f aca="false">D56-AD56</f>
        <v>10169</v>
      </c>
      <c r="BE56" s="68" t="n">
        <f aca="false">E56-AE56</f>
        <v>9207</v>
      </c>
      <c r="BF56" s="68" t="n">
        <f aca="false">F56-AF56</f>
        <v>20539</v>
      </c>
      <c r="BG56" s="68" t="n">
        <f aca="false">G56-AG56</f>
        <v>8787</v>
      </c>
      <c r="BH56" s="68" t="n">
        <f aca="false">H56-AH56</f>
        <v>8434</v>
      </c>
      <c r="BI56" s="68" t="n">
        <f aca="false">I56-AI56</f>
        <v>10259</v>
      </c>
      <c r="BJ56" s="68" t="n">
        <f aca="false">J56-AJ56</f>
        <v>7327</v>
      </c>
      <c r="BK56" s="68" t="n">
        <f aca="false">K56-AK56</f>
        <v>7327</v>
      </c>
      <c r="BL56" s="68" t="n">
        <f aca="false">L56-AL56</f>
        <v>7327</v>
      </c>
      <c r="BM56" s="68" t="n">
        <f aca="false">M56-AM56</f>
        <v>7327</v>
      </c>
      <c r="BN56" s="68" t="n">
        <f aca="false">N56-AN56</f>
        <v>7327</v>
      </c>
      <c r="BO56" s="68" t="n">
        <f aca="false">O56-AO56</f>
        <v>7327</v>
      </c>
    </row>
    <row r="57" customFormat="false" ht="14.65" hidden="false" customHeight="false" outlineLevel="0" collapsed="false">
      <c r="A57" s="65" t="s">
        <v>308</v>
      </c>
      <c r="B57" s="66" t="s">
        <v>310</v>
      </c>
      <c r="C57" s="64" t="n">
        <f aca="false">BACKUP!C293</f>
        <v>0</v>
      </c>
      <c r="D57" s="64" t="n">
        <f aca="false">BACKUP!D293</f>
        <v>0</v>
      </c>
      <c r="E57" s="64" t="n">
        <f aca="false">BACKUP!E293</f>
        <v>0</v>
      </c>
      <c r="F57" s="64" t="n">
        <f aca="false">BACKUP!F293</f>
        <v>0</v>
      </c>
      <c r="G57" s="64" t="n">
        <f aca="false">BACKUP!G293</f>
        <v>0</v>
      </c>
      <c r="H57" s="64" t="n">
        <f aca="false">BACKUP!H293</f>
        <v>0</v>
      </c>
      <c r="I57" s="64" t="n">
        <f aca="false">BACKUP!I293</f>
        <v>0</v>
      </c>
      <c r="J57" s="64" t="n">
        <f aca="false">BACKUP!J293</f>
        <v>0</v>
      </c>
      <c r="K57" s="64" t="n">
        <f aca="false">BACKUP!K293</f>
        <v>2571</v>
      </c>
      <c r="L57" s="64" t="n">
        <f aca="false">BACKUP!L293</f>
        <v>6765</v>
      </c>
      <c r="M57" s="64" t="n">
        <f aca="false">BACKUP!M293</f>
        <v>7076</v>
      </c>
      <c r="N57" s="64" t="n">
        <f aca="false">BACKUP!N293</f>
        <v>8768</v>
      </c>
      <c r="O57" s="64" t="n">
        <f aca="false">BACKUP!O293</f>
        <v>7734</v>
      </c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65" t="str">
        <f aca="false">A57</f>
        <v>A</v>
      </c>
      <c r="AB57" s="66" t="str">
        <f aca="false">B57</f>
        <v>                               - Other</v>
      </c>
      <c r="AC57" s="67" t="n">
        <v>0</v>
      </c>
      <c r="AD57" s="67" t="n">
        <v>0</v>
      </c>
      <c r="AE57" s="67" t="n">
        <v>0</v>
      </c>
      <c r="AF57" s="67" t="n">
        <v>0</v>
      </c>
      <c r="AG57" s="67" t="n">
        <v>0</v>
      </c>
      <c r="AH57" s="67" t="n">
        <v>0</v>
      </c>
      <c r="AI57" s="67" t="n">
        <v>0</v>
      </c>
      <c r="AJ57" s="67" t="n">
        <v>0</v>
      </c>
      <c r="AK57" s="67" t="n">
        <v>0</v>
      </c>
      <c r="AL57" s="67" t="n">
        <v>0</v>
      </c>
      <c r="AM57" s="67" t="n">
        <v>0</v>
      </c>
      <c r="AN57" s="67" t="n">
        <v>0</v>
      </c>
      <c r="AO57" s="67" t="n">
        <v>0</v>
      </c>
      <c r="AP57" s="47"/>
      <c r="AQ57" s="47"/>
      <c r="AR57" s="47"/>
      <c r="BA57" s="65" t="str">
        <f aca="false">A57</f>
        <v>A</v>
      </c>
      <c r="BB57" s="66" t="str">
        <f aca="false">B57</f>
        <v>                               - Other</v>
      </c>
      <c r="BC57" s="68" t="n">
        <f aca="false">C57-AC57</f>
        <v>0</v>
      </c>
      <c r="BD57" s="68" t="n">
        <f aca="false">D57-AD57</f>
        <v>0</v>
      </c>
      <c r="BE57" s="68" t="n">
        <f aca="false">E57-AE57</f>
        <v>0</v>
      </c>
      <c r="BF57" s="68" t="n">
        <f aca="false">F57-AF57</f>
        <v>0</v>
      </c>
      <c r="BG57" s="68" t="n">
        <f aca="false">G57-AG57</f>
        <v>0</v>
      </c>
      <c r="BH57" s="68" t="n">
        <f aca="false">H57-AH57</f>
        <v>0</v>
      </c>
      <c r="BI57" s="68" t="n">
        <f aca="false">I57-AI57</f>
        <v>0</v>
      </c>
      <c r="BJ57" s="68" t="n">
        <f aca="false">J57-AJ57</f>
        <v>0</v>
      </c>
      <c r="BK57" s="68" t="n">
        <f aca="false">K57-AK57</f>
        <v>2571</v>
      </c>
      <c r="BL57" s="68" t="n">
        <f aca="false">L57-AL57</f>
        <v>6765</v>
      </c>
      <c r="BM57" s="68" t="n">
        <f aca="false">M57-AM57</f>
        <v>7076</v>
      </c>
      <c r="BN57" s="68" t="n">
        <f aca="false">N57-AN57</f>
        <v>8768</v>
      </c>
      <c r="BO57" s="68" t="n">
        <f aca="false">O57-AO57</f>
        <v>7734</v>
      </c>
    </row>
    <row r="58" customFormat="false" ht="14.65" hidden="false" customHeight="false" outlineLevel="0" collapsed="false">
      <c r="A58" s="65" t="s">
        <v>311</v>
      </c>
      <c r="B58" s="66" t="s">
        <v>312</v>
      </c>
      <c r="C58" s="79" t="n">
        <f aca="false">BACKUP!C309</f>
        <v>0</v>
      </c>
      <c r="D58" s="79" t="n">
        <f aca="false">BACKUP!D309</f>
        <v>0</v>
      </c>
      <c r="E58" s="79" t="n">
        <f aca="false">BACKUP!E309</f>
        <v>0</v>
      </c>
      <c r="F58" s="79" t="n">
        <f aca="false">BACKUP!F309</f>
        <v>0</v>
      </c>
      <c r="G58" s="79" t="n">
        <f aca="false">BACKUP!G309</f>
        <v>22967</v>
      </c>
      <c r="H58" s="79" t="n">
        <f aca="false">BACKUP!H309</f>
        <v>5940</v>
      </c>
      <c r="I58" s="79" t="n">
        <f aca="false">BACKUP!I309</f>
        <v>0</v>
      </c>
      <c r="J58" s="79" t="n">
        <f aca="false">BACKUP!J309</f>
        <v>-10</v>
      </c>
      <c r="K58" s="79" t="n">
        <f aca="false">BACKUP!K309</f>
        <v>-10</v>
      </c>
      <c r="L58" s="79" t="n">
        <f aca="false">BACKUP!L309</f>
        <v>-10</v>
      </c>
      <c r="M58" s="79" t="n">
        <f aca="false">BACKUP!M309</f>
        <v>-10</v>
      </c>
      <c r="N58" s="79" t="n">
        <f aca="false">BACKUP!N309</f>
        <v>-10</v>
      </c>
      <c r="O58" s="79" t="n">
        <f aca="false">BACKUP!O309</f>
        <v>-10</v>
      </c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65" t="str">
        <f aca="false">A58</f>
        <v>B</v>
      </c>
      <c r="AB58" s="66" t="str">
        <f aca="false">B58</f>
        <v>   Liability Price Risk Management</v>
      </c>
      <c r="AC58" s="67" t="n">
        <v>0</v>
      </c>
      <c r="AD58" s="67" t="n">
        <v>0</v>
      </c>
      <c r="AE58" s="67" t="n">
        <v>0</v>
      </c>
      <c r="AF58" s="67" t="n">
        <v>0</v>
      </c>
      <c r="AG58" s="67" t="n">
        <v>0</v>
      </c>
      <c r="AH58" s="67" t="n">
        <v>0</v>
      </c>
      <c r="AI58" s="67" t="n">
        <v>0</v>
      </c>
      <c r="AJ58" s="67" t="n">
        <v>0</v>
      </c>
      <c r="AK58" s="67" t="n">
        <v>0</v>
      </c>
      <c r="AL58" s="67" t="n">
        <v>0</v>
      </c>
      <c r="AM58" s="67" t="n">
        <v>0</v>
      </c>
      <c r="AN58" s="67" t="n">
        <v>0</v>
      </c>
      <c r="AO58" s="67" t="n">
        <v>0</v>
      </c>
      <c r="AP58" s="47"/>
      <c r="AQ58" s="64"/>
      <c r="AR58" s="47"/>
      <c r="BA58" s="65" t="str">
        <f aca="false">A58</f>
        <v>B</v>
      </c>
      <c r="BB58" s="66" t="str">
        <f aca="false">B58</f>
        <v>   Liability Price Risk Management</v>
      </c>
      <c r="BC58" s="68" t="n">
        <f aca="false">C58-AC58</f>
        <v>0</v>
      </c>
      <c r="BD58" s="68" t="n">
        <f aca="false">D58-AD58</f>
        <v>0</v>
      </c>
      <c r="BE58" s="68" t="n">
        <f aca="false">E58-AE58</f>
        <v>0</v>
      </c>
      <c r="BF58" s="68" t="n">
        <f aca="false">F58-AF58</f>
        <v>0</v>
      </c>
      <c r="BG58" s="68" t="n">
        <f aca="false">G58-AG58</f>
        <v>22967</v>
      </c>
      <c r="BH58" s="68" t="n">
        <f aca="false">H58-AH58</f>
        <v>5940</v>
      </c>
      <c r="BI58" s="68" t="n">
        <f aca="false">I58-AI58</f>
        <v>0</v>
      </c>
      <c r="BJ58" s="68" t="n">
        <f aca="false">J58-AJ58</f>
        <v>-10</v>
      </c>
      <c r="BK58" s="68" t="n">
        <f aca="false">K58-AK58</f>
        <v>-10</v>
      </c>
      <c r="BL58" s="68" t="n">
        <f aca="false">L58-AL58</f>
        <v>-10</v>
      </c>
      <c r="BM58" s="68" t="n">
        <f aca="false">M58-AM58</f>
        <v>-10</v>
      </c>
      <c r="BN58" s="68" t="n">
        <f aca="false">N58-AN58</f>
        <v>-10</v>
      </c>
      <c r="BO58" s="68" t="n">
        <f aca="false">O58-AO58</f>
        <v>-10</v>
      </c>
    </row>
    <row r="59" customFormat="false" ht="14.65" hidden="false" customHeight="false" outlineLevel="0" collapsed="false">
      <c r="A59" s="65" t="s">
        <v>311</v>
      </c>
      <c r="B59" s="66" t="s">
        <v>313</v>
      </c>
      <c r="C59" s="64" t="n">
        <f aca="false">BACKUP!C317</f>
        <v>7331</v>
      </c>
      <c r="D59" s="64" t="n">
        <f aca="false">BACKUP!D317</f>
        <v>8570</v>
      </c>
      <c r="E59" s="64" t="n">
        <f aca="false">BACKUP!E317</f>
        <v>6683</v>
      </c>
      <c r="F59" s="64" t="n">
        <f aca="false">BACKUP!F317</f>
        <v>8636</v>
      </c>
      <c r="G59" s="64" t="n">
        <f aca="false">BACKUP!G317</f>
        <v>10593</v>
      </c>
      <c r="H59" s="64" t="n">
        <f aca="false">BACKUP!H317</f>
        <v>11431</v>
      </c>
      <c r="I59" s="64" t="n">
        <f aca="false">BACKUP!I317</f>
        <v>12007</v>
      </c>
      <c r="J59" s="64" t="n">
        <f aca="false">BACKUP!J317</f>
        <v>13191</v>
      </c>
      <c r="K59" s="64" t="n">
        <f aca="false">BACKUP!K317</f>
        <v>13191</v>
      </c>
      <c r="L59" s="64" t="n">
        <f aca="false">BACKUP!L317</f>
        <v>13191</v>
      </c>
      <c r="M59" s="64" t="n">
        <f aca="false">BACKUP!M317</f>
        <v>13191</v>
      </c>
      <c r="N59" s="64" t="n">
        <f aca="false">BACKUP!N317</f>
        <v>13191</v>
      </c>
      <c r="O59" s="64" t="n">
        <f aca="false">BACKUP!O317</f>
        <v>13191</v>
      </c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65" t="str">
        <f aca="false">A59</f>
        <v>B</v>
      </c>
      <c r="AB59" s="66" t="str">
        <f aca="false">B59</f>
        <v>   Exchange Gas Payable</v>
      </c>
      <c r="AC59" s="67" t="n">
        <v>0</v>
      </c>
      <c r="AD59" s="67" t="n">
        <v>0</v>
      </c>
      <c r="AE59" s="67" t="n">
        <v>0</v>
      </c>
      <c r="AF59" s="67" t="n">
        <v>0</v>
      </c>
      <c r="AG59" s="67" t="n">
        <v>0</v>
      </c>
      <c r="AH59" s="67" t="n">
        <v>0</v>
      </c>
      <c r="AI59" s="67" t="n">
        <v>0</v>
      </c>
      <c r="AJ59" s="67" t="n">
        <v>0</v>
      </c>
      <c r="AK59" s="67" t="n">
        <v>0</v>
      </c>
      <c r="AL59" s="67" t="n">
        <v>0</v>
      </c>
      <c r="AM59" s="67" t="n">
        <v>0</v>
      </c>
      <c r="AN59" s="67" t="n">
        <v>0</v>
      </c>
      <c r="AO59" s="67" t="n">
        <v>0</v>
      </c>
      <c r="AP59" s="47"/>
      <c r="AQ59" s="64"/>
      <c r="AR59" s="47"/>
      <c r="BA59" s="65" t="str">
        <f aca="false">A59</f>
        <v>B</v>
      </c>
      <c r="BB59" s="66" t="str">
        <f aca="false">B59</f>
        <v>   Exchange Gas Payable</v>
      </c>
      <c r="BC59" s="68" t="n">
        <f aca="false">C59-AC59</f>
        <v>7331</v>
      </c>
      <c r="BD59" s="68" t="n">
        <f aca="false">D59-AD59</f>
        <v>8570</v>
      </c>
      <c r="BE59" s="68" t="n">
        <f aca="false">E59-AE59</f>
        <v>6683</v>
      </c>
      <c r="BF59" s="68" t="n">
        <f aca="false">F59-AF59</f>
        <v>8636</v>
      </c>
      <c r="BG59" s="68" t="n">
        <f aca="false">G59-AG59</f>
        <v>10593</v>
      </c>
      <c r="BH59" s="68" t="n">
        <f aca="false">H59-AH59</f>
        <v>11431</v>
      </c>
      <c r="BI59" s="68" t="n">
        <f aca="false">I59-AI59</f>
        <v>12007</v>
      </c>
      <c r="BJ59" s="68" t="n">
        <f aca="false">J59-AJ59</f>
        <v>13191</v>
      </c>
      <c r="BK59" s="68" t="n">
        <f aca="false">K59-AK59</f>
        <v>13191</v>
      </c>
      <c r="BL59" s="68" t="n">
        <f aca="false">L59-AL59</f>
        <v>13191</v>
      </c>
      <c r="BM59" s="68" t="n">
        <f aca="false">M59-AM59</f>
        <v>13191</v>
      </c>
      <c r="BN59" s="68" t="n">
        <f aca="false">N59-AN59</f>
        <v>13191</v>
      </c>
      <c r="BO59" s="68" t="n">
        <f aca="false">O59-AO59</f>
        <v>13191</v>
      </c>
    </row>
    <row r="60" customFormat="false" ht="14.65" hidden="false" customHeight="false" outlineLevel="0" collapsed="false">
      <c r="A60" s="65" t="s">
        <v>311</v>
      </c>
      <c r="B60" s="66" t="s">
        <v>314</v>
      </c>
      <c r="C60" s="64" t="n">
        <f aca="false">BACKUP!C342</f>
        <v>6126</v>
      </c>
      <c r="D60" s="64" t="n">
        <f aca="false">BACKUP!D342</f>
        <v>5393</v>
      </c>
      <c r="E60" s="64" t="n">
        <f aca="false">BACKUP!E342</f>
        <v>6454</v>
      </c>
      <c r="F60" s="64" t="n">
        <f aca="false">BACKUP!F342</f>
        <v>7503</v>
      </c>
      <c r="G60" s="64" t="n">
        <f aca="false">BACKUP!G342</f>
        <v>5021</v>
      </c>
      <c r="H60" s="64" t="n">
        <f aca="false">BACKUP!H342</f>
        <v>5095</v>
      </c>
      <c r="I60" s="64" t="n">
        <f aca="false">BACKUP!I342</f>
        <v>5668</v>
      </c>
      <c r="J60" s="64" t="n">
        <f aca="false">BACKUP!J342</f>
        <v>6434</v>
      </c>
      <c r="K60" s="64" t="n">
        <f aca="false">BACKUP!K342</f>
        <v>7044</v>
      </c>
      <c r="L60" s="64" t="n">
        <f aca="false">BACKUP!L342</f>
        <v>7869</v>
      </c>
      <c r="M60" s="64" t="n">
        <f aca="false">BACKUP!M342</f>
        <v>5367</v>
      </c>
      <c r="N60" s="64" t="n">
        <f aca="false">BACKUP!N342</f>
        <v>5992</v>
      </c>
      <c r="O60" s="64" t="n">
        <f aca="false">BACKUP!O342</f>
        <v>5611</v>
      </c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65" t="str">
        <f aca="false">A60</f>
        <v>B</v>
      </c>
      <c r="AB60" s="66" t="str">
        <f aca="false">B60</f>
        <v>   Accrued Taxes</v>
      </c>
      <c r="AC60" s="67" t="n">
        <v>0</v>
      </c>
      <c r="AD60" s="67" t="n">
        <v>0</v>
      </c>
      <c r="AE60" s="67" t="n">
        <v>0</v>
      </c>
      <c r="AF60" s="67" t="n">
        <v>0</v>
      </c>
      <c r="AG60" s="67" t="n">
        <v>0</v>
      </c>
      <c r="AH60" s="67" t="n">
        <v>0</v>
      </c>
      <c r="AI60" s="67" t="n">
        <v>0</v>
      </c>
      <c r="AJ60" s="67" t="n">
        <v>0</v>
      </c>
      <c r="AK60" s="67" t="n">
        <v>0</v>
      </c>
      <c r="AL60" s="67" t="n">
        <v>0</v>
      </c>
      <c r="AM60" s="67" t="n">
        <v>0</v>
      </c>
      <c r="AN60" s="67" t="n">
        <v>0</v>
      </c>
      <c r="AO60" s="67" t="n">
        <v>0</v>
      </c>
      <c r="AP60" s="47"/>
      <c r="AQ60" s="64"/>
      <c r="AR60" s="47"/>
      <c r="BA60" s="65" t="str">
        <f aca="false">A60</f>
        <v>B</v>
      </c>
      <c r="BB60" s="66" t="str">
        <f aca="false">B60</f>
        <v>   Accrued Taxes</v>
      </c>
      <c r="BC60" s="68" t="n">
        <f aca="false">C60-AC60</f>
        <v>6126</v>
      </c>
      <c r="BD60" s="68" t="n">
        <f aca="false">D60-AD60</f>
        <v>5393</v>
      </c>
      <c r="BE60" s="68" t="n">
        <f aca="false">E60-AE60</f>
        <v>6454</v>
      </c>
      <c r="BF60" s="68" t="n">
        <f aca="false">F60-AF60</f>
        <v>7503</v>
      </c>
      <c r="BG60" s="68" t="n">
        <f aca="false">G60-AG60</f>
        <v>5021</v>
      </c>
      <c r="BH60" s="68" t="n">
        <f aca="false">H60-AH60</f>
        <v>5095</v>
      </c>
      <c r="BI60" s="68" t="n">
        <f aca="false">I60-AI60</f>
        <v>5668</v>
      </c>
      <c r="BJ60" s="68" t="n">
        <f aca="false">J60-AJ60</f>
        <v>6434</v>
      </c>
      <c r="BK60" s="68" t="n">
        <f aca="false">K60-AK60</f>
        <v>7044</v>
      </c>
      <c r="BL60" s="68" t="n">
        <f aca="false">L60-AL60</f>
        <v>7869</v>
      </c>
      <c r="BM60" s="68" t="n">
        <f aca="false">M60-AM60</f>
        <v>5367</v>
      </c>
      <c r="BN60" s="68" t="n">
        <f aca="false">N60-AN60</f>
        <v>5992</v>
      </c>
      <c r="BO60" s="68" t="n">
        <f aca="false">O60-AO60</f>
        <v>5611</v>
      </c>
    </row>
    <row r="61" customFormat="false" ht="14.65" hidden="false" customHeight="false" outlineLevel="0" collapsed="false">
      <c r="A61" s="65" t="s">
        <v>315</v>
      </c>
      <c r="B61" s="66" t="s">
        <v>316</v>
      </c>
      <c r="C61" s="64" t="n">
        <f aca="false">BACKUP!C352</f>
        <v>2129</v>
      </c>
      <c r="D61" s="64" t="n">
        <f aca="false">BACKUP!D352</f>
        <v>2129</v>
      </c>
      <c r="E61" s="64" t="n">
        <f aca="false">BACKUP!E352</f>
        <v>2129</v>
      </c>
      <c r="F61" s="64" t="n">
        <f aca="false">BACKUP!F352</f>
        <v>2129</v>
      </c>
      <c r="G61" s="64" t="n">
        <f aca="false">BACKUP!G352</f>
        <v>879</v>
      </c>
      <c r="H61" s="64" t="n">
        <f aca="false">BACKUP!H352</f>
        <v>6632</v>
      </c>
      <c r="I61" s="64" t="n">
        <f aca="false">BACKUP!I352</f>
        <v>2129</v>
      </c>
      <c r="J61" s="64" t="n">
        <f aca="false">BACKUP!J352</f>
        <v>2119</v>
      </c>
      <c r="K61" s="64" t="n">
        <f aca="false">BACKUP!K352</f>
        <v>2119</v>
      </c>
      <c r="L61" s="64" t="n">
        <f aca="false">BACKUP!L352</f>
        <v>2119</v>
      </c>
      <c r="M61" s="64" t="n">
        <f aca="false">BACKUP!M352</f>
        <v>2119</v>
      </c>
      <c r="N61" s="64" t="n">
        <f aca="false">BACKUP!N352</f>
        <v>2119</v>
      </c>
      <c r="O61" s="64" t="n">
        <f aca="false">BACKUP!O352</f>
        <v>2119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65" t="str">
        <f aca="false">A61</f>
        <v>C</v>
      </c>
      <c r="AB61" s="66" t="str">
        <f aca="false">B61</f>
        <v>   Deferred Income Taxes - Current</v>
      </c>
      <c r="AC61" s="67" t="n">
        <v>0</v>
      </c>
      <c r="AD61" s="67" t="n">
        <v>0</v>
      </c>
      <c r="AE61" s="67" t="n">
        <v>0</v>
      </c>
      <c r="AF61" s="67" t="n">
        <v>0</v>
      </c>
      <c r="AG61" s="67" t="n">
        <v>0</v>
      </c>
      <c r="AH61" s="67" t="n">
        <v>0</v>
      </c>
      <c r="AI61" s="67" t="n">
        <v>0</v>
      </c>
      <c r="AJ61" s="67" t="n">
        <v>0</v>
      </c>
      <c r="AK61" s="67" t="n">
        <v>0</v>
      </c>
      <c r="AL61" s="67" t="n">
        <v>0</v>
      </c>
      <c r="AM61" s="67" t="n">
        <v>0</v>
      </c>
      <c r="AN61" s="67" t="n">
        <v>0</v>
      </c>
      <c r="AO61" s="67" t="n">
        <v>0</v>
      </c>
      <c r="AP61" s="47"/>
      <c r="AQ61" s="64"/>
      <c r="AR61" s="47"/>
      <c r="BA61" s="65" t="str">
        <f aca="false">A61</f>
        <v>C</v>
      </c>
      <c r="BB61" s="66" t="str">
        <f aca="false">B61</f>
        <v>   Deferred Income Taxes - Current</v>
      </c>
      <c r="BC61" s="68" t="n">
        <f aca="false">C61-AC61</f>
        <v>2129</v>
      </c>
      <c r="BD61" s="68" t="n">
        <f aca="false">D61-AD61</f>
        <v>2129</v>
      </c>
      <c r="BE61" s="68" t="n">
        <f aca="false">E61-AE61</f>
        <v>2129</v>
      </c>
      <c r="BF61" s="68" t="n">
        <f aca="false">F61-AF61</f>
        <v>2129</v>
      </c>
      <c r="BG61" s="68" t="n">
        <f aca="false">G61-AG61</f>
        <v>879</v>
      </c>
      <c r="BH61" s="68" t="n">
        <f aca="false">H61-AH61</f>
        <v>6632</v>
      </c>
      <c r="BI61" s="68" t="n">
        <f aca="false">I61-AI61</f>
        <v>2129</v>
      </c>
      <c r="BJ61" s="68" t="n">
        <f aca="false">J61-AJ61</f>
        <v>2119</v>
      </c>
      <c r="BK61" s="68" t="n">
        <f aca="false">K61-AK61</f>
        <v>2119</v>
      </c>
      <c r="BL61" s="68" t="n">
        <f aca="false">L61-AL61</f>
        <v>2119</v>
      </c>
      <c r="BM61" s="68" t="n">
        <f aca="false">M61-AM61</f>
        <v>2119</v>
      </c>
      <c r="BN61" s="68" t="n">
        <f aca="false">N61-AN61</f>
        <v>2119</v>
      </c>
      <c r="BO61" s="68" t="n">
        <f aca="false">O61-AO61</f>
        <v>2119</v>
      </c>
    </row>
    <row r="62" customFormat="false" ht="14.65" hidden="false" customHeight="false" outlineLevel="0" collapsed="false">
      <c r="A62" s="65" t="s">
        <v>311</v>
      </c>
      <c r="B62" s="66" t="s">
        <v>317</v>
      </c>
      <c r="C62" s="64" t="n">
        <f aca="false">BACKUP!C372</f>
        <v>3012</v>
      </c>
      <c r="D62" s="64" t="n">
        <f aca="false">BACKUP!D372</f>
        <v>4055</v>
      </c>
      <c r="E62" s="64" t="n">
        <f aca="false">BACKUP!E372</f>
        <v>5099</v>
      </c>
      <c r="F62" s="64" t="n">
        <f aca="false">BACKUP!F372</f>
        <v>6142</v>
      </c>
      <c r="G62" s="64" t="n">
        <f aca="false">BACKUP!G372</f>
        <v>1367</v>
      </c>
      <c r="H62" s="64" t="n">
        <f aca="false">BACKUP!H372</f>
        <v>1453</v>
      </c>
      <c r="I62" s="64" t="n">
        <f aca="false">BACKUP!I372</f>
        <v>237</v>
      </c>
      <c r="J62" s="64" t="n">
        <f aca="false">BACKUP!J372</f>
        <v>355</v>
      </c>
      <c r="K62" s="64" t="n">
        <f aca="false">BACKUP!K372</f>
        <v>473</v>
      </c>
      <c r="L62" s="64" t="n">
        <f aca="false">BACKUP!L372</f>
        <v>592</v>
      </c>
      <c r="M62" s="64" t="n">
        <f aca="false">BACKUP!M372</f>
        <v>710</v>
      </c>
      <c r="N62" s="64" t="n">
        <f aca="false">BACKUP!N372</f>
        <v>119</v>
      </c>
      <c r="O62" s="64" t="n">
        <f aca="false">BACKUP!O372</f>
        <v>208</v>
      </c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65" t="str">
        <f aca="false">A62</f>
        <v>B</v>
      </c>
      <c r="AB62" s="66" t="str">
        <f aca="false">B62</f>
        <v>   Accrued Interest</v>
      </c>
      <c r="AC62" s="67" t="n">
        <v>0</v>
      </c>
      <c r="AD62" s="67" t="n">
        <v>0</v>
      </c>
      <c r="AE62" s="67" t="n">
        <v>0</v>
      </c>
      <c r="AF62" s="67" t="n">
        <v>0</v>
      </c>
      <c r="AG62" s="67" t="n">
        <v>0</v>
      </c>
      <c r="AH62" s="67" t="n">
        <v>0</v>
      </c>
      <c r="AI62" s="67" t="n">
        <v>0</v>
      </c>
      <c r="AJ62" s="67" t="n">
        <v>0</v>
      </c>
      <c r="AK62" s="67" t="n">
        <v>0</v>
      </c>
      <c r="AL62" s="67" t="n">
        <v>0</v>
      </c>
      <c r="AM62" s="67" t="n">
        <v>0</v>
      </c>
      <c r="AN62" s="67" t="n">
        <v>0</v>
      </c>
      <c r="AO62" s="67" t="n">
        <v>0</v>
      </c>
      <c r="AP62" s="47"/>
      <c r="AQ62" s="64"/>
      <c r="AR62" s="47"/>
      <c r="BA62" s="65" t="str">
        <f aca="false">A62</f>
        <v>B</v>
      </c>
      <c r="BB62" s="66" t="str">
        <f aca="false">B62</f>
        <v>   Accrued Interest</v>
      </c>
      <c r="BC62" s="68" t="n">
        <f aca="false">C62-AC62</f>
        <v>3012</v>
      </c>
      <c r="BD62" s="68" t="n">
        <f aca="false">D62-AD62</f>
        <v>4055</v>
      </c>
      <c r="BE62" s="68" t="n">
        <f aca="false">E62-AE62</f>
        <v>5099</v>
      </c>
      <c r="BF62" s="68" t="n">
        <f aca="false">F62-AF62</f>
        <v>6142</v>
      </c>
      <c r="BG62" s="68" t="n">
        <f aca="false">G62-AG62</f>
        <v>1367</v>
      </c>
      <c r="BH62" s="68" t="n">
        <f aca="false">H62-AH62</f>
        <v>1453</v>
      </c>
      <c r="BI62" s="68" t="n">
        <f aca="false">I62-AI62</f>
        <v>237</v>
      </c>
      <c r="BJ62" s="68" t="n">
        <f aca="false">J62-AJ62</f>
        <v>355</v>
      </c>
      <c r="BK62" s="68" t="n">
        <f aca="false">K62-AK62</f>
        <v>473</v>
      </c>
      <c r="BL62" s="68" t="n">
        <f aca="false">L62-AL62</f>
        <v>592</v>
      </c>
      <c r="BM62" s="68" t="n">
        <f aca="false">M62-AM62</f>
        <v>710</v>
      </c>
      <c r="BN62" s="68" t="n">
        <f aca="false">N62-AN62</f>
        <v>119</v>
      </c>
      <c r="BO62" s="68" t="n">
        <f aca="false">O62-AO62</f>
        <v>208</v>
      </c>
    </row>
    <row r="63" customFormat="false" ht="14.65" hidden="false" customHeight="false" outlineLevel="0" collapsed="false">
      <c r="A63" s="65" t="s">
        <v>318</v>
      </c>
      <c r="B63" s="66" t="s">
        <v>319</v>
      </c>
      <c r="C63" s="64" t="n">
        <f aca="false">BACKUP!C402</f>
        <v>0</v>
      </c>
      <c r="D63" s="64" t="n">
        <f aca="false">BACKUP!D402</f>
        <v>0</v>
      </c>
      <c r="E63" s="64" t="n">
        <f aca="false">BACKUP!E402</f>
        <v>0</v>
      </c>
      <c r="F63" s="64" t="n">
        <f aca="false">BACKUP!F402</f>
        <v>0</v>
      </c>
      <c r="G63" s="64" t="n">
        <f aca="false">BACKUP!G402</f>
        <v>0</v>
      </c>
      <c r="H63" s="64" t="n">
        <f aca="false">BACKUP!H402</f>
        <v>0</v>
      </c>
      <c r="I63" s="64" t="n">
        <f aca="false">BACKUP!I402</f>
        <v>0</v>
      </c>
      <c r="J63" s="64" t="n">
        <f aca="false">BACKUP!J402</f>
        <v>0</v>
      </c>
      <c r="K63" s="64" t="n">
        <f aca="false">BACKUP!K402</f>
        <v>0</v>
      </c>
      <c r="L63" s="64" t="n">
        <f aca="false">BACKUP!L402</f>
        <v>0</v>
      </c>
      <c r="M63" s="64" t="n">
        <f aca="false">BACKUP!M402</f>
        <v>0</v>
      </c>
      <c r="N63" s="64" t="n">
        <f aca="false">BACKUP!N402</f>
        <v>0</v>
      </c>
      <c r="O63" s="64" t="n">
        <f aca="false">BACKUP!O402</f>
        <v>0</v>
      </c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65" t="str">
        <f aca="false">A63</f>
        <v>F</v>
      </c>
      <c r="AB63" s="66" t="str">
        <f aca="false">B63</f>
        <v>   Regulatory Liabilities</v>
      </c>
      <c r="AC63" s="67" t="n">
        <v>0</v>
      </c>
      <c r="AD63" s="67" t="n">
        <v>0</v>
      </c>
      <c r="AE63" s="67" t="n">
        <v>0</v>
      </c>
      <c r="AF63" s="67" t="n">
        <v>0</v>
      </c>
      <c r="AG63" s="67" t="n">
        <v>0</v>
      </c>
      <c r="AH63" s="67" t="n">
        <v>0</v>
      </c>
      <c r="AI63" s="67" t="n">
        <v>0</v>
      </c>
      <c r="AJ63" s="67" t="n">
        <v>0</v>
      </c>
      <c r="AK63" s="67" t="n">
        <v>0</v>
      </c>
      <c r="AL63" s="67" t="n">
        <v>0</v>
      </c>
      <c r="AM63" s="67" t="n">
        <v>0</v>
      </c>
      <c r="AN63" s="67" t="n">
        <v>0</v>
      </c>
      <c r="AO63" s="67" t="n">
        <v>0</v>
      </c>
      <c r="AP63" s="47"/>
      <c r="AQ63" s="47"/>
      <c r="AR63" s="47"/>
      <c r="BA63" s="65" t="str">
        <f aca="false">A63</f>
        <v>F</v>
      </c>
      <c r="BB63" s="66" t="str">
        <f aca="false">B63</f>
        <v>   Regulatory Liabilities</v>
      </c>
      <c r="BC63" s="68" t="n">
        <f aca="false">C63-AC63</f>
        <v>0</v>
      </c>
      <c r="BD63" s="68" t="n">
        <f aca="false">D63-AD63</f>
        <v>0</v>
      </c>
      <c r="BE63" s="68" t="n">
        <f aca="false">E63-AE63</f>
        <v>0</v>
      </c>
      <c r="BF63" s="68" t="n">
        <f aca="false">F63-AF63</f>
        <v>0</v>
      </c>
      <c r="BG63" s="68" t="n">
        <f aca="false">G63-AG63</f>
        <v>0</v>
      </c>
      <c r="BH63" s="68" t="n">
        <f aca="false">H63-AH63</f>
        <v>0</v>
      </c>
      <c r="BI63" s="68" t="n">
        <f aca="false">I63-AI63</f>
        <v>0</v>
      </c>
      <c r="BJ63" s="68" t="n">
        <f aca="false">J63-AJ63</f>
        <v>0</v>
      </c>
      <c r="BK63" s="68" t="n">
        <f aca="false">K63-AK63</f>
        <v>0</v>
      </c>
      <c r="BL63" s="68" t="n">
        <f aca="false">L63-AL63</f>
        <v>0</v>
      </c>
      <c r="BM63" s="68" t="n">
        <f aca="false">M63-AM63</f>
        <v>0</v>
      </c>
      <c r="BN63" s="68" t="n">
        <f aca="false">N63-AN63</f>
        <v>0</v>
      </c>
      <c r="BO63" s="68" t="n">
        <f aca="false">O63-AO63</f>
        <v>0</v>
      </c>
    </row>
    <row r="64" customFormat="false" ht="14.65" hidden="false" customHeight="false" outlineLevel="0" collapsed="false">
      <c r="A64" s="65" t="s">
        <v>320</v>
      </c>
      <c r="B64" s="66" t="s">
        <v>40</v>
      </c>
      <c r="C64" s="70" t="n">
        <f aca="false">BACKUP!C393</f>
        <v>276</v>
      </c>
      <c r="D64" s="70" t="n">
        <f aca="false">BACKUP!D393</f>
        <v>-387</v>
      </c>
      <c r="E64" s="70" t="n">
        <f aca="false">BACKUP!E393</f>
        <v>271</v>
      </c>
      <c r="F64" s="70" t="n">
        <f aca="false">BACKUP!F393</f>
        <v>11822</v>
      </c>
      <c r="G64" s="70" t="n">
        <f aca="false">BACKUP!G393</f>
        <v>12241</v>
      </c>
      <c r="H64" s="70" t="n">
        <f aca="false">BACKUP!H393</f>
        <v>12248</v>
      </c>
      <c r="I64" s="70" t="n">
        <f aca="false">BACKUP!I393</f>
        <v>12599</v>
      </c>
      <c r="J64" s="70" t="n">
        <f aca="false">BACKUP!J393</f>
        <v>12637</v>
      </c>
      <c r="K64" s="70" t="n">
        <f aca="false">BACKUP!K393</f>
        <v>12637</v>
      </c>
      <c r="L64" s="70" t="n">
        <f aca="false">BACKUP!L393</f>
        <v>357</v>
      </c>
      <c r="M64" s="70" t="n">
        <f aca="false">BACKUP!M393</f>
        <v>357</v>
      </c>
      <c r="N64" s="70" t="n">
        <f aca="false">BACKUP!N393</f>
        <v>357</v>
      </c>
      <c r="O64" s="70" t="n">
        <f aca="false">BACKUP!O393</f>
        <v>357</v>
      </c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65" t="str">
        <f aca="false">A64</f>
        <v>H</v>
      </c>
      <c r="AB64" s="66" t="str">
        <f aca="false">B64</f>
        <v>   Other</v>
      </c>
      <c r="AC64" s="71" t="n">
        <v>0</v>
      </c>
      <c r="AD64" s="71" t="n">
        <v>0</v>
      </c>
      <c r="AE64" s="71" t="n">
        <v>0</v>
      </c>
      <c r="AF64" s="71" t="n">
        <v>0</v>
      </c>
      <c r="AG64" s="71" t="n">
        <v>0</v>
      </c>
      <c r="AH64" s="71" t="n">
        <v>0</v>
      </c>
      <c r="AI64" s="71" t="n">
        <v>0</v>
      </c>
      <c r="AJ64" s="71" t="n">
        <v>0</v>
      </c>
      <c r="AK64" s="71" t="n">
        <v>0</v>
      </c>
      <c r="AL64" s="71" t="n">
        <v>0</v>
      </c>
      <c r="AM64" s="71" t="n">
        <v>0</v>
      </c>
      <c r="AN64" s="71" t="n">
        <v>0</v>
      </c>
      <c r="AO64" s="71" t="n">
        <v>0</v>
      </c>
      <c r="AP64" s="47"/>
      <c r="AQ64" s="64"/>
      <c r="AR64" s="47"/>
      <c r="BA64" s="65" t="str">
        <f aca="false">A64</f>
        <v>H</v>
      </c>
      <c r="BB64" s="66" t="str">
        <f aca="false">B64</f>
        <v>   Other</v>
      </c>
      <c r="BC64" s="72" t="n">
        <f aca="false">C64-AC64</f>
        <v>276</v>
      </c>
      <c r="BD64" s="72" t="n">
        <f aca="false">D64-AD64</f>
        <v>-387</v>
      </c>
      <c r="BE64" s="72" t="n">
        <f aca="false">E64-AE64</f>
        <v>271</v>
      </c>
      <c r="BF64" s="72" t="n">
        <f aca="false">F64-AF64</f>
        <v>11822</v>
      </c>
      <c r="BG64" s="72" t="n">
        <f aca="false">G64-AG64</f>
        <v>12241</v>
      </c>
      <c r="BH64" s="72" t="n">
        <f aca="false">H64-AH64</f>
        <v>12248</v>
      </c>
      <c r="BI64" s="72" t="n">
        <f aca="false">I64-AI64</f>
        <v>12599</v>
      </c>
      <c r="BJ64" s="72" t="n">
        <f aca="false">J64-AJ64</f>
        <v>12637</v>
      </c>
      <c r="BK64" s="72" t="n">
        <f aca="false">K64-AK64</f>
        <v>12637</v>
      </c>
      <c r="BL64" s="72" t="n">
        <f aca="false">L64-AL64</f>
        <v>357</v>
      </c>
      <c r="BM64" s="72" t="n">
        <f aca="false">M64-AM64</f>
        <v>357</v>
      </c>
      <c r="BN64" s="72" t="n">
        <f aca="false">N64-AN64</f>
        <v>357</v>
      </c>
      <c r="BO64" s="72" t="n">
        <f aca="false">O64-AO64</f>
        <v>357</v>
      </c>
    </row>
    <row r="65" customFormat="false" ht="3.95" hidden="false" customHeight="true" outlineLevel="0" collapsed="false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</row>
    <row r="66" customFormat="false" ht="14.65" hidden="false" customHeight="false" outlineLevel="0" collapsed="false">
      <c r="A66" s="44"/>
      <c r="B66" s="63" t="s">
        <v>321</v>
      </c>
      <c r="C66" s="70" t="n">
        <f aca="false">SUM(C56:C65)</f>
        <v>26609</v>
      </c>
      <c r="D66" s="70" t="n">
        <f aca="false">SUM(D56:D65)</f>
        <v>29929</v>
      </c>
      <c r="E66" s="70" t="n">
        <f aca="false">SUM(E56:E65)</f>
        <v>29843</v>
      </c>
      <c r="F66" s="70" t="n">
        <f aca="false">SUM(F56:F65)</f>
        <v>56771</v>
      </c>
      <c r="G66" s="70" t="n">
        <f aca="false">SUM(G56:G65)</f>
        <v>61855</v>
      </c>
      <c r="H66" s="70" t="n">
        <f aca="false">SUM(H56:H65)</f>
        <v>51233</v>
      </c>
      <c r="I66" s="70" t="n">
        <f aca="false">SUM(I56:I65)</f>
        <v>42899</v>
      </c>
      <c r="J66" s="70" t="n">
        <f aca="false">SUM(J56:J65)</f>
        <v>42053</v>
      </c>
      <c r="K66" s="70" t="n">
        <f aca="false">SUM(K56:K65)</f>
        <v>45352</v>
      </c>
      <c r="L66" s="70" t="n">
        <f aca="false">SUM(L56:L65)</f>
        <v>38210</v>
      </c>
      <c r="M66" s="70" t="n">
        <f aca="false">SUM(M56:M65)</f>
        <v>36137</v>
      </c>
      <c r="N66" s="70" t="n">
        <f aca="false">SUM(N56:N65)</f>
        <v>37863</v>
      </c>
      <c r="O66" s="70" t="n">
        <f aca="false">SUM(O56:O65)</f>
        <v>36537</v>
      </c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4"/>
      <c r="AB66" s="63" t="str">
        <f aca="false">B66</f>
        <v>      Total Current Liabilities</v>
      </c>
      <c r="AC66" s="70" t="n">
        <f aca="false">SUM(AC56:AC65)</f>
        <v>0</v>
      </c>
      <c r="AD66" s="70" t="n">
        <f aca="false">SUM(AD56:AD65)</f>
        <v>0</v>
      </c>
      <c r="AE66" s="70" t="n">
        <f aca="false">SUM(AE56:AE65)</f>
        <v>0</v>
      </c>
      <c r="AF66" s="70" t="n">
        <f aca="false">SUM(AF56:AF65)</f>
        <v>0</v>
      </c>
      <c r="AG66" s="70" t="n">
        <f aca="false">SUM(AG56:AG65)</f>
        <v>0</v>
      </c>
      <c r="AH66" s="70" t="n">
        <f aca="false">SUM(AH56:AH65)</f>
        <v>0</v>
      </c>
      <c r="AI66" s="70" t="n">
        <f aca="false">SUM(AI56:AI65)</f>
        <v>0</v>
      </c>
      <c r="AJ66" s="70" t="n">
        <f aca="false">SUM(AJ56:AJ65)</f>
        <v>0</v>
      </c>
      <c r="AK66" s="70" t="n">
        <f aca="false">SUM(AK56:AK65)</f>
        <v>0</v>
      </c>
      <c r="AL66" s="70" t="n">
        <f aca="false">SUM(AL56:AL65)</f>
        <v>0</v>
      </c>
      <c r="AM66" s="70" t="n">
        <f aca="false">SUM(AM56:AM65)</f>
        <v>0</v>
      </c>
      <c r="AN66" s="70" t="n">
        <f aca="false">SUM(AN56:AN65)</f>
        <v>0</v>
      </c>
      <c r="AO66" s="70" t="n">
        <f aca="false">SUM(AO56:AO65)</f>
        <v>0</v>
      </c>
      <c r="AP66" s="47"/>
      <c r="AQ66" s="64"/>
      <c r="AR66" s="47"/>
      <c r="BA66" s="44"/>
      <c r="BB66" s="63" t="str">
        <f aca="false">B66</f>
        <v>      Total Current Liabilities</v>
      </c>
      <c r="BC66" s="70" t="n">
        <f aca="false">SUM(BC56:BC65)</f>
        <v>26609</v>
      </c>
      <c r="BD66" s="70" t="n">
        <f aca="false">SUM(BD56:BD65)</f>
        <v>29929</v>
      </c>
      <c r="BE66" s="70" t="n">
        <f aca="false">SUM(BE56:BE65)</f>
        <v>29843</v>
      </c>
      <c r="BF66" s="70" t="n">
        <f aca="false">SUM(BF56:BF65)</f>
        <v>56771</v>
      </c>
      <c r="BG66" s="70" t="n">
        <f aca="false">SUM(BG56:BG65)</f>
        <v>61855</v>
      </c>
      <c r="BH66" s="70" t="n">
        <f aca="false">SUM(BH56:BH65)</f>
        <v>51233</v>
      </c>
      <c r="BI66" s="70" t="n">
        <f aca="false">SUM(BI56:BI65)</f>
        <v>42899</v>
      </c>
      <c r="BJ66" s="70" t="n">
        <f aca="false">SUM(BJ56:BJ65)</f>
        <v>42053</v>
      </c>
      <c r="BK66" s="70" t="n">
        <f aca="false">SUM(BK56:BK65)</f>
        <v>45352</v>
      </c>
      <c r="BL66" s="70" t="n">
        <f aca="false">SUM(BL56:BL65)</f>
        <v>38210</v>
      </c>
      <c r="BM66" s="70" t="n">
        <f aca="false">SUM(BM56:BM65)</f>
        <v>36137</v>
      </c>
      <c r="BN66" s="70" t="n">
        <f aca="false">SUM(BN56:BN65)</f>
        <v>37863</v>
      </c>
      <c r="BO66" s="70" t="n">
        <f aca="false">SUM(BO56:BO65)</f>
        <v>36537</v>
      </c>
    </row>
    <row r="67" customFormat="false" ht="14.65" hidden="false" customHeight="false" outlineLevel="0" collapsed="false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</row>
    <row r="68" customFormat="false" ht="14.65" hidden="false" customHeight="false" outlineLevel="0" collapsed="false">
      <c r="A68" s="44"/>
      <c r="B68" s="63" t="s">
        <v>322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4"/>
      <c r="AB68" s="63" t="str">
        <f aca="false">B68</f>
        <v>DEFERRED CREDITS AND OTHER LIABILITIES</v>
      </c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64"/>
      <c r="AR68" s="47"/>
      <c r="BA68" s="44"/>
      <c r="BB68" s="63" t="str">
        <f aca="false">B68</f>
        <v>DEFERRED CREDITS AND OTHER LIABILITIES</v>
      </c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</row>
    <row r="69" customFormat="false" ht="14.65" hidden="false" customHeight="false" outlineLevel="0" collapsed="false">
      <c r="A69" s="65" t="s">
        <v>323</v>
      </c>
      <c r="B69" s="66" t="s">
        <v>324</v>
      </c>
      <c r="C69" s="64" t="n">
        <f aca="false">BACKUP!C362</f>
        <v>238702</v>
      </c>
      <c r="D69" s="64" t="n">
        <f aca="false">BACKUP!D362</f>
        <v>238852</v>
      </c>
      <c r="E69" s="64" t="n">
        <f aca="false">BACKUP!E362</f>
        <v>238944</v>
      </c>
      <c r="F69" s="64" t="n">
        <f aca="false">BACKUP!F362</f>
        <v>220220</v>
      </c>
      <c r="G69" s="64" t="n">
        <f aca="false">BACKUP!G362</f>
        <v>226075</v>
      </c>
      <c r="H69" s="64" t="n">
        <f aca="false">BACKUP!H362</f>
        <v>232744</v>
      </c>
      <c r="I69" s="64" t="n">
        <f aca="false">BACKUP!I362</f>
        <v>235318</v>
      </c>
      <c r="J69" s="64" t="n">
        <f aca="false">BACKUP!J362</f>
        <v>235463</v>
      </c>
      <c r="K69" s="64" t="n">
        <f aca="false">BACKUP!K362</f>
        <v>235590</v>
      </c>
      <c r="L69" s="64" t="n">
        <f aca="false">BACKUP!L362</f>
        <v>240955</v>
      </c>
      <c r="M69" s="64" t="n">
        <f aca="false">BACKUP!M362</f>
        <v>244196</v>
      </c>
      <c r="N69" s="64" t="n">
        <f aca="false">BACKUP!N362</f>
        <v>243466</v>
      </c>
      <c r="O69" s="64" t="n">
        <f aca="false">BACKUP!O362</f>
        <v>243511</v>
      </c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65" t="str">
        <f aca="false">A69</f>
        <v>D</v>
      </c>
      <c r="AB69" s="66" t="str">
        <f aca="false">B69</f>
        <v>   Deferred Income Taxes</v>
      </c>
      <c r="AC69" s="67" t="n">
        <v>105054</v>
      </c>
      <c r="AD69" s="80" t="n">
        <f aca="false">AC69-175</f>
        <v>104879</v>
      </c>
      <c r="AE69" s="80" t="n">
        <f aca="false">AD69-175</f>
        <v>104704</v>
      </c>
      <c r="AF69" s="80" t="n">
        <f aca="false">AE69-175</f>
        <v>104529</v>
      </c>
      <c r="AG69" s="80" t="n">
        <f aca="false">AF69-175</f>
        <v>104354</v>
      </c>
      <c r="AH69" s="80" t="n">
        <f aca="false">AG69-175</f>
        <v>104179</v>
      </c>
      <c r="AI69" s="80" t="n">
        <f aca="false">AH69-175</f>
        <v>104004</v>
      </c>
      <c r="AJ69" s="80" t="n">
        <f aca="false">AI69-175</f>
        <v>103829</v>
      </c>
      <c r="AK69" s="80" t="n">
        <f aca="false">AJ69-175</f>
        <v>103654</v>
      </c>
      <c r="AL69" s="80" t="n">
        <f aca="false">AK69-175</f>
        <v>103479</v>
      </c>
      <c r="AM69" s="80" t="n">
        <f aca="false">AL69-175</f>
        <v>103304</v>
      </c>
      <c r="AN69" s="80" t="n">
        <f aca="false">AM69-175</f>
        <v>103129</v>
      </c>
      <c r="AO69" s="80" t="n">
        <f aca="false">AN69-175</f>
        <v>102954</v>
      </c>
      <c r="AP69" s="47"/>
      <c r="AQ69" s="64"/>
      <c r="AR69" s="47"/>
      <c r="BA69" s="65" t="str">
        <f aca="false">A69</f>
        <v>D</v>
      </c>
      <c r="BB69" s="66" t="str">
        <f aca="false">B69</f>
        <v>   Deferred Income Taxes</v>
      </c>
      <c r="BC69" s="68" t="n">
        <f aca="false">C69-AC69</f>
        <v>133648</v>
      </c>
      <c r="BD69" s="68" t="n">
        <f aca="false">D69-AD69</f>
        <v>133973</v>
      </c>
      <c r="BE69" s="68" t="n">
        <f aca="false">E69-AE69</f>
        <v>134240</v>
      </c>
      <c r="BF69" s="68" t="n">
        <f aca="false">F69-AF69</f>
        <v>115691</v>
      </c>
      <c r="BG69" s="68" t="n">
        <f aca="false">G69-AG69</f>
        <v>121721</v>
      </c>
      <c r="BH69" s="68" t="n">
        <f aca="false">H69-AH69</f>
        <v>128565</v>
      </c>
      <c r="BI69" s="68" t="n">
        <f aca="false">I69-AI69</f>
        <v>131314</v>
      </c>
      <c r="BJ69" s="68" t="n">
        <f aca="false">J69-AJ69</f>
        <v>131634</v>
      </c>
      <c r="BK69" s="68" t="n">
        <f aca="false">K69-AK69</f>
        <v>131936</v>
      </c>
      <c r="BL69" s="68" t="n">
        <f aca="false">L69-AL69</f>
        <v>137476</v>
      </c>
      <c r="BM69" s="68" t="n">
        <f aca="false">M69-AM69</f>
        <v>140892</v>
      </c>
      <c r="BN69" s="68" t="n">
        <f aca="false">N69-AN69</f>
        <v>140337</v>
      </c>
      <c r="BO69" s="68" t="n">
        <f aca="false">O69-AO69</f>
        <v>140557</v>
      </c>
    </row>
    <row r="70" customFormat="false" ht="14.65" hidden="false" customHeight="false" outlineLevel="0" collapsed="false">
      <c r="A70" s="65" t="s">
        <v>325</v>
      </c>
      <c r="B70" s="66" t="s">
        <v>326</v>
      </c>
      <c r="C70" s="64" t="n">
        <f aca="false">BACKUP!C411</f>
        <v>0</v>
      </c>
      <c r="D70" s="64" t="n">
        <f aca="false">BACKUP!D411</f>
        <v>0</v>
      </c>
      <c r="E70" s="64" t="n">
        <f aca="false">BACKUP!E411</f>
        <v>0</v>
      </c>
      <c r="F70" s="64" t="n">
        <f aca="false">BACKUP!F411</f>
        <v>0</v>
      </c>
      <c r="G70" s="64" t="n">
        <f aca="false">BACKUP!G411</f>
        <v>0</v>
      </c>
      <c r="H70" s="64" t="n">
        <f aca="false">BACKUP!H411</f>
        <v>0</v>
      </c>
      <c r="I70" s="64" t="n">
        <f aca="false">BACKUP!I411</f>
        <v>0</v>
      </c>
      <c r="J70" s="64" t="n">
        <f aca="false">BACKUP!J411</f>
        <v>0</v>
      </c>
      <c r="K70" s="64" t="n">
        <f aca="false">BACKUP!K411</f>
        <v>0</v>
      </c>
      <c r="L70" s="64" t="n">
        <f aca="false">BACKUP!L411</f>
        <v>0</v>
      </c>
      <c r="M70" s="64" t="n">
        <f aca="false">BACKUP!M411</f>
        <v>0</v>
      </c>
      <c r="N70" s="64" t="n">
        <f aca="false">BACKUP!N411</f>
        <v>0</v>
      </c>
      <c r="O70" s="64" t="n">
        <f aca="false">BACKUP!O411</f>
        <v>0</v>
      </c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65" t="str">
        <f aca="false">A70</f>
        <v>G</v>
      </c>
      <c r="AB70" s="66" t="str">
        <f aca="false">B70</f>
        <v>   Other Regulatory Liabilities</v>
      </c>
      <c r="AC70" s="67" t="n">
        <v>0</v>
      </c>
      <c r="AD70" s="67" t="n">
        <v>0</v>
      </c>
      <c r="AE70" s="67" t="n">
        <v>0</v>
      </c>
      <c r="AF70" s="67" t="n">
        <v>0</v>
      </c>
      <c r="AG70" s="67" t="n">
        <v>0</v>
      </c>
      <c r="AH70" s="67" t="n">
        <v>0</v>
      </c>
      <c r="AI70" s="67" t="n">
        <v>0</v>
      </c>
      <c r="AJ70" s="67" t="n">
        <v>0</v>
      </c>
      <c r="AK70" s="67" t="n">
        <v>0</v>
      </c>
      <c r="AL70" s="67" t="n">
        <v>0</v>
      </c>
      <c r="AM70" s="67" t="n">
        <v>0</v>
      </c>
      <c r="AN70" s="67" t="n">
        <v>0</v>
      </c>
      <c r="AO70" s="67" t="n">
        <v>0</v>
      </c>
      <c r="AP70" s="47"/>
      <c r="AQ70" s="47"/>
      <c r="AR70" s="47"/>
      <c r="BA70" s="65" t="str">
        <f aca="false">A70</f>
        <v>G</v>
      </c>
      <c r="BB70" s="66" t="str">
        <f aca="false">B70</f>
        <v>   Other Regulatory Liabilities</v>
      </c>
      <c r="BC70" s="68" t="n">
        <f aca="false">C70-AC70</f>
        <v>0</v>
      </c>
      <c r="BD70" s="68" t="n">
        <f aca="false">D70-AD70</f>
        <v>0</v>
      </c>
      <c r="BE70" s="68" t="n">
        <f aca="false">E70-AE70</f>
        <v>0</v>
      </c>
      <c r="BF70" s="68" t="n">
        <f aca="false">F70-AF70</f>
        <v>0</v>
      </c>
      <c r="BG70" s="68" t="n">
        <f aca="false">G70-AG70</f>
        <v>0</v>
      </c>
      <c r="BH70" s="68" t="n">
        <f aca="false">H70-AH70</f>
        <v>0</v>
      </c>
      <c r="BI70" s="68" t="n">
        <f aca="false">I70-AI70</f>
        <v>0</v>
      </c>
      <c r="BJ70" s="68" t="n">
        <f aca="false">J70-AJ70</f>
        <v>0</v>
      </c>
      <c r="BK70" s="68" t="n">
        <f aca="false">K70-AK70</f>
        <v>0</v>
      </c>
      <c r="BL70" s="68" t="n">
        <f aca="false">L70-AL70</f>
        <v>0</v>
      </c>
      <c r="BM70" s="68" t="n">
        <f aca="false">M70-AM70</f>
        <v>0</v>
      </c>
      <c r="BN70" s="68" t="n">
        <f aca="false">N70-AN70</f>
        <v>0</v>
      </c>
      <c r="BO70" s="68" t="n">
        <f aca="false">O70-AO70</f>
        <v>0</v>
      </c>
    </row>
    <row r="71" customFormat="false" ht="14.65" hidden="false" customHeight="false" outlineLevel="0" collapsed="false">
      <c r="A71" s="65" t="s">
        <v>318</v>
      </c>
      <c r="B71" s="66" t="s">
        <v>312</v>
      </c>
      <c r="C71" s="64" t="n">
        <f aca="false">BACKUP!C434</f>
        <v>0</v>
      </c>
      <c r="D71" s="64" t="n">
        <f aca="false">BACKUP!D434</f>
        <v>26217</v>
      </c>
      <c r="E71" s="64" t="n">
        <f aca="false">BACKUP!E434</f>
        <v>17748</v>
      </c>
      <c r="F71" s="64" t="n">
        <f aca="false">BACKUP!F434</f>
        <v>36081</v>
      </c>
      <c r="G71" s="64" t="n">
        <f aca="false">BACKUP!G434</f>
        <v>3332</v>
      </c>
      <c r="H71" s="64" t="n">
        <f aca="false">BACKUP!H434</f>
        <v>0</v>
      </c>
      <c r="I71" s="64" t="n">
        <f aca="false">BACKUP!I434</f>
        <v>0</v>
      </c>
      <c r="J71" s="64" t="n">
        <f aca="false">BACKUP!J434</f>
        <v>0</v>
      </c>
      <c r="K71" s="64" t="n">
        <f aca="false">BACKUP!K434</f>
        <v>0</v>
      </c>
      <c r="L71" s="64" t="n">
        <f aca="false">BACKUP!L434</f>
        <v>0</v>
      </c>
      <c r="M71" s="64" t="n">
        <f aca="false">BACKUP!M434</f>
        <v>0</v>
      </c>
      <c r="N71" s="64" t="n">
        <f aca="false">BACKUP!N434</f>
        <v>0</v>
      </c>
      <c r="O71" s="64" t="n">
        <f aca="false">BACKUP!O434</f>
        <v>0</v>
      </c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65" t="str">
        <f aca="false">A71</f>
        <v>F</v>
      </c>
      <c r="AB71" s="66" t="str">
        <f aca="false">B71</f>
        <v>   Liability Price Risk Management</v>
      </c>
      <c r="AC71" s="67" t="n">
        <v>0</v>
      </c>
      <c r="AD71" s="67" t="n">
        <v>0</v>
      </c>
      <c r="AE71" s="67" t="n">
        <v>0</v>
      </c>
      <c r="AF71" s="67" t="n">
        <v>0</v>
      </c>
      <c r="AG71" s="67" t="n">
        <v>0</v>
      </c>
      <c r="AH71" s="67" t="n">
        <v>0</v>
      </c>
      <c r="AI71" s="67" t="n">
        <v>0</v>
      </c>
      <c r="AJ71" s="67" t="n">
        <v>0</v>
      </c>
      <c r="AK71" s="67" t="n">
        <v>0</v>
      </c>
      <c r="AL71" s="67" t="n">
        <v>0</v>
      </c>
      <c r="AM71" s="67" t="n">
        <v>0</v>
      </c>
      <c r="AN71" s="67" t="n">
        <v>0</v>
      </c>
      <c r="AO71" s="67" t="n">
        <v>0</v>
      </c>
      <c r="AP71" s="47"/>
      <c r="AQ71" s="64"/>
      <c r="AR71" s="47"/>
      <c r="BA71" s="65" t="str">
        <f aca="false">A71</f>
        <v>F</v>
      </c>
      <c r="BB71" s="66" t="str">
        <f aca="false">B71</f>
        <v>   Liability Price Risk Management</v>
      </c>
      <c r="BC71" s="68" t="n">
        <f aca="false">C71-AC71</f>
        <v>0</v>
      </c>
      <c r="BD71" s="68" t="n">
        <f aca="false">D71-AD71</f>
        <v>26217</v>
      </c>
      <c r="BE71" s="68" t="n">
        <f aca="false">E71-AE71</f>
        <v>17748</v>
      </c>
      <c r="BF71" s="68" t="n">
        <f aca="false">F71-AF71</f>
        <v>36081</v>
      </c>
      <c r="BG71" s="68" t="n">
        <f aca="false">G71-AG71</f>
        <v>3332</v>
      </c>
      <c r="BH71" s="68" t="n">
        <f aca="false">H71-AH71</f>
        <v>0</v>
      </c>
      <c r="BI71" s="68" t="n">
        <f aca="false">I71-AI71</f>
        <v>0</v>
      </c>
      <c r="BJ71" s="68" t="n">
        <f aca="false">J71-AJ71</f>
        <v>0</v>
      </c>
      <c r="BK71" s="68" t="n">
        <f aca="false">K71-AK71</f>
        <v>0</v>
      </c>
      <c r="BL71" s="68" t="n">
        <f aca="false">L71-AL71</f>
        <v>0</v>
      </c>
      <c r="BM71" s="68" t="n">
        <f aca="false">M71-AM71</f>
        <v>0</v>
      </c>
      <c r="BN71" s="68" t="n">
        <f aca="false">N71-AN71</f>
        <v>0</v>
      </c>
      <c r="BO71" s="68" t="n">
        <f aca="false">O71-AO71</f>
        <v>0</v>
      </c>
    </row>
    <row r="72" customFormat="false" ht="14.65" hidden="false" customHeight="false" outlineLevel="0" collapsed="false">
      <c r="A72" s="65" t="s">
        <v>320</v>
      </c>
      <c r="B72" s="66" t="s">
        <v>40</v>
      </c>
      <c r="C72" s="70" t="n">
        <f aca="false">BACKUP!C424</f>
        <v>2661</v>
      </c>
      <c r="D72" s="70" t="n">
        <f aca="false">BACKUP!D424</f>
        <v>2637</v>
      </c>
      <c r="E72" s="70" t="n">
        <f aca="false">BACKUP!E424</f>
        <v>2614</v>
      </c>
      <c r="F72" s="70" t="n">
        <f aca="false">BACKUP!F424</f>
        <v>2592</v>
      </c>
      <c r="G72" s="70" t="n">
        <f aca="false">BACKUP!G424</f>
        <v>2570</v>
      </c>
      <c r="H72" s="70" t="n">
        <f aca="false">BACKUP!H424</f>
        <v>2542</v>
      </c>
      <c r="I72" s="70" t="n">
        <f aca="false">BACKUP!I424</f>
        <v>2520</v>
      </c>
      <c r="J72" s="70" t="n">
        <f aca="false">BACKUP!J424</f>
        <v>2497</v>
      </c>
      <c r="K72" s="70" t="n">
        <f aca="false">BACKUP!K424</f>
        <v>2473</v>
      </c>
      <c r="L72" s="70" t="n">
        <f aca="false">BACKUP!L424</f>
        <v>2449</v>
      </c>
      <c r="M72" s="70" t="n">
        <f aca="false">BACKUP!M424</f>
        <v>2425</v>
      </c>
      <c r="N72" s="70" t="n">
        <f aca="false">BACKUP!N424</f>
        <v>2401</v>
      </c>
      <c r="O72" s="70" t="n">
        <f aca="false">BACKUP!O424</f>
        <v>2377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65" t="str">
        <f aca="false">A72</f>
        <v>H</v>
      </c>
      <c r="AB72" s="66" t="str">
        <f aca="false">B72</f>
        <v>   Other</v>
      </c>
      <c r="AC72" s="71" t="n">
        <v>0</v>
      </c>
      <c r="AD72" s="71" t="n">
        <v>0</v>
      </c>
      <c r="AE72" s="71" t="n">
        <v>0</v>
      </c>
      <c r="AF72" s="71" t="n">
        <v>0</v>
      </c>
      <c r="AG72" s="71" t="n">
        <v>0</v>
      </c>
      <c r="AH72" s="71" t="n">
        <v>0</v>
      </c>
      <c r="AI72" s="71" t="n">
        <v>0</v>
      </c>
      <c r="AJ72" s="71" t="n">
        <v>0</v>
      </c>
      <c r="AK72" s="71" t="n">
        <v>0</v>
      </c>
      <c r="AL72" s="71" t="n">
        <v>0</v>
      </c>
      <c r="AM72" s="71" t="n">
        <v>0</v>
      </c>
      <c r="AN72" s="71" t="n">
        <v>0</v>
      </c>
      <c r="AO72" s="71" t="n">
        <v>0</v>
      </c>
      <c r="AP72" s="47"/>
      <c r="AQ72" s="64"/>
      <c r="AR72" s="47"/>
      <c r="BA72" s="65" t="str">
        <f aca="false">A72</f>
        <v>H</v>
      </c>
      <c r="BB72" s="66" t="str">
        <f aca="false">B72</f>
        <v>   Other</v>
      </c>
      <c r="BC72" s="72" t="n">
        <f aca="false">C72-AC72</f>
        <v>2661</v>
      </c>
      <c r="BD72" s="72" t="n">
        <f aca="false">D72-AD72</f>
        <v>2637</v>
      </c>
      <c r="BE72" s="72" t="n">
        <f aca="false">E72-AE72</f>
        <v>2614</v>
      </c>
      <c r="BF72" s="72" t="n">
        <f aca="false">F72-AF72</f>
        <v>2592</v>
      </c>
      <c r="BG72" s="72" t="n">
        <f aca="false">G72-AG72</f>
        <v>2570</v>
      </c>
      <c r="BH72" s="72" t="n">
        <f aca="false">H72-AH72</f>
        <v>2542</v>
      </c>
      <c r="BI72" s="72" t="n">
        <f aca="false">I72-AI72</f>
        <v>2520</v>
      </c>
      <c r="BJ72" s="72" t="n">
        <f aca="false">J72-AJ72</f>
        <v>2497</v>
      </c>
      <c r="BK72" s="72" t="n">
        <f aca="false">K72-AK72</f>
        <v>2473</v>
      </c>
      <c r="BL72" s="72" t="n">
        <f aca="false">L72-AL72</f>
        <v>2449</v>
      </c>
      <c r="BM72" s="72" t="n">
        <f aca="false">M72-AM72</f>
        <v>2425</v>
      </c>
      <c r="BN72" s="72" t="n">
        <f aca="false">N72-AN72</f>
        <v>2401</v>
      </c>
      <c r="BO72" s="72" t="n">
        <f aca="false">O72-AO72</f>
        <v>2377</v>
      </c>
    </row>
    <row r="73" customFormat="false" ht="3.95" hidden="false" customHeight="true" outlineLevel="0" collapsed="false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</row>
    <row r="74" customFormat="false" ht="14.65" hidden="false" customHeight="false" outlineLevel="0" collapsed="false">
      <c r="A74" s="44"/>
      <c r="B74" s="63" t="s">
        <v>327</v>
      </c>
      <c r="C74" s="70" t="n">
        <f aca="false">SUM(C69:C73)</f>
        <v>241363</v>
      </c>
      <c r="D74" s="70" t="n">
        <f aca="false">SUM(D69:D73)</f>
        <v>267706</v>
      </c>
      <c r="E74" s="70" t="n">
        <f aca="false">SUM(E69:E73)</f>
        <v>259306</v>
      </c>
      <c r="F74" s="70" t="n">
        <f aca="false">SUM(F69:F73)</f>
        <v>258893</v>
      </c>
      <c r="G74" s="70" t="n">
        <f aca="false">SUM(G69:G73)</f>
        <v>231977</v>
      </c>
      <c r="H74" s="70" t="n">
        <f aca="false">SUM(H69:H73)</f>
        <v>235286</v>
      </c>
      <c r="I74" s="70" t="n">
        <f aca="false">SUM(I69:I73)</f>
        <v>237838</v>
      </c>
      <c r="J74" s="70" t="n">
        <f aca="false">SUM(J69:J73)</f>
        <v>237960</v>
      </c>
      <c r="K74" s="70" t="n">
        <f aca="false">SUM(K69:K73)</f>
        <v>238063</v>
      </c>
      <c r="L74" s="70" t="n">
        <f aca="false">SUM(L69:L73)</f>
        <v>243404</v>
      </c>
      <c r="M74" s="70" t="n">
        <f aca="false">SUM(M69:M73)</f>
        <v>246621</v>
      </c>
      <c r="N74" s="70" t="n">
        <f aca="false">SUM(N69:N73)</f>
        <v>245867</v>
      </c>
      <c r="O74" s="70" t="n">
        <f aca="false">SUM(O69:O73)</f>
        <v>245888</v>
      </c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4"/>
      <c r="AB74" s="63" t="str">
        <f aca="false">B74</f>
        <v>      Total Deferred Credits &amp; Other Liabilities</v>
      </c>
      <c r="AC74" s="70" t="n">
        <f aca="false">SUM(AC69:AC73)</f>
        <v>105054</v>
      </c>
      <c r="AD74" s="70" t="n">
        <f aca="false">SUM(AD69:AD73)</f>
        <v>104879</v>
      </c>
      <c r="AE74" s="70" t="n">
        <f aca="false">SUM(AE69:AE73)</f>
        <v>104704</v>
      </c>
      <c r="AF74" s="70" t="n">
        <f aca="false">SUM(AF69:AF73)</f>
        <v>104529</v>
      </c>
      <c r="AG74" s="70" t="n">
        <f aca="false">SUM(AG69:AG73)</f>
        <v>104354</v>
      </c>
      <c r="AH74" s="70" t="n">
        <f aca="false">SUM(AH69:AH73)</f>
        <v>104179</v>
      </c>
      <c r="AI74" s="70" t="n">
        <f aca="false">SUM(AI69:AI73)</f>
        <v>104004</v>
      </c>
      <c r="AJ74" s="70" t="n">
        <f aca="false">SUM(AJ69:AJ73)</f>
        <v>103829</v>
      </c>
      <c r="AK74" s="70" t="n">
        <f aca="false">SUM(AK69:AK73)</f>
        <v>103654</v>
      </c>
      <c r="AL74" s="70" t="n">
        <f aca="false">SUM(AL69:AL73)</f>
        <v>103479</v>
      </c>
      <c r="AM74" s="70" t="n">
        <f aca="false">SUM(AM69:AM73)</f>
        <v>103304</v>
      </c>
      <c r="AN74" s="70" t="n">
        <f aca="false">SUM(AN69:AN73)</f>
        <v>103129</v>
      </c>
      <c r="AO74" s="70" t="n">
        <f aca="false">SUM(AO69:AO73)</f>
        <v>102954</v>
      </c>
      <c r="AP74" s="47"/>
      <c r="AQ74" s="64"/>
      <c r="AR74" s="47"/>
      <c r="BA74" s="44"/>
      <c r="BB74" s="63" t="str">
        <f aca="false">B74</f>
        <v>      Total Deferred Credits &amp; Other Liabilities</v>
      </c>
      <c r="BC74" s="70" t="n">
        <f aca="false">SUM(BC69:BC73)</f>
        <v>136309</v>
      </c>
      <c r="BD74" s="70" t="n">
        <f aca="false">SUM(BD69:BD73)</f>
        <v>162827</v>
      </c>
      <c r="BE74" s="70" t="n">
        <f aca="false">SUM(BE69:BE73)</f>
        <v>154602</v>
      </c>
      <c r="BF74" s="70" t="n">
        <f aca="false">SUM(BF69:BF73)</f>
        <v>154364</v>
      </c>
      <c r="BG74" s="70" t="n">
        <f aca="false">SUM(BG69:BG73)</f>
        <v>127623</v>
      </c>
      <c r="BH74" s="70" t="n">
        <f aca="false">SUM(BH69:BH73)</f>
        <v>131107</v>
      </c>
      <c r="BI74" s="70" t="n">
        <f aca="false">SUM(BI69:BI73)</f>
        <v>133834</v>
      </c>
      <c r="BJ74" s="70" t="n">
        <f aca="false">SUM(BJ69:BJ73)</f>
        <v>134131</v>
      </c>
      <c r="BK74" s="70" t="n">
        <f aca="false">SUM(BK69:BK73)</f>
        <v>134409</v>
      </c>
      <c r="BL74" s="70" t="n">
        <f aca="false">SUM(BL69:BL73)</f>
        <v>139925</v>
      </c>
      <c r="BM74" s="70" t="n">
        <f aca="false">SUM(BM69:BM73)</f>
        <v>143317</v>
      </c>
      <c r="BN74" s="70" t="n">
        <f aca="false">SUM(BN69:BN73)</f>
        <v>142738</v>
      </c>
      <c r="BO74" s="70" t="n">
        <f aca="false">SUM(BO69:BO73)</f>
        <v>142934</v>
      </c>
    </row>
    <row r="75" customFormat="false" ht="14.65" hidden="false" customHeight="false" outlineLevel="0" collapsed="false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</row>
    <row r="76" customFormat="false" ht="14.65" hidden="false" customHeight="false" outlineLevel="0" collapsed="false">
      <c r="A76" s="44"/>
      <c r="B76" s="63" t="s">
        <v>328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4"/>
      <c r="AB76" s="63" t="str">
        <f aca="false">B76</f>
        <v>DEBT </v>
      </c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47"/>
      <c r="AQ76" s="64"/>
      <c r="AR76" s="47"/>
      <c r="BA76" s="44"/>
      <c r="BB76" s="63" t="str">
        <f aca="false">B76</f>
        <v>DEBT </v>
      </c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</row>
    <row r="77" customFormat="false" ht="14.65" hidden="false" customHeight="false" outlineLevel="0" collapsed="false">
      <c r="A77" s="65" t="s">
        <v>279</v>
      </c>
      <c r="B77" s="66" t="s">
        <v>329</v>
      </c>
      <c r="C77" s="67" t="n">
        <v>0</v>
      </c>
      <c r="D77" s="67" t="n">
        <v>0</v>
      </c>
      <c r="E77" s="67" t="n">
        <v>0</v>
      </c>
      <c r="F77" s="67" t="n">
        <v>0</v>
      </c>
      <c r="G77" s="67" t="n">
        <v>0</v>
      </c>
      <c r="H77" s="67" t="n">
        <v>0</v>
      </c>
      <c r="I77" s="67" t="n">
        <v>0</v>
      </c>
      <c r="J77" s="67" t="n">
        <v>0</v>
      </c>
      <c r="K77" s="67" t="n">
        <v>0</v>
      </c>
      <c r="L77" s="67" t="n">
        <v>0</v>
      </c>
      <c r="M77" s="67" t="n">
        <v>0</v>
      </c>
      <c r="N77" s="67" t="n">
        <v>0</v>
      </c>
      <c r="O77" s="67" t="n">
        <v>0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65" t="str">
        <f aca="false">A77</f>
        <v>I</v>
      </c>
      <c r="AB77" s="66" t="str">
        <f aca="false">B77</f>
        <v>   Payable from Corporate</v>
      </c>
      <c r="AC77" s="67" t="n">
        <v>0</v>
      </c>
      <c r="AD77" s="67" t="n">
        <v>0</v>
      </c>
      <c r="AE77" s="67" t="n">
        <v>0</v>
      </c>
      <c r="AF77" s="67" t="n">
        <v>0</v>
      </c>
      <c r="AG77" s="67" t="n">
        <v>0</v>
      </c>
      <c r="AH77" s="67" t="n">
        <v>0</v>
      </c>
      <c r="AI77" s="67" t="n">
        <v>0</v>
      </c>
      <c r="AJ77" s="67" t="n">
        <v>0</v>
      </c>
      <c r="AK77" s="67" t="n">
        <v>0</v>
      </c>
      <c r="AL77" s="67" t="n">
        <v>0</v>
      </c>
      <c r="AM77" s="67" t="n">
        <v>0</v>
      </c>
      <c r="AN77" s="67" t="n">
        <v>0</v>
      </c>
      <c r="AO77" s="67" t="n">
        <v>0</v>
      </c>
      <c r="AP77" s="47"/>
      <c r="AQ77" s="64"/>
      <c r="AR77" s="47"/>
      <c r="BA77" s="65" t="str">
        <f aca="false">A77</f>
        <v>I</v>
      </c>
      <c r="BB77" s="66" t="str">
        <f aca="false">B77</f>
        <v>   Payable from Corporate</v>
      </c>
      <c r="BC77" s="68" t="n">
        <f aca="false">C77-AC77</f>
        <v>0</v>
      </c>
      <c r="BD77" s="68" t="n">
        <f aca="false">D77-AD77</f>
        <v>0</v>
      </c>
      <c r="BE77" s="68" t="n">
        <f aca="false">E77-AE77</f>
        <v>0</v>
      </c>
      <c r="BF77" s="68" t="n">
        <f aca="false">F77-AF77</f>
        <v>0</v>
      </c>
      <c r="BG77" s="68" t="n">
        <f aca="false">G77-AG77</f>
        <v>0</v>
      </c>
      <c r="BH77" s="68" t="n">
        <f aca="false">H77-AH77</f>
        <v>0</v>
      </c>
      <c r="BI77" s="68" t="n">
        <f aca="false">I77-AI77</f>
        <v>0</v>
      </c>
      <c r="BJ77" s="68" t="n">
        <f aca="false">J77-AJ77</f>
        <v>0</v>
      </c>
      <c r="BK77" s="68" t="n">
        <f aca="false">K77-AK77</f>
        <v>0</v>
      </c>
      <c r="BL77" s="68" t="n">
        <f aca="false">L77-AL77</f>
        <v>0</v>
      </c>
      <c r="BM77" s="68" t="n">
        <f aca="false">M77-AM77</f>
        <v>0</v>
      </c>
      <c r="BN77" s="68" t="n">
        <f aca="false">N77-AN77</f>
        <v>0</v>
      </c>
      <c r="BO77" s="68" t="n">
        <f aca="false">O77-AO77</f>
        <v>0</v>
      </c>
    </row>
    <row r="78" customFormat="false" ht="14.65" hidden="false" customHeight="false" outlineLevel="0" collapsed="false">
      <c r="A78" s="65" t="s">
        <v>330</v>
      </c>
      <c r="B78" s="66" t="s">
        <v>331</v>
      </c>
      <c r="C78" s="64" t="n">
        <f aca="false">BACKUP!C462-C79</f>
        <v>161600</v>
      </c>
      <c r="D78" s="64" t="n">
        <f aca="false">BACKUP!D462-D79</f>
        <v>161600</v>
      </c>
      <c r="E78" s="64" t="n">
        <f aca="false">BACKUP!E462-E79</f>
        <v>161600</v>
      </c>
      <c r="F78" s="64" t="n">
        <f aca="false">BACKUP!F462-F79</f>
        <v>161600</v>
      </c>
      <c r="G78" s="64" t="n">
        <f aca="false">BACKUP!G462-G79</f>
        <v>161600</v>
      </c>
      <c r="H78" s="64" t="n">
        <f aca="false">BACKUP!H462-H79</f>
        <v>161600</v>
      </c>
      <c r="I78" s="64" t="n">
        <f aca="false">BACKUP!I462-I79</f>
        <v>11600</v>
      </c>
      <c r="J78" s="64" t="n">
        <f aca="false">BACKUP!J462-J79</f>
        <v>11600</v>
      </c>
      <c r="K78" s="64" t="n">
        <f aca="false">BACKUP!K462-K79</f>
        <v>11600</v>
      </c>
      <c r="L78" s="64" t="n">
        <f aca="false">BACKUP!L462-L79</f>
        <v>11600</v>
      </c>
      <c r="M78" s="64" t="n">
        <f aca="false">BACKUP!M462-M79</f>
        <v>11600</v>
      </c>
      <c r="N78" s="64" t="n">
        <f aca="false">BACKUP!N462-N79</f>
        <v>7750</v>
      </c>
      <c r="O78" s="64" t="n">
        <f aca="false">BACKUP!O462-O79</f>
        <v>7750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65" t="str">
        <f aca="false">A78</f>
        <v>J</v>
      </c>
      <c r="AB78" s="66" t="str">
        <f aca="false">B78</f>
        <v>   Long-term Debt - External</v>
      </c>
      <c r="AC78" s="67" t="n">
        <v>0</v>
      </c>
      <c r="AD78" s="67" t="n">
        <v>0</v>
      </c>
      <c r="AE78" s="67" t="n">
        <v>0</v>
      </c>
      <c r="AF78" s="67" t="n">
        <v>0</v>
      </c>
      <c r="AG78" s="67" t="n">
        <v>0</v>
      </c>
      <c r="AH78" s="67" t="n">
        <v>0</v>
      </c>
      <c r="AI78" s="67" t="n">
        <v>0</v>
      </c>
      <c r="AJ78" s="67" t="n">
        <v>0</v>
      </c>
      <c r="AK78" s="67" t="n">
        <v>0</v>
      </c>
      <c r="AL78" s="67" t="n">
        <v>0</v>
      </c>
      <c r="AM78" s="67" t="n">
        <v>0</v>
      </c>
      <c r="AN78" s="67" t="n">
        <v>0</v>
      </c>
      <c r="AO78" s="67" t="n">
        <v>0</v>
      </c>
      <c r="AP78" s="47"/>
      <c r="AQ78" s="64"/>
      <c r="AR78" s="47"/>
      <c r="BA78" s="65" t="str">
        <f aca="false">A78</f>
        <v>J</v>
      </c>
      <c r="BB78" s="66" t="str">
        <f aca="false">B78</f>
        <v>   Long-term Debt - External</v>
      </c>
      <c r="BC78" s="68" t="n">
        <f aca="false">C78-AC78</f>
        <v>161600</v>
      </c>
      <c r="BD78" s="68" t="n">
        <f aca="false">D78-AD78</f>
        <v>161600</v>
      </c>
      <c r="BE78" s="68" t="n">
        <f aca="false">E78-AE78</f>
        <v>161600</v>
      </c>
      <c r="BF78" s="68" t="n">
        <f aca="false">F78-AF78</f>
        <v>161600</v>
      </c>
      <c r="BG78" s="68" t="n">
        <f aca="false">G78-AG78</f>
        <v>161600</v>
      </c>
      <c r="BH78" s="68" t="n">
        <f aca="false">H78-AH78</f>
        <v>161600</v>
      </c>
      <c r="BI78" s="68" t="n">
        <f aca="false">I78-AI78</f>
        <v>11600</v>
      </c>
      <c r="BJ78" s="68" t="n">
        <f aca="false">J78-AJ78</f>
        <v>11600</v>
      </c>
      <c r="BK78" s="68" t="n">
        <f aca="false">K78-AK78</f>
        <v>11600</v>
      </c>
      <c r="BL78" s="68" t="n">
        <f aca="false">L78-AL78</f>
        <v>11600</v>
      </c>
      <c r="BM78" s="68" t="n">
        <f aca="false">M78-AM78</f>
        <v>11600</v>
      </c>
      <c r="BN78" s="68" t="n">
        <f aca="false">N78-AN78</f>
        <v>7750</v>
      </c>
      <c r="BO78" s="68" t="n">
        <f aca="false">O78-AO78</f>
        <v>7750</v>
      </c>
    </row>
    <row r="79" customFormat="false" ht="14.65" hidden="false" customHeight="false" outlineLevel="0" collapsed="false">
      <c r="A79" s="65" t="s">
        <v>330</v>
      </c>
      <c r="B79" s="66" t="s">
        <v>332</v>
      </c>
      <c r="C79" s="72" t="n">
        <v>0</v>
      </c>
      <c r="D79" s="72" t="n">
        <v>0</v>
      </c>
      <c r="E79" s="72" t="n">
        <v>0</v>
      </c>
      <c r="F79" s="72" t="n">
        <v>0</v>
      </c>
      <c r="G79" s="72" t="n">
        <v>0</v>
      </c>
      <c r="H79" s="72" t="n">
        <v>0</v>
      </c>
      <c r="I79" s="72" t="n">
        <v>0</v>
      </c>
      <c r="J79" s="72" t="n">
        <v>0</v>
      </c>
      <c r="K79" s="72" t="n">
        <v>0</v>
      </c>
      <c r="L79" s="72" t="n">
        <v>0</v>
      </c>
      <c r="M79" s="72" t="n">
        <v>0</v>
      </c>
      <c r="N79" s="72" t="n">
        <v>0</v>
      </c>
      <c r="O79" s="72" t="n">
        <v>0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65" t="str">
        <f aca="false">A79</f>
        <v>J</v>
      </c>
      <c r="AB79" s="66" t="str">
        <f aca="false">B79</f>
        <v>                          - Assoc. Companies</v>
      </c>
      <c r="AC79" s="71" t="n">
        <v>0</v>
      </c>
      <c r="AD79" s="71" t="n">
        <v>0</v>
      </c>
      <c r="AE79" s="71" t="n">
        <v>0</v>
      </c>
      <c r="AF79" s="71" t="n">
        <v>0</v>
      </c>
      <c r="AG79" s="71" t="n">
        <v>0</v>
      </c>
      <c r="AH79" s="71" t="n">
        <v>0</v>
      </c>
      <c r="AI79" s="71" t="n">
        <v>0</v>
      </c>
      <c r="AJ79" s="71" t="n">
        <v>0</v>
      </c>
      <c r="AK79" s="71" t="n">
        <v>0</v>
      </c>
      <c r="AL79" s="71" t="n">
        <v>0</v>
      </c>
      <c r="AM79" s="71" t="n">
        <v>0</v>
      </c>
      <c r="AN79" s="71" t="n">
        <v>0</v>
      </c>
      <c r="AO79" s="71" t="n">
        <v>0</v>
      </c>
      <c r="AP79" s="47"/>
      <c r="AQ79" s="47"/>
      <c r="AR79" s="47"/>
      <c r="BA79" s="65" t="str">
        <f aca="false">A79</f>
        <v>J</v>
      </c>
      <c r="BB79" s="66" t="str">
        <f aca="false">B79</f>
        <v>                          - Assoc. Companies</v>
      </c>
      <c r="BC79" s="72" t="n">
        <f aca="false">C79-AC79</f>
        <v>0</v>
      </c>
      <c r="BD79" s="72" t="n">
        <f aca="false">D79-AD79</f>
        <v>0</v>
      </c>
      <c r="BE79" s="72" t="n">
        <f aca="false">E79-AE79</f>
        <v>0</v>
      </c>
      <c r="BF79" s="72" t="n">
        <f aca="false">F79-AF79</f>
        <v>0</v>
      </c>
      <c r="BG79" s="72" t="n">
        <f aca="false">G79-AG79</f>
        <v>0</v>
      </c>
      <c r="BH79" s="72" t="n">
        <f aca="false">H79-AH79</f>
        <v>0</v>
      </c>
      <c r="BI79" s="72" t="n">
        <f aca="false">I79-AI79</f>
        <v>0</v>
      </c>
      <c r="BJ79" s="72" t="n">
        <f aca="false">J79-AJ79</f>
        <v>0</v>
      </c>
      <c r="BK79" s="72" t="n">
        <f aca="false">K79-AK79</f>
        <v>0</v>
      </c>
      <c r="BL79" s="72" t="n">
        <f aca="false">L79-AL79</f>
        <v>0</v>
      </c>
      <c r="BM79" s="72" t="n">
        <f aca="false">M79-AM79</f>
        <v>0</v>
      </c>
      <c r="BN79" s="72" t="n">
        <f aca="false">N79-AN79</f>
        <v>0</v>
      </c>
      <c r="BO79" s="72" t="n">
        <f aca="false">O79-AO79</f>
        <v>0</v>
      </c>
    </row>
    <row r="80" customFormat="false" ht="3.95" hidden="false" customHeight="true" outlineLevel="0" collapsed="false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</row>
    <row r="81" customFormat="false" ht="14.65" hidden="false" customHeight="false" outlineLevel="0" collapsed="false">
      <c r="A81" s="44"/>
      <c r="B81" s="63" t="s">
        <v>333</v>
      </c>
      <c r="C81" s="70" t="n">
        <f aca="false">SUM(C77:C80)</f>
        <v>161600</v>
      </c>
      <c r="D81" s="70" t="n">
        <f aca="false">SUM(D77:D80)</f>
        <v>161600</v>
      </c>
      <c r="E81" s="70" t="n">
        <f aca="false">SUM(E77:E80)</f>
        <v>161600</v>
      </c>
      <c r="F81" s="70" t="n">
        <f aca="false">SUM(F77:F80)</f>
        <v>161600</v>
      </c>
      <c r="G81" s="70" t="n">
        <f aca="false">SUM(G77:G80)</f>
        <v>161600</v>
      </c>
      <c r="H81" s="70" t="n">
        <f aca="false">SUM(H77:H80)</f>
        <v>161600</v>
      </c>
      <c r="I81" s="70" t="n">
        <f aca="false">SUM(I77:I80)</f>
        <v>11600</v>
      </c>
      <c r="J81" s="70" t="n">
        <f aca="false">SUM(J77:J80)</f>
        <v>11600</v>
      </c>
      <c r="K81" s="70" t="n">
        <f aca="false">SUM(K77:K80)</f>
        <v>11600</v>
      </c>
      <c r="L81" s="70" t="n">
        <f aca="false">SUM(L77:L80)</f>
        <v>11600</v>
      </c>
      <c r="M81" s="70" t="n">
        <f aca="false">SUM(M77:M80)</f>
        <v>11600</v>
      </c>
      <c r="N81" s="70" t="n">
        <f aca="false">SUM(N77:N80)</f>
        <v>7750</v>
      </c>
      <c r="O81" s="70" t="n">
        <f aca="false">SUM(O77:O80)</f>
        <v>7750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4"/>
      <c r="AB81" s="63" t="str">
        <f aca="false">B81</f>
        <v>      Total Debt</v>
      </c>
      <c r="AC81" s="70" t="n">
        <f aca="false">SUM(AC77:AC80)</f>
        <v>0</v>
      </c>
      <c r="AD81" s="70" t="n">
        <f aca="false">SUM(AD77:AD80)</f>
        <v>0</v>
      </c>
      <c r="AE81" s="70" t="n">
        <f aca="false">SUM(AE77:AE80)</f>
        <v>0</v>
      </c>
      <c r="AF81" s="70" t="n">
        <f aca="false">SUM(AF77:AF80)</f>
        <v>0</v>
      </c>
      <c r="AG81" s="70" t="n">
        <f aca="false">SUM(AG77:AG80)</f>
        <v>0</v>
      </c>
      <c r="AH81" s="70" t="n">
        <f aca="false">SUM(AH77:AH80)</f>
        <v>0</v>
      </c>
      <c r="AI81" s="70" t="n">
        <f aca="false">SUM(AI77:AI80)</f>
        <v>0</v>
      </c>
      <c r="AJ81" s="70" t="n">
        <f aca="false">SUM(AJ77:AJ80)</f>
        <v>0</v>
      </c>
      <c r="AK81" s="70" t="n">
        <f aca="false">SUM(AK77:AK80)</f>
        <v>0</v>
      </c>
      <c r="AL81" s="70" t="n">
        <f aca="false">SUM(AL77:AL80)</f>
        <v>0</v>
      </c>
      <c r="AM81" s="70" t="n">
        <f aca="false">SUM(AM77:AM80)</f>
        <v>0</v>
      </c>
      <c r="AN81" s="70" t="n">
        <f aca="false">SUM(AN77:AN80)</f>
        <v>0</v>
      </c>
      <c r="AO81" s="70" t="n">
        <f aca="false">SUM(AO77:AO80)</f>
        <v>0</v>
      </c>
      <c r="AP81" s="47"/>
      <c r="AQ81" s="47"/>
      <c r="AR81" s="47"/>
      <c r="BA81" s="44"/>
      <c r="BB81" s="63" t="str">
        <f aca="false">B81</f>
        <v>      Total Debt</v>
      </c>
      <c r="BC81" s="70" t="n">
        <f aca="false">SUM(BC77:BC80)</f>
        <v>161600</v>
      </c>
      <c r="BD81" s="70" t="n">
        <f aca="false">SUM(BD77:BD80)</f>
        <v>161600</v>
      </c>
      <c r="BE81" s="70" t="n">
        <f aca="false">SUM(BE77:BE80)</f>
        <v>161600</v>
      </c>
      <c r="BF81" s="70" t="n">
        <f aca="false">SUM(BF77:BF80)</f>
        <v>161600</v>
      </c>
      <c r="BG81" s="70" t="n">
        <f aca="false">SUM(BG77:BG80)</f>
        <v>161600</v>
      </c>
      <c r="BH81" s="70" t="n">
        <f aca="false">SUM(BH77:BH80)</f>
        <v>161600</v>
      </c>
      <c r="BI81" s="70" t="n">
        <f aca="false">SUM(BI77:BI80)</f>
        <v>11600</v>
      </c>
      <c r="BJ81" s="70" t="n">
        <f aca="false">SUM(BJ77:BJ80)</f>
        <v>11600</v>
      </c>
      <c r="BK81" s="70" t="n">
        <f aca="false">SUM(BK77:BK80)</f>
        <v>11600</v>
      </c>
      <c r="BL81" s="70" t="n">
        <f aca="false">SUM(BL77:BL80)</f>
        <v>11600</v>
      </c>
      <c r="BM81" s="70" t="n">
        <f aca="false">SUM(BM77:BM80)</f>
        <v>11600</v>
      </c>
      <c r="BN81" s="70" t="n">
        <f aca="false">SUM(BN77:BN80)</f>
        <v>7750</v>
      </c>
      <c r="BO81" s="70" t="n">
        <f aca="false">SUM(BO77:BO80)</f>
        <v>7750</v>
      </c>
    </row>
    <row r="82" customFormat="false" ht="14.65" hidden="false" customHeight="false" outlineLevel="0" collapsed="false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</row>
    <row r="83" customFormat="false" ht="14.65" hidden="false" customHeight="false" outlineLevel="0" collapsed="false">
      <c r="A83" s="44"/>
      <c r="B83" s="63" t="s">
        <v>334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4"/>
      <c r="AB83" s="63" t="str">
        <f aca="false">B83</f>
        <v>EQUITY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BA83" s="44"/>
      <c r="BB83" s="63" t="str">
        <f aca="false">B83</f>
        <v>EQUITY</v>
      </c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</row>
    <row r="84" customFormat="false" ht="14.65" hidden="false" customHeight="false" outlineLevel="0" collapsed="false">
      <c r="A84" s="47"/>
      <c r="B84" s="66" t="s">
        <v>335</v>
      </c>
      <c r="C84" s="67" t="n">
        <v>1</v>
      </c>
      <c r="D84" s="79" t="n">
        <f aca="false">C84</f>
        <v>1</v>
      </c>
      <c r="E84" s="79" t="n">
        <f aca="false">D84</f>
        <v>1</v>
      </c>
      <c r="F84" s="79" t="n">
        <f aca="false">E84</f>
        <v>1</v>
      </c>
      <c r="G84" s="79" t="n">
        <f aca="false">F84</f>
        <v>1</v>
      </c>
      <c r="H84" s="79" t="n">
        <f aca="false">G84</f>
        <v>1</v>
      </c>
      <c r="I84" s="79" t="n">
        <f aca="false">H84</f>
        <v>1</v>
      </c>
      <c r="J84" s="79" t="n">
        <f aca="false">I84</f>
        <v>1</v>
      </c>
      <c r="K84" s="79" t="n">
        <f aca="false">J84</f>
        <v>1</v>
      </c>
      <c r="L84" s="79" t="n">
        <f aca="false">K84</f>
        <v>1</v>
      </c>
      <c r="M84" s="79" t="n">
        <f aca="false">L84</f>
        <v>1</v>
      </c>
      <c r="N84" s="79" t="n">
        <f aca="false">M84</f>
        <v>1</v>
      </c>
      <c r="O84" s="79" t="n">
        <f aca="false">N84</f>
        <v>1</v>
      </c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66" t="str">
        <f aca="false">B84</f>
        <v>   Common Stock</v>
      </c>
      <c r="AC84" s="67" t="n">
        <v>0</v>
      </c>
      <c r="AD84" s="68" t="n">
        <f aca="false">AC84</f>
        <v>0</v>
      </c>
      <c r="AE84" s="68" t="n">
        <f aca="false">AD84</f>
        <v>0</v>
      </c>
      <c r="AF84" s="68" t="n">
        <f aca="false">AE84</f>
        <v>0</v>
      </c>
      <c r="AG84" s="68" t="n">
        <f aca="false">AF84</f>
        <v>0</v>
      </c>
      <c r="AH84" s="68" t="n">
        <f aca="false">AG84</f>
        <v>0</v>
      </c>
      <c r="AI84" s="68" t="n">
        <f aca="false">AH84</f>
        <v>0</v>
      </c>
      <c r="AJ84" s="68" t="n">
        <f aca="false">AI84</f>
        <v>0</v>
      </c>
      <c r="AK84" s="68" t="n">
        <f aca="false">AJ84</f>
        <v>0</v>
      </c>
      <c r="AL84" s="68" t="n">
        <f aca="false">AK84</f>
        <v>0</v>
      </c>
      <c r="AM84" s="68" t="n">
        <f aca="false">AL84</f>
        <v>0</v>
      </c>
      <c r="AN84" s="68" t="n">
        <f aca="false">AM84</f>
        <v>0</v>
      </c>
      <c r="AO84" s="68" t="n">
        <f aca="false">AN84</f>
        <v>0</v>
      </c>
      <c r="AP84" s="47"/>
      <c r="AQ84" s="64"/>
      <c r="AR84" s="47"/>
      <c r="BA84" s="47"/>
      <c r="BB84" s="66" t="str">
        <f aca="false">B84</f>
        <v>   Common Stock</v>
      </c>
      <c r="BC84" s="68" t="n">
        <f aca="false">C84-AC84</f>
        <v>1</v>
      </c>
      <c r="BD84" s="68" t="n">
        <f aca="false">D84-AD84</f>
        <v>1</v>
      </c>
      <c r="BE84" s="68" t="n">
        <f aca="false">E84-AE84</f>
        <v>1</v>
      </c>
      <c r="BF84" s="68" t="n">
        <f aca="false">F84-AF84</f>
        <v>1</v>
      </c>
      <c r="BG84" s="68" t="n">
        <f aca="false">G84-AG84</f>
        <v>1</v>
      </c>
      <c r="BH84" s="68" t="n">
        <f aca="false">H84-AH84</f>
        <v>1</v>
      </c>
      <c r="BI84" s="68" t="n">
        <f aca="false">I84-AI84</f>
        <v>1</v>
      </c>
      <c r="BJ84" s="68" t="n">
        <f aca="false">J84-AJ84</f>
        <v>1</v>
      </c>
      <c r="BK84" s="68" t="n">
        <f aca="false">K84-AK84</f>
        <v>1</v>
      </c>
      <c r="BL84" s="68" t="n">
        <f aca="false">L84-AL84</f>
        <v>1</v>
      </c>
      <c r="BM84" s="68" t="n">
        <f aca="false">M84-AM84</f>
        <v>1</v>
      </c>
      <c r="BN84" s="68" t="n">
        <f aca="false">N84-AN84</f>
        <v>1</v>
      </c>
      <c r="BO84" s="68" t="n">
        <f aca="false">O84-AO84</f>
        <v>1</v>
      </c>
    </row>
    <row r="85" customFormat="false" ht="14.65" hidden="false" customHeight="false" outlineLevel="0" collapsed="false">
      <c r="A85" s="47"/>
      <c r="B85" s="66" t="s">
        <v>336</v>
      </c>
      <c r="C85" s="67" t="n">
        <v>409191</v>
      </c>
      <c r="D85" s="79" t="n">
        <f aca="false">C85</f>
        <v>409191</v>
      </c>
      <c r="E85" s="79" t="n">
        <f aca="false">D85</f>
        <v>409191</v>
      </c>
      <c r="F85" s="79" t="n">
        <f aca="false">E85</f>
        <v>409191</v>
      </c>
      <c r="G85" s="79" t="n">
        <f aca="false">F85</f>
        <v>409191</v>
      </c>
      <c r="H85" s="79" t="n">
        <f aca="false">G85</f>
        <v>409191</v>
      </c>
      <c r="I85" s="79" t="n">
        <f aca="false">H85</f>
        <v>409191</v>
      </c>
      <c r="J85" s="79" t="n">
        <f aca="false">I85</f>
        <v>409191</v>
      </c>
      <c r="K85" s="79" t="n">
        <f aca="false">J85</f>
        <v>409191</v>
      </c>
      <c r="L85" s="79" t="n">
        <f aca="false">K85</f>
        <v>409191</v>
      </c>
      <c r="M85" s="79" t="n">
        <f aca="false">L85</f>
        <v>409191</v>
      </c>
      <c r="N85" s="79" t="n">
        <f aca="false">M85</f>
        <v>409191</v>
      </c>
      <c r="O85" s="79" t="n">
        <f aca="false">N85</f>
        <v>409191</v>
      </c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66" t="str">
        <f aca="false">B85</f>
        <v>   Paid-in Capital</v>
      </c>
      <c r="AC85" s="67" t="n">
        <v>207835</v>
      </c>
      <c r="AD85" s="68" t="n">
        <f aca="false">AC85</f>
        <v>207835</v>
      </c>
      <c r="AE85" s="68" t="n">
        <f aca="false">AD85</f>
        <v>207835</v>
      </c>
      <c r="AF85" s="68" t="n">
        <f aca="false">AE85</f>
        <v>207835</v>
      </c>
      <c r="AG85" s="68" t="n">
        <f aca="false">AF85</f>
        <v>207835</v>
      </c>
      <c r="AH85" s="68" t="n">
        <f aca="false">AG85</f>
        <v>207835</v>
      </c>
      <c r="AI85" s="68" t="n">
        <f aca="false">AH85</f>
        <v>207835</v>
      </c>
      <c r="AJ85" s="68" t="n">
        <f aca="false">AI85</f>
        <v>207835</v>
      </c>
      <c r="AK85" s="68" t="n">
        <f aca="false">AJ85</f>
        <v>207835</v>
      </c>
      <c r="AL85" s="68" t="n">
        <f aca="false">AK85</f>
        <v>207835</v>
      </c>
      <c r="AM85" s="68" t="n">
        <f aca="false">AL85</f>
        <v>207835</v>
      </c>
      <c r="AN85" s="68" t="n">
        <f aca="false">AM85</f>
        <v>207835</v>
      </c>
      <c r="AO85" s="68" t="n">
        <f aca="false">AN85</f>
        <v>207835</v>
      </c>
      <c r="AP85" s="47"/>
      <c r="AQ85" s="64"/>
      <c r="AR85" s="47"/>
      <c r="BA85" s="47"/>
      <c r="BB85" s="66" t="str">
        <f aca="false">B85</f>
        <v>   Paid-in Capital</v>
      </c>
      <c r="BC85" s="68" t="n">
        <f aca="false">C85-AC85</f>
        <v>201356</v>
      </c>
      <c r="BD85" s="68" t="n">
        <f aca="false">D85-AD85</f>
        <v>201356</v>
      </c>
      <c r="BE85" s="68" t="n">
        <f aca="false">E85-AE85</f>
        <v>201356</v>
      </c>
      <c r="BF85" s="68" t="n">
        <f aca="false">F85-AF85</f>
        <v>201356</v>
      </c>
      <c r="BG85" s="68" t="n">
        <f aca="false">G85-AG85</f>
        <v>201356</v>
      </c>
      <c r="BH85" s="68" t="n">
        <f aca="false">H85-AH85</f>
        <v>201356</v>
      </c>
      <c r="BI85" s="68" t="n">
        <f aca="false">I85-AI85</f>
        <v>201356</v>
      </c>
      <c r="BJ85" s="68" t="n">
        <f aca="false">J85-AJ85</f>
        <v>201356</v>
      </c>
      <c r="BK85" s="68" t="n">
        <f aca="false">K85-AK85</f>
        <v>201356</v>
      </c>
      <c r="BL85" s="68" t="n">
        <f aca="false">L85-AL85</f>
        <v>201356</v>
      </c>
      <c r="BM85" s="68" t="n">
        <f aca="false">M85-AM85</f>
        <v>201356</v>
      </c>
      <c r="BN85" s="68" t="n">
        <f aca="false">N85-AN85</f>
        <v>201356</v>
      </c>
      <c r="BO85" s="68" t="n">
        <f aca="false">O85-AO85</f>
        <v>201356</v>
      </c>
    </row>
    <row r="86" customFormat="false" ht="14.65" hidden="false" customHeight="false" outlineLevel="0" collapsed="false">
      <c r="A86" s="47"/>
      <c r="B86" s="66" t="s">
        <v>337</v>
      </c>
      <c r="C86" s="79" t="n">
        <f aca="false">BACKUP!C472+BACKUP!C473</f>
        <v>0</v>
      </c>
      <c r="D86" s="79" t="n">
        <f aca="false">+C86+BACKUP!D472+BACKUP!D473</f>
        <v>-26217</v>
      </c>
      <c r="E86" s="79" t="n">
        <f aca="false">+D86+BACKUP!E472+BACKUP!E473</f>
        <v>-17748</v>
      </c>
      <c r="F86" s="79" t="n">
        <f aca="false">+E86+BACKUP!F472+BACKUP!F473</f>
        <v>-22049</v>
      </c>
      <c r="G86" s="79" t="n">
        <f aca="false">+F86+BACKUP!G472+BACKUP!G473</f>
        <v>-16071</v>
      </c>
      <c r="H86" s="79" t="n">
        <f aca="false">+G86+BACKUP!H472+BACKUP!H473</f>
        <v>3038</v>
      </c>
      <c r="I86" s="79" t="n">
        <f aca="false">+H86+BACKUP!I472+BACKUP!I473</f>
        <v>19953</v>
      </c>
      <c r="J86" s="79" t="n">
        <f aca="false">+I86+BACKUP!J472+BACKUP!J473</f>
        <v>19452</v>
      </c>
      <c r="K86" s="79" t="n">
        <f aca="false">+J86+BACKUP!K472+BACKUP!K473</f>
        <v>19452</v>
      </c>
      <c r="L86" s="79" t="n">
        <f aca="false">+K86+BACKUP!L472+BACKUP!L473</f>
        <v>19452</v>
      </c>
      <c r="M86" s="79" t="n">
        <f aca="false">+L86+BACKUP!M472+BACKUP!M473</f>
        <v>19452</v>
      </c>
      <c r="N86" s="79" t="n">
        <f aca="false">+M86+BACKUP!N472+BACKUP!N473</f>
        <v>19452</v>
      </c>
      <c r="O86" s="79" t="n">
        <f aca="false">+N86+BACKUP!O472+BACKUP!O473</f>
        <v>19452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66" t="str">
        <f aca="false">B86</f>
        <v>   Accum. Other Comprehensive Income / (Loss)</v>
      </c>
      <c r="AC86" s="67" t="n">
        <v>0</v>
      </c>
      <c r="AD86" s="68" t="n">
        <f aca="false">AC86</f>
        <v>0</v>
      </c>
      <c r="AE86" s="68" t="n">
        <f aca="false">AD86</f>
        <v>0</v>
      </c>
      <c r="AF86" s="68" t="n">
        <f aca="false">AE86</f>
        <v>0</v>
      </c>
      <c r="AG86" s="68" t="n">
        <f aca="false">AF86</f>
        <v>0</v>
      </c>
      <c r="AH86" s="68" t="n">
        <f aca="false">AG86</f>
        <v>0</v>
      </c>
      <c r="AI86" s="68" t="n">
        <f aca="false">AH86</f>
        <v>0</v>
      </c>
      <c r="AJ86" s="68" t="n">
        <f aca="false">AI86</f>
        <v>0</v>
      </c>
      <c r="AK86" s="68" t="n">
        <f aca="false">AJ86</f>
        <v>0</v>
      </c>
      <c r="AL86" s="68" t="n">
        <f aca="false">AK86</f>
        <v>0</v>
      </c>
      <c r="AM86" s="68" t="n">
        <f aca="false">AL86</f>
        <v>0</v>
      </c>
      <c r="AN86" s="68" t="n">
        <f aca="false">AM86</f>
        <v>0</v>
      </c>
      <c r="AO86" s="68" t="n">
        <f aca="false">AN86</f>
        <v>0</v>
      </c>
      <c r="AP86" s="47"/>
      <c r="AQ86" s="64"/>
      <c r="AR86" s="47"/>
      <c r="BA86" s="47"/>
      <c r="BB86" s="66" t="str">
        <f aca="false">B86</f>
        <v>   Accum. Other Comprehensive Income / (Loss)</v>
      </c>
      <c r="BC86" s="68" t="n">
        <f aca="false">C86-AC86</f>
        <v>0</v>
      </c>
      <c r="BD86" s="68" t="n">
        <f aca="false">D86-AD86</f>
        <v>-26217</v>
      </c>
      <c r="BE86" s="68" t="n">
        <f aca="false">E86-AE86</f>
        <v>-17748</v>
      </c>
      <c r="BF86" s="68" t="n">
        <f aca="false">F86-AF86</f>
        <v>-22049</v>
      </c>
      <c r="BG86" s="68" t="n">
        <f aca="false">G86-AG86</f>
        <v>-16071</v>
      </c>
      <c r="BH86" s="68" t="n">
        <f aca="false">H86-AH86</f>
        <v>3038</v>
      </c>
      <c r="BI86" s="68" t="n">
        <f aca="false">I86-AI86</f>
        <v>19953</v>
      </c>
      <c r="BJ86" s="68" t="n">
        <f aca="false">J86-AJ86</f>
        <v>19452</v>
      </c>
      <c r="BK86" s="68" t="n">
        <f aca="false">K86-AK86</f>
        <v>19452</v>
      </c>
      <c r="BL86" s="68" t="n">
        <f aca="false">L86-AL86</f>
        <v>19452</v>
      </c>
      <c r="BM86" s="68" t="n">
        <f aca="false">M86-AM86</f>
        <v>19452</v>
      </c>
      <c r="BN86" s="68" t="n">
        <f aca="false">N86-AN86</f>
        <v>19452</v>
      </c>
      <c r="BO86" s="68" t="n">
        <f aca="false">O86-AO86</f>
        <v>19452</v>
      </c>
    </row>
    <row r="87" customFormat="false" ht="14.65" hidden="false" customHeight="false" outlineLevel="0" collapsed="false">
      <c r="A87" s="47"/>
      <c r="B87" s="66" t="s">
        <v>338</v>
      </c>
      <c r="C87" s="70" t="n">
        <f aca="false">BACKUP!C476-C84-C85-C86</f>
        <v>533635</v>
      </c>
      <c r="D87" s="70" t="n">
        <f aca="false">BACKUP!D476-D84-D85-D86</f>
        <v>540293</v>
      </c>
      <c r="E87" s="70" t="n">
        <f aca="false">BACKUP!E476-E84-E85-E86</f>
        <v>548833</v>
      </c>
      <c r="F87" s="70" t="n">
        <f aca="false">BACKUP!F476-F84-F85-F86</f>
        <v>552174</v>
      </c>
      <c r="G87" s="70" t="n">
        <f aca="false">BACKUP!G476-G84-G85-G86</f>
        <v>560328</v>
      </c>
      <c r="H87" s="70" t="n">
        <f aca="false">BACKUP!H476-H84-H85-H86</f>
        <v>567906</v>
      </c>
      <c r="I87" s="70" t="n">
        <f aca="false">BACKUP!I476-I84-I85-I86</f>
        <v>574202</v>
      </c>
      <c r="J87" s="70" t="n">
        <f aca="false">BACKUP!J476-J84-J85-J86</f>
        <v>580931</v>
      </c>
      <c r="K87" s="70" t="n">
        <f aca="false">BACKUP!K476-K84-K85-K86</f>
        <v>587253</v>
      </c>
      <c r="L87" s="70" t="n">
        <f aca="false">BACKUP!L476-L84-L85-L86</f>
        <v>599164</v>
      </c>
      <c r="M87" s="70" t="n">
        <f aca="false">BACKUP!M476-M84-M85-M86</f>
        <v>605478</v>
      </c>
      <c r="N87" s="70" t="n">
        <f aca="false">BACKUP!N476-N84-N85-N86</f>
        <v>611525</v>
      </c>
      <c r="O87" s="70" t="n">
        <f aca="false">BACKUP!O476-O84-O85-O86</f>
        <v>617911</v>
      </c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66" t="str">
        <f aca="false">B87</f>
        <v>   Retained Earnings</v>
      </c>
      <c r="AC87" s="71" t="n">
        <v>-12725</v>
      </c>
      <c r="AD87" s="73" t="n">
        <f aca="false">AC87-325</f>
        <v>-13050</v>
      </c>
      <c r="AE87" s="73" t="n">
        <f aca="false">AD87-325</f>
        <v>-13375</v>
      </c>
      <c r="AF87" s="73" t="n">
        <f aca="false">AE87-325</f>
        <v>-13700</v>
      </c>
      <c r="AG87" s="73" t="n">
        <f aca="false">AF87-325</f>
        <v>-14025</v>
      </c>
      <c r="AH87" s="73" t="n">
        <f aca="false">AG87-325</f>
        <v>-14350</v>
      </c>
      <c r="AI87" s="73" t="n">
        <f aca="false">AH87-325</f>
        <v>-14675</v>
      </c>
      <c r="AJ87" s="73" t="n">
        <f aca="false">AI87-325</f>
        <v>-15000</v>
      </c>
      <c r="AK87" s="73" t="n">
        <f aca="false">AJ87-325</f>
        <v>-15325</v>
      </c>
      <c r="AL87" s="73" t="n">
        <f aca="false">AK87-325</f>
        <v>-15650</v>
      </c>
      <c r="AM87" s="73" t="n">
        <f aca="false">AL87-325</f>
        <v>-15975</v>
      </c>
      <c r="AN87" s="73" t="n">
        <f aca="false">AM87-325</f>
        <v>-16300</v>
      </c>
      <c r="AO87" s="73" t="n">
        <f aca="false">AN87-325</f>
        <v>-16625</v>
      </c>
      <c r="AP87" s="47"/>
      <c r="AQ87" s="64"/>
      <c r="AR87" s="47"/>
      <c r="BA87" s="47"/>
      <c r="BB87" s="66" t="str">
        <f aca="false">B87</f>
        <v>   Retained Earnings</v>
      </c>
      <c r="BC87" s="72" t="n">
        <f aca="false">C87-AC87</f>
        <v>546360</v>
      </c>
      <c r="BD87" s="72" t="n">
        <f aca="false">D87-AD87</f>
        <v>553343</v>
      </c>
      <c r="BE87" s="72" t="n">
        <f aca="false">E87-AE87</f>
        <v>562208</v>
      </c>
      <c r="BF87" s="72" t="n">
        <f aca="false">F87-AF87</f>
        <v>565874</v>
      </c>
      <c r="BG87" s="72" t="n">
        <f aca="false">G87-AG87</f>
        <v>574353</v>
      </c>
      <c r="BH87" s="72" t="n">
        <f aca="false">H87-AH87</f>
        <v>582256</v>
      </c>
      <c r="BI87" s="72" t="n">
        <f aca="false">I87-AI87</f>
        <v>588877</v>
      </c>
      <c r="BJ87" s="72" t="n">
        <f aca="false">J87-AJ87</f>
        <v>595931</v>
      </c>
      <c r="BK87" s="72" t="n">
        <f aca="false">K87-AK87</f>
        <v>602578</v>
      </c>
      <c r="BL87" s="72" t="n">
        <f aca="false">L87-AL87</f>
        <v>614814</v>
      </c>
      <c r="BM87" s="72" t="n">
        <f aca="false">M87-AM87</f>
        <v>621453</v>
      </c>
      <c r="BN87" s="72" t="n">
        <f aca="false">N87-AN87</f>
        <v>627825</v>
      </c>
      <c r="BO87" s="72" t="n">
        <f aca="false">O87-AO87</f>
        <v>634536</v>
      </c>
    </row>
    <row r="88" customFormat="false" ht="3.95" hidden="false" customHeight="true" outlineLevel="0" collapsed="false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</row>
    <row r="89" customFormat="false" ht="14.65" hidden="false" customHeight="false" outlineLevel="0" collapsed="false">
      <c r="A89" s="65" t="s">
        <v>339</v>
      </c>
      <c r="B89" s="63" t="s">
        <v>340</v>
      </c>
      <c r="C89" s="70" t="n">
        <f aca="false">SUM(C84:C88)</f>
        <v>942827</v>
      </c>
      <c r="D89" s="70" t="n">
        <f aca="false">SUM(D84:D88)</f>
        <v>923268</v>
      </c>
      <c r="E89" s="70" t="n">
        <f aca="false">SUM(E84:E88)</f>
        <v>940277</v>
      </c>
      <c r="F89" s="70" t="n">
        <f aca="false">SUM(F84:F88)</f>
        <v>939317</v>
      </c>
      <c r="G89" s="70" t="n">
        <f aca="false">SUM(G84:G88)</f>
        <v>953449</v>
      </c>
      <c r="H89" s="70" t="n">
        <f aca="false">SUM(H84:H88)</f>
        <v>980136</v>
      </c>
      <c r="I89" s="70" t="n">
        <f aca="false">SUM(I84:I88)</f>
        <v>1003347</v>
      </c>
      <c r="J89" s="70" t="n">
        <f aca="false">SUM(J84:J88)</f>
        <v>1009575</v>
      </c>
      <c r="K89" s="70" t="n">
        <f aca="false">SUM(K84:K88)</f>
        <v>1015897</v>
      </c>
      <c r="L89" s="70" t="n">
        <f aca="false">SUM(L84:L88)</f>
        <v>1027808</v>
      </c>
      <c r="M89" s="70" t="n">
        <f aca="false">SUM(M84:M88)</f>
        <v>1034122</v>
      </c>
      <c r="N89" s="70" t="n">
        <f aca="false">SUM(N84:N88)</f>
        <v>1040169</v>
      </c>
      <c r="O89" s="70" t="n">
        <f aca="false">SUM(O84:O88)</f>
        <v>1046555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65" t="str">
        <f aca="false">A89</f>
        <v>K</v>
      </c>
      <c r="AB89" s="63" t="str">
        <f aca="false">B89</f>
        <v>      Total Equity</v>
      </c>
      <c r="AC89" s="70" t="n">
        <f aca="false">SUM(AC84:AC88)</f>
        <v>195110</v>
      </c>
      <c r="AD89" s="70" t="n">
        <f aca="false">SUM(AD84:AD88)</f>
        <v>194785</v>
      </c>
      <c r="AE89" s="70" t="n">
        <f aca="false">SUM(AE84:AE88)</f>
        <v>194460</v>
      </c>
      <c r="AF89" s="70" t="n">
        <f aca="false">SUM(AF84:AF88)</f>
        <v>194135</v>
      </c>
      <c r="AG89" s="70" t="n">
        <f aca="false">SUM(AG84:AG88)</f>
        <v>193810</v>
      </c>
      <c r="AH89" s="70" t="n">
        <f aca="false">SUM(AH84:AH88)</f>
        <v>193485</v>
      </c>
      <c r="AI89" s="70" t="n">
        <f aca="false">SUM(AI84:AI88)</f>
        <v>193160</v>
      </c>
      <c r="AJ89" s="70" t="n">
        <f aca="false">SUM(AJ84:AJ88)</f>
        <v>192835</v>
      </c>
      <c r="AK89" s="70" t="n">
        <f aca="false">SUM(AK84:AK88)</f>
        <v>192510</v>
      </c>
      <c r="AL89" s="70" t="n">
        <f aca="false">SUM(AL84:AL88)</f>
        <v>192185</v>
      </c>
      <c r="AM89" s="70" t="n">
        <f aca="false">SUM(AM84:AM88)</f>
        <v>191860</v>
      </c>
      <c r="AN89" s="70" t="n">
        <f aca="false">SUM(AN84:AN88)</f>
        <v>191535</v>
      </c>
      <c r="AO89" s="70" t="n">
        <f aca="false">SUM(AO84:AO88)</f>
        <v>191210</v>
      </c>
      <c r="AP89" s="47"/>
      <c r="AQ89" s="64"/>
      <c r="AR89" s="47"/>
      <c r="BA89" s="65" t="str">
        <f aca="false">A89</f>
        <v>K</v>
      </c>
      <c r="BB89" s="63" t="str">
        <f aca="false">B89</f>
        <v>      Total Equity</v>
      </c>
      <c r="BC89" s="70" t="n">
        <f aca="false">SUM(BC84:BC88)</f>
        <v>747717</v>
      </c>
      <c r="BD89" s="70" t="n">
        <f aca="false">SUM(BD84:BD88)</f>
        <v>728483</v>
      </c>
      <c r="BE89" s="70" t="n">
        <f aca="false">SUM(BE84:BE88)</f>
        <v>745817</v>
      </c>
      <c r="BF89" s="70" t="n">
        <f aca="false">SUM(BF84:BF88)</f>
        <v>745182</v>
      </c>
      <c r="BG89" s="70" t="n">
        <f aca="false">SUM(BG84:BG88)</f>
        <v>759639</v>
      </c>
      <c r="BH89" s="70" t="n">
        <f aca="false">SUM(BH84:BH88)</f>
        <v>786651</v>
      </c>
      <c r="BI89" s="70" t="n">
        <f aca="false">SUM(BI84:BI88)</f>
        <v>810187</v>
      </c>
      <c r="BJ89" s="70" t="n">
        <f aca="false">SUM(BJ84:BJ88)</f>
        <v>816740</v>
      </c>
      <c r="BK89" s="70" t="n">
        <f aca="false">SUM(BK84:BK88)</f>
        <v>823387</v>
      </c>
      <c r="BL89" s="70" t="n">
        <f aca="false">SUM(BL84:BL88)</f>
        <v>835623</v>
      </c>
      <c r="BM89" s="70" t="n">
        <f aca="false">SUM(BM84:BM88)</f>
        <v>842262</v>
      </c>
      <c r="BN89" s="70" t="n">
        <f aca="false">SUM(BN84:BN88)</f>
        <v>848634</v>
      </c>
      <c r="BO89" s="70" t="n">
        <f aca="false">SUM(BO84:BO88)</f>
        <v>855345</v>
      </c>
    </row>
    <row r="90" customFormat="false" ht="14.65" hidden="false" customHeight="false" outlineLevel="0" collapsed="false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</row>
    <row r="91" customFormat="false" ht="14.65" hidden="false" customHeight="false" outlineLevel="0" collapsed="false">
      <c r="A91" s="47"/>
      <c r="B91" s="47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47"/>
      <c r="AQ91" s="64"/>
      <c r="AR91" s="47"/>
      <c r="BA91" s="47"/>
      <c r="BB91" s="47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</row>
    <row r="92" customFormat="false" ht="14.65" hidden="false" customHeight="false" outlineLevel="0" collapsed="false">
      <c r="A92" s="44"/>
      <c r="B92" s="63" t="s">
        <v>341</v>
      </c>
      <c r="C92" s="75" t="n">
        <f aca="false">C66+C74+C81+C89</f>
        <v>1372399</v>
      </c>
      <c r="D92" s="75" t="n">
        <f aca="false">D66+D74+D81+D89</f>
        <v>1382503</v>
      </c>
      <c r="E92" s="75" t="n">
        <f aca="false">E66+E74+E81+E89</f>
        <v>1391026</v>
      </c>
      <c r="F92" s="75" t="n">
        <f aca="false">F66+F74+F81+F89</f>
        <v>1416581</v>
      </c>
      <c r="G92" s="75" t="n">
        <f aca="false">G66+G74+G81+G89</f>
        <v>1408881</v>
      </c>
      <c r="H92" s="75" t="n">
        <f aca="false">H66+H74+H81+H89</f>
        <v>1428255</v>
      </c>
      <c r="I92" s="75" t="n">
        <f aca="false">I66+I74+I81+I89</f>
        <v>1295684</v>
      </c>
      <c r="J92" s="75" t="n">
        <f aca="false">J66+J74+J81+J89</f>
        <v>1301188</v>
      </c>
      <c r="K92" s="75" t="n">
        <f aca="false">K66+K74+K81+K89</f>
        <v>1310912</v>
      </c>
      <c r="L92" s="75" t="n">
        <f aca="false">L66+L74+L81+L89</f>
        <v>1321022</v>
      </c>
      <c r="M92" s="75" t="n">
        <f aca="false">M66+M74+M81+M89</f>
        <v>1328480</v>
      </c>
      <c r="N92" s="75" t="n">
        <f aca="false">N66+N74+N81+N89</f>
        <v>1331649</v>
      </c>
      <c r="O92" s="75" t="n">
        <f aca="false">O66+O74+O81+O89</f>
        <v>1336730</v>
      </c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4"/>
      <c r="AB92" s="63" t="str">
        <f aca="false">B92</f>
        <v>            TOTAL LIABILITIES &amp; EQUITY</v>
      </c>
      <c r="AC92" s="75" t="n">
        <f aca="false">AC66+AC74+AC81+AC89</f>
        <v>300164</v>
      </c>
      <c r="AD92" s="75" t="n">
        <f aca="false">AD66+AD74+AD81+AD89</f>
        <v>299664</v>
      </c>
      <c r="AE92" s="75" t="n">
        <f aca="false">AE66+AE74+AE81+AE89</f>
        <v>299164</v>
      </c>
      <c r="AF92" s="75" t="n">
        <f aca="false">AF66+AF74+AF81+AF89</f>
        <v>298664</v>
      </c>
      <c r="AG92" s="75" t="n">
        <f aca="false">AG66+AG74+AG81+AG89</f>
        <v>298164</v>
      </c>
      <c r="AH92" s="75" t="n">
        <f aca="false">AH66+AH74+AH81+AH89</f>
        <v>297664</v>
      </c>
      <c r="AI92" s="75" t="n">
        <f aca="false">AI66+AI74+AI81+AI89</f>
        <v>297164</v>
      </c>
      <c r="AJ92" s="75" t="n">
        <f aca="false">AJ66+AJ74+AJ81+AJ89</f>
        <v>296664</v>
      </c>
      <c r="AK92" s="75" t="n">
        <f aca="false">AK66+AK74+AK81+AK89</f>
        <v>296164</v>
      </c>
      <c r="AL92" s="75" t="n">
        <f aca="false">AL66+AL74+AL81+AL89</f>
        <v>295664</v>
      </c>
      <c r="AM92" s="75" t="n">
        <f aca="false">AM66+AM74+AM81+AM89</f>
        <v>295164</v>
      </c>
      <c r="AN92" s="75" t="n">
        <f aca="false">AN66+AN74+AN81+AN89</f>
        <v>294664</v>
      </c>
      <c r="AO92" s="75" t="n">
        <f aca="false">AO66+AO74+AO81+AO89</f>
        <v>294164</v>
      </c>
      <c r="AP92" s="47"/>
      <c r="AQ92" s="64"/>
      <c r="AR92" s="47"/>
      <c r="BA92" s="44"/>
      <c r="BB92" s="63" t="str">
        <f aca="false">B92</f>
        <v>            TOTAL LIABILITIES &amp; EQUITY</v>
      </c>
      <c r="BC92" s="75" t="n">
        <f aca="false">BC66+BC74+BC81+BC89</f>
        <v>1072235</v>
      </c>
      <c r="BD92" s="75" t="n">
        <f aca="false">BD66+BD74+BD81+BD89</f>
        <v>1082839</v>
      </c>
      <c r="BE92" s="75" t="n">
        <f aca="false">BE66+BE74+BE81+BE89</f>
        <v>1091862</v>
      </c>
      <c r="BF92" s="75" t="n">
        <f aca="false">BF66+BF74+BF81+BF89</f>
        <v>1117917</v>
      </c>
      <c r="BG92" s="75" t="n">
        <f aca="false">BG66+BG74+BG81+BG89</f>
        <v>1110717</v>
      </c>
      <c r="BH92" s="75" t="n">
        <f aca="false">BH66+BH74+BH81+BH89</f>
        <v>1130591</v>
      </c>
      <c r="BI92" s="75" t="n">
        <f aca="false">BI66+BI74+BI81+BI89</f>
        <v>998520</v>
      </c>
      <c r="BJ92" s="75" t="n">
        <f aca="false">BJ66+BJ74+BJ81+BJ89</f>
        <v>1004524</v>
      </c>
      <c r="BK92" s="75" t="n">
        <f aca="false">BK66+BK74+BK81+BK89</f>
        <v>1014748</v>
      </c>
      <c r="BL92" s="75" t="n">
        <f aca="false">BL66+BL74+BL81+BL89</f>
        <v>1025358</v>
      </c>
      <c r="BM92" s="75" t="n">
        <f aca="false">BM66+BM74+BM81+BM89</f>
        <v>1033316</v>
      </c>
      <c r="BN92" s="75" t="n">
        <f aca="false">BN66+BN74+BN81+BN89</f>
        <v>1036985</v>
      </c>
      <c r="BO92" s="75" t="n">
        <f aca="false">BO66+BO74+BO81+BO89</f>
        <v>1042566</v>
      </c>
    </row>
    <row r="93" customFormat="false" ht="14.65" hidden="false" customHeight="false" outlineLevel="0" collapsed="false">
      <c r="A93" s="47"/>
      <c r="B93" s="47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47"/>
      <c r="AQ93" s="47"/>
      <c r="AR93" s="47"/>
      <c r="BA93" s="47"/>
      <c r="BB93" s="47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</row>
    <row r="94" customFormat="false" ht="14.65" hidden="false" customHeight="false" outlineLevel="0" collapsed="false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</row>
    <row r="95" customFormat="false" ht="14.65" hidden="false" customHeight="false" outlineLevel="0" collapsed="false">
      <c r="A95" s="47"/>
      <c r="B95" s="66" t="s">
        <v>342</v>
      </c>
      <c r="C95" s="64" t="n">
        <f aca="false">C49-C92</f>
        <v>0</v>
      </c>
      <c r="D95" s="64" t="n">
        <f aca="false">D49-D92</f>
        <v>0</v>
      </c>
      <c r="E95" s="64" t="n">
        <f aca="false">E49-E92</f>
        <v>0</v>
      </c>
      <c r="F95" s="64" t="n">
        <f aca="false">F49-F92</f>
        <v>0</v>
      </c>
      <c r="G95" s="64" t="n">
        <f aca="false">G49-G92</f>
        <v>0</v>
      </c>
      <c r="H95" s="64" t="n">
        <f aca="false">H49-H92</f>
        <v>0</v>
      </c>
      <c r="I95" s="64" t="n">
        <f aca="false">I49-I92</f>
        <v>0</v>
      </c>
      <c r="J95" s="64" t="n">
        <f aca="false">J49-J92</f>
        <v>276</v>
      </c>
      <c r="K95" s="64" t="n">
        <f aca="false">K49-K92</f>
        <v>3546</v>
      </c>
      <c r="L95" s="64" t="n">
        <f aca="false">L49-L92</f>
        <v>1958</v>
      </c>
      <c r="M95" s="64" t="n">
        <f aca="false">M49-M92</f>
        <v>2536</v>
      </c>
      <c r="N95" s="64" t="n">
        <f aca="false">N49-N92</f>
        <v>2223</v>
      </c>
      <c r="O95" s="64" t="n">
        <f aca="false">O49-O92</f>
        <v>1771</v>
      </c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66" t="str">
        <f aca="false">B95</f>
        <v>      CHECK #</v>
      </c>
      <c r="AC95" s="64" t="n">
        <f aca="false">AC49-AC92</f>
        <v>0</v>
      </c>
      <c r="AD95" s="64" t="n">
        <f aca="false">AD49-AD92</f>
        <v>0</v>
      </c>
      <c r="AE95" s="64" t="n">
        <f aca="false">AE49-AE92</f>
        <v>0</v>
      </c>
      <c r="AF95" s="64" t="n">
        <f aca="false">AF49-AF92</f>
        <v>0</v>
      </c>
      <c r="AG95" s="64" t="n">
        <f aca="false">AG49-AG92</f>
        <v>0</v>
      </c>
      <c r="AH95" s="64" t="n">
        <f aca="false">AH49-AH92</f>
        <v>0</v>
      </c>
      <c r="AI95" s="64" t="n">
        <f aca="false">AI49-AI92</f>
        <v>0</v>
      </c>
      <c r="AJ95" s="64" t="n">
        <f aca="false">AJ49-AJ92</f>
        <v>0</v>
      </c>
      <c r="AK95" s="64" t="n">
        <f aca="false">AK49-AK92</f>
        <v>0</v>
      </c>
      <c r="AL95" s="64" t="n">
        <f aca="false">AL49-AL92</f>
        <v>0</v>
      </c>
      <c r="AM95" s="64" t="n">
        <f aca="false">AM49-AM92</f>
        <v>0</v>
      </c>
      <c r="AN95" s="64" t="n">
        <f aca="false">AN49-AN92</f>
        <v>0</v>
      </c>
      <c r="AO95" s="64" t="n">
        <f aca="false">AO49-AO92</f>
        <v>0</v>
      </c>
      <c r="AP95" s="47"/>
      <c r="AQ95" s="47"/>
      <c r="AR95" s="47"/>
      <c r="BA95" s="47"/>
      <c r="BB95" s="66" t="str">
        <f aca="false">B95</f>
        <v>      CHECK #</v>
      </c>
      <c r="BC95" s="64" t="n">
        <f aca="false">BC49-BC92</f>
        <v>0</v>
      </c>
      <c r="BD95" s="64" t="n">
        <f aca="false">BD49-BD92</f>
        <v>0</v>
      </c>
      <c r="BE95" s="64" t="n">
        <f aca="false">BE49-BE92</f>
        <v>0</v>
      </c>
      <c r="BF95" s="64" t="n">
        <f aca="false">BF49-BF92</f>
        <v>0</v>
      </c>
      <c r="BG95" s="64" t="n">
        <f aca="false">BG49-BG92</f>
        <v>0</v>
      </c>
      <c r="BH95" s="64" t="n">
        <f aca="false">BH49-BH92</f>
        <v>0</v>
      </c>
      <c r="BI95" s="64" t="n">
        <f aca="false">BI49-BI92</f>
        <v>0</v>
      </c>
      <c r="BJ95" s="64" t="n">
        <f aca="false">BJ49-BJ92</f>
        <v>276</v>
      </c>
      <c r="BK95" s="64" t="n">
        <f aca="false">BK49-BK92</f>
        <v>3546</v>
      </c>
      <c r="BL95" s="64" t="n">
        <f aca="false">BL49-BL92</f>
        <v>1958</v>
      </c>
      <c r="BM95" s="64" t="n">
        <f aca="false">BM49-BM92</f>
        <v>2536</v>
      </c>
      <c r="BN95" s="64" t="n">
        <f aca="false">BN49-BN92</f>
        <v>2223</v>
      </c>
      <c r="BO95" s="64" t="n">
        <f aca="false">BO49-BO92</f>
        <v>1771</v>
      </c>
    </row>
    <row r="96" customFormat="false" ht="8.1" hidden="false" customHeight="true" outlineLevel="0" collapsed="false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</row>
    <row r="97" customFormat="false" ht="14.65" hidden="false" customHeight="false" outlineLevel="0" collapsed="false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</row>
    <row r="98" customFormat="false" ht="14.65" hidden="false" customHeight="false" outlineLevel="0" collapsed="false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</row>
    <row r="99" customFormat="false" ht="14.65" hidden="false" customHeight="false" outlineLevel="0" collapsed="false">
      <c r="A99" s="48" t="str">
        <f aca="false">A1</f>
        <v>'file:///mnt/12tb/@roms/datasets/enron/EDRM Enron Email Data Set v2 XML/filtered-attachments/xls/TW3rdCECF.xls'#$BACKUP</v>
      </c>
      <c r="B99" s="44"/>
      <c r="C99" s="44"/>
      <c r="D99" s="44"/>
      <c r="E99" s="44"/>
      <c r="F99" s="54" t="str">
        <f aca="false">F1</f>
        <v>TRANSWESTERN PIPELINE GROUP (Including Co. 92)</v>
      </c>
      <c r="G99" s="54"/>
      <c r="H99" s="54"/>
      <c r="I99" s="54"/>
      <c r="J99" s="44"/>
      <c r="K99" s="44"/>
      <c r="L99" s="44"/>
      <c r="M99" s="44"/>
      <c r="N99" s="44"/>
      <c r="O99" s="44"/>
      <c r="P99" s="46" t="n">
        <f aca="true">NOW()</f>
        <v>45926.9584324566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8" t="str">
        <f aca="false">A1</f>
        <v>'file:///mnt/12tb/@roms/datasets/enron/EDRM Enron Email Data Set v2 XML/filtered-attachments/xls/TW3rdCECF.xls'#$BACKUP</v>
      </c>
      <c r="AB99" s="44"/>
      <c r="AC99" s="44"/>
      <c r="AD99" s="44"/>
      <c r="AE99" s="44"/>
      <c r="AF99" s="44" t="str">
        <f aca="false">AF1</f>
        <v>FAIR VALUE COMPANY (Co. 92)</v>
      </c>
      <c r="AG99" s="44"/>
      <c r="AH99" s="44"/>
      <c r="AI99" s="44"/>
      <c r="AJ99" s="44"/>
      <c r="AK99" s="44"/>
      <c r="AL99" s="44"/>
      <c r="AM99" s="44"/>
      <c r="AN99" s="44"/>
      <c r="AO99" s="44"/>
      <c r="AP99" s="46" t="n">
        <f aca="true">NOW()</f>
        <v>45926.9584324566</v>
      </c>
      <c r="AQ99" s="47"/>
      <c r="AR99" s="47"/>
    </row>
    <row r="100" customFormat="false" ht="14.65" hidden="false" customHeight="false" outlineLevel="0" collapsed="false">
      <c r="A100" s="53" t="s">
        <v>343</v>
      </c>
      <c r="B100" s="44"/>
      <c r="C100" s="44"/>
      <c r="D100" s="44"/>
      <c r="E100" s="44"/>
      <c r="F100" s="81" t="s">
        <v>344</v>
      </c>
      <c r="G100" s="81"/>
      <c r="H100" s="81"/>
      <c r="I100" s="81"/>
      <c r="J100" s="44"/>
      <c r="K100" s="44"/>
      <c r="L100" s="44"/>
      <c r="M100" s="44"/>
      <c r="N100" s="44"/>
      <c r="O100" s="44"/>
      <c r="P100" s="52" t="n">
        <f aca="true">NOW()</f>
        <v>45926.9584324567</v>
      </c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53" t="s">
        <v>345</v>
      </c>
      <c r="AB100" s="44"/>
      <c r="AC100" s="44"/>
      <c r="AD100" s="44"/>
      <c r="AE100" s="44"/>
      <c r="AF100" s="82" t="s">
        <v>346</v>
      </c>
      <c r="AG100" s="44"/>
      <c r="AH100" s="44"/>
      <c r="AI100" s="44"/>
      <c r="AJ100" s="44"/>
      <c r="AK100" s="44"/>
      <c r="AL100" s="44"/>
      <c r="AM100" s="44"/>
      <c r="AN100" s="44"/>
      <c r="AO100" s="44"/>
      <c r="AP100" s="52" t="n">
        <f aca="true">NOW()</f>
        <v>45926.9584324567</v>
      </c>
      <c r="AQ100" s="47"/>
      <c r="AR100" s="47"/>
    </row>
    <row r="101" customFormat="false" ht="14.65" hidden="false" customHeight="false" outlineLevel="0" collapsed="false">
      <c r="A101" s="56"/>
      <c r="B101" s="44"/>
      <c r="C101" s="44"/>
      <c r="D101" s="44"/>
      <c r="E101" s="44"/>
      <c r="F101" s="54" t="str">
        <f aca="false">F3</f>
        <v>2001 ACTUAL / ESTIMATE</v>
      </c>
      <c r="G101" s="54"/>
      <c r="H101" s="54"/>
      <c r="I101" s="54"/>
      <c r="J101" s="44"/>
      <c r="K101" s="44"/>
      <c r="L101" s="44"/>
      <c r="M101" s="44"/>
      <c r="N101" s="44"/>
      <c r="O101" s="44"/>
      <c r="P101" s="44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56"/>
      <c r="AB101" s="44"/>
      <c r="AC101" s="44"/>
      <c r="AD101" s="44"/>
      <c r="AE101" s="44"/>
      <c r="AF101" s="44" t="str">
        <f aca="false">AF3</f>
        <v>2001 ACTUAL / ESTIMATE</v>
      </c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7"/>
      <c r="AR101" s="47"/>
    </row>
    <row r="102" customFormat="false" ht="14.65" hidden="false" customHeight="false" outlineLevel="0" collapsed="false">
      <c r="A102" s="44"/>
      <c r="B102" s="44"/>
      <c r="C102" s="44"/>
      <c r="D102" s="44"/>
      <c r="E102" s="44"/>
      <c r="F102" s="54" t="str">
        <f aca="false">F4</f>
        <v>(Thousands of Dollars)</v>
      </c>
      <c r="G102" s="54"/>
      <c r="H102" s="54"/>
      <c r="I102" s="54"/>
      <c r="J102" s="44"/>
      <c r="K102" s="44"/>
      <c r="L102" s="44"/>
      <c r="M102" s="44"/>
      <c r="N102" s="44"/>
      <c r="O102" s="44"/>
      <c r="P102" s="44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4"/>
      <c r="AB102" s="44"/>
      <c r="AC102" s="44"/>
      <c r="AD102" s="44"/>
      <c r="AE102" s="44"/>
      <c r="AF102" s="44" t="str">
        <f aca="false">AF4</f>
        <v>(Thousands of Dollars)</v>
      </c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7"/>
      <c r="AR102" s="47"/>
    </row>
    <row r="103" customFormat="false" ht="14.65" hidden="false" customHeight="false" outlineLevel="0" collapsed="false">
      <c r="A103" s="44"/>
      <c r="B103" s="44"/>
      <c r="C103" s="57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7"/>
      <c r="AR103" s="47"/>
    </row>
    <row r="104" customFormat="false" ht="14.65" hidden="false" customHeight="false" outlineLevel="0" collapsed="false">
      <c r="A104" s="44"/>
      <c r="B104" s="44"/>
      <c r="C104" s="57"/>
      <c r="D104" s="44"/>
      <c r="E104" s="44"/>
      <c r="F104" s="47"/>
      <c r="G104" s="57"/>
      <c r="H104" s="44"/>
      <c r="I104" s="44"/>
      <c r="J104" s="57"/>
      <c r="K104" s="44"/>
      <c r="L104" s="44"/>
      <c r="M104" s="44"/>
      <c r="N104" s="44"/>
      <c r="O104" s="44"/>
      <c r="P104" s="83" t="s">
        <v>347</v>
      </c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4"/>
      <c r="AB104" s="44"/>
      <c r="AC104" s="44"/>
      <c r="AD104" s="44"/>
      <c r="AE104" s="44"/>
      <c r="AF104" s="47"/>
      <c r="AG104" s="57"/>
      <c r="AH104" s="44"/>
      <c r="AI104" s="44"/>
      <c r="AJ104" s="44"/>
      <c r="AK104" s="44"/>
      <c r="AL104" s="44"/>
      <c r="AM104" s="44"/>
      <c r="AN104" s="44"/>
      <c r="AO104" s="44"/>
      <c r="AP104" s="76" t="s">
        <v>347</v>
      </c>
      <c r="AQ104" s="47"/>
      <c r="AR104" s="47"/>
    </row>
    <row r="105" customFormat="false" ht="14.65" hidden="false" customHeight="false" outlineLevel="0" collapsed="false">
      <c r="A105" s="44"/>
      <c r="B105" s="44"/>
      <c r="C105" s="59" t="str">
        <f aca="false">C7</f>
        <v>ACTUAL</v>
      </c>
      <c r="D105" s="59" t="str">
        <f aca="false">D7</f>
        <v>ACT.</v>
      </c>
      <c r="E105" s="59" t="str">
        <f aca="false">E7</f>
        <v>ACT.</v>
      </c>
      <c r="F105" s="59" t="str">
        <f aca="false">F7</f>
        <v>ACT.</v>
      </c>
      <c r="G105" s="59" t="str">
        <f aca="false">G7</f>
        <v>ACT.</v>
      </c>
      <c r="H105" s="59" t="str">
        <f aca="false">H7</f>
        <v>ACT.</v>
      </c>
      <c r="I105" s="59" t="str">
        <f aca="false">I7</f>
        <v>ACT.</v>
      </c>
      <c r="J105" s="59" t="str">
        <f aca="false">J7</f>
        <v>ACT.</v>
      </c>
      <c r="K105" s="59" t="str">
        <f aca="false">K7</f>
        <v>ACT.</v>
      </c>
      <c r="L105" s="59" t="str">
        <f aca="false">L7</f>
        <v>3rd CE</v>
      </c>
      <c r="M105" s="59" t="str">
        <f aca="false">M7</f>
        <v>3rd CE</v>
      </c>
      <c r="N105" s="59" t="str">
        <f aca="false">N7</f>
        <v>3rd CE</v>
      </c>
      <c r="O105" s="59" t="str">
        <f aca="false">O7</f>
        <v>3rd CE</v>
      </c>
      <c r="P105" s="83" t="s">
        <v>348</v>
      </c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4"/>
      <c r="AB105" s="44"/>
      <c r="AC105" s="59" t="s">
        <v>7</v>
      </c>
      <c r="AD105" s="59" t="s">
        <v>7</v>
      </c>
      <c r="AE105" s="59" t="s">
        <v>7</v>
      </c>
      <c r="AF105" s="59" t="s">
        <v>7</v>
      </c>
      <c r="AG105" s="59" t="s">
        <v>7</v>
      </c>
      <c r="AH105" s="59" t="s">
        <v>7</v>
      </c>
      <c r="AI105" s="59" t="s">
        <v>7</v>
      </c>
      <c r="AJ105" s="59" t="s">
        <v>7</v>
      </c>
      <c r="AK105" s="59" t="s">
        <v>7</v>
      </c>
      <c r="AL105" s="59" t="s">
        <v>7</v>
      </c>
      <c r="AM105" s="59" t="s">
        <v>7</v>
      </c>
      <c r="AN105" s="59" t="s">
        <v>7</v>
      </c>
      <c r="AO105" s="59" t="s">
        <v>7</v>
      </c>
      <c r="AP105" s="76" t="s">
        <v>348</v>
      </c>
      <c r="AQ105" s="47"/>
      <c r="AR105" s="47"/>
    </row>
    <row r="106" customFormat="false" ht="14.65" hidden="false" customHeight="false" outlineLevel="0" collapsed="false">
      <c r="A106" s="44"/>
      <c r="B106" s="44"/>
      <c r="C106" s="76" t="str">
        <f aca="false">C8</f>
        <v>BALANCE </v>
      </c>
      <c r="D106" s="76" t="str">
        <f aca="false">D8</f>
        <v>JAN</v>
      </c>
      <c r="E106" s="76" t="str">
        <f aca="false">E8</f>
        <v>FEB</v>
      </c>
      <c r="F106" s="76" t="str">
        <f aca="false">F8</f>
        <v>MAR</v>
      </c>
      <c r="G106" s="76" t="str">
        <f aca="false">G8</f>
        <v>APR</v>
      </c>
      <c r="H106" s="76" t="str">
        <f aca="false">H8</f>
        <v>MAY</v>
      </c>
      <c r="I106" s="76" t="str">
        <f aca="false">I8</f>
        <v>JUN</v>
      </c>
      <c r="J106" s="76" t="str">
        <f aca="false">J8</f>
        <v>JUL</v>
      </c>
      <c r="K106" s="76" t="str">
        <f aca="false">K8</f>
        <v>AUG</v>
      </c>
      <c r="L106" s="76" t="str">
        <f aca="false">L8</f>
        <v>SEP</v>
      </c>
      <c r="M106" s="76" t="str">
        <f aca="false">M8</f>
        <v>OCT</v>
      </c>
      <c r="N106" s="76" t="str">
        <f aca="false">N8</f>
        <v>NOV</v>
      </c>
      <c r="O106" s="76" t="str">
        <f aca="false">O8</f>
        <v>DEC</v>
      </c>
      <c r="P106" s="59" t="n">
        <f aca="false">O9</f>
        <v>2001</v>
      </c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4"/>
      <c r="AB106" s="44"/>
      <c r="AC106" s="76" t="s">
        <v>24</v>
      </c>
      <c r="AD106" s="76" t="s">
        <v>13</v>
      </c>
      <c r="AE106" s="76" t="s">
        <v>14</v>
      </c>
      <c r="AF106" s="76" t="s">
        <v>15</v>
      </c>
      <c r="AG106" s="76" t="s">
        <v>16</v>
      </c>
      <c r="AH106" s="76" t="s">
        <v>17</v>
      </c>
      <c r="AI106" s="76" t="s">
        <v>349</v>
      </c>
      <c r="AJ106" s="76" t="s">
        <v>19</v>
      </c>
      <c r="AK106" s="76" t="s">
        <v>20</v>
      </c>
      <c r="AL106" s="76" t="s">
        <v>21</v>
      </c>
      <c r="AM106" s="76" t="s">
        <v>22</v>
      </c>
      <c r="AN106" s="76" t="s">
        <v>23</v>
      </c>
      <c r="AO106" s="76" t="s">
        <v>24</v>
      </c>
      <c r="AP106" s="76" t="s">
        <v>350</v>
      </c>
      <c r="AQ106" s="47"/>
      <c r="AR106" s="47"/>
    </row>
    <row r="107" customFormat="false" ht="14.65" hidden="false" customHeight="false" outlineLevel="0" collapsed="false">
      <c r="A107" s="44"/>
      <c r="B107" s="44"/>
      <c r="C107" s="62" t="str">
        <f aca="false">C9</f>
        <v>12/31/00</v>
      </c>
      <c r="D107" s="62" t="n">
        <f aca="false">D9</f>
        <v>2001</v>
      </c>
      <c r="E107" s="62" t="n">
        <f aca="false">E9</f>
        <v>2001</v>
      </c>
      <c r="F107" s="62" t="n">
        <f aca="false">F9</f>
        <v>2001</v>
      </c>
      <c r="G107" s="62" t="n">
        <f aca="false">G9</f>
        <v>2001</v>
      </c>
      <c r="H107" s="62" t="n">
        <f aca="false">H9</f>
        <v>2001</v>
      </c>
      <c r="I107" s="62" t="n">
        <f aca="false">I9</f>
        <v>2001</v>
      </c>
      <c r="J107" s="62" t="n">
        <f aca="false">J9</f>
        <v>2001</v>
      </c>
      <c r="K107" s="62" t="n">
        <f aca="false">K9</f>
        <v>2001</v>
      </c>
      <c r="L107" s="62" t="n">
        <f aca="false">L9</f>
        <v>2001</v>
      </c>
      <c r="M107" s="62" t="n">
        <f aca="false">M9</f>
        <v>2001</v>
      </c>
      <c r="N107" s="62" t="n">
        <f aca="false">N9</f>
        <v>2001</v>
      </c>
      <c r="O107" s="62" t="n">
        <f aca="false">O9</f>
        <v>2001</v>
      </c>
      <c r="P107" s="61" t="s">
        <v>351</v>
      </c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4"/>
      <c r="AB107" s="44"/>
      <c r="AC107" s="77" t="s">
        <v>352</v>
      </c>
      <c r="AD107" s="77" t="s">
        <v>350</v>
      </c>
      <c r="AE107" s="77" t="s">
        <v>350</v>
      </c>
      <c r="AF107" s="77" t="s">
        <v>350</v>
      </c>
      <c r="AG107" s="77" t="s">
        <v>350</v>
      </c>
      <c r="AH107" s="77" t="s">
        <v>350</v>
      </c>
      <c r="AI107" s="77" t="s">
        <v>350</v>
      </c>
      <c r="AJ107" s="77" t="s">
        <v>350</v>
      </c>
      <c r="AK107" s="77" t="s">
        <v>350</v>
      </c>
      <c r="AL107" s="77" t="s">
        <v>350</v>
      </c>
      <c r="AM107" s="77" t="s">
        <v>350</v>
      </c>
      <c r="AN107" s="77" t="s">
        <v>350</v>
      </c>
      <c r="AO107" s="77" t="s">
        <v>350</v>
      </c>
      <c r="AP107" s="77" t="s">
        <v>353</v>
      </c>
      <c r="AQ107" s="47"/>
      <c r="AR107" s="47"/>
    </row>
    <row r="108" customFormat="false" ht="6" hidden="false" customHeight="true" outlineLevel="0" collapsed="false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</row>
    <row r="109" customFormat="false" ht="14.65" hidden="false" customHeight="false" outlineLevel="0" collapsed="false">
      <c r="A109" s="44"/>
      <c r="B109" s="63" t="s">
        <v>354</v>
      </c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4"/>
      <c r="AB109" s="63" t="s">
        <v>354</v>
      </c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47"/>
      <c r="AQ109" s="47"/>
      <c r="AR109" s="47"/>
    </row>
    <row r="110" customFormat="false" ht="14.65" hidden="false" customHeight="false" outlineLevel="0" collapsed="false">
      <c r="A110" s="44"/>
      <c r="B110" s="63" t="s">
        <v>355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4"/>
      <c r="AB110" s="63" t="s">
        <v>355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</row>
    <row r="111" customFormat="false" ht="14.65" hidden="false" customHeight="false" outlineLevel="0" collapsed="false">
      <c r="A111" s="47"/>
      <c r="B111" s="66" t="s">
        <v>356</v>
      </c>
      <c r="C111" s="64" t="n">
        <f aca="false">C12</f>
        <v>4</v>
      </c>
      <c r="D111" s="64" t="n">
        <f aca="false">D12</f>
        <v>4</v>
      </c>
      <c r="E111" s="64" t="n">
        <f aca="false">E12</f>
        <v>4</v>
      </c>
      <c r="F111" s="64" t="n">
        <f aca="false">F12</f>
        <v>4</v>
      </c>
      <c r="G111" s="64" t="n">
        <f aca="false">G12</f>
        <v>4</v>
      </c>
      <c r="H111" s="64" t="n">
        <f aca="false">H12</f>
        <v>4</v>
      </c>
      <c r="I111" s="64" t="n">
        <f aca="false">I12</f>
        <v>4</v>
      </c>
      <c r="J111" s="64" t="n">
        <f aca="false">J12</f>
        <v>3</v>
      </c>
      <c r="K111" s="64" t="n">
        <f aca="false">K12</f>
        <v>3</v>
      </c>
      <c r="L111" s="64" t="n">
        <f aca="false">L12</f>
        <v>3</v>
      </c>
      <c r="M111" s="64" t="n">
        <f aca="false">M12</f>
        <v>3</v>
      </c>
      <c r="N111" s="64" t="n">
        <f aca="false">N12</f>
        <v>3</v>
      </c>
      <c r="O111" s="64" t="n">
        <f aca="false">O12</f>
        <v>3</v>
      </c>
      <c r="P111" s="64" t="n">
        <f aca="false">ROUND(SUM(C111:O111)/13,0)</f>
        <v>4</v>
      </c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66" t="s">
        <v>356</v>
      </c>
      <c r="AC111" s="64" t="n">
        <f aca="false">AC12</f>
        <v>0</v>
      </c>
      <c r="AD111" s="64" t="n">
        <f aca="false">AD12</f>
        <v>0</v>
      </c>
      <c r="AE111" s="64" t="n">
        <f aca="false">AE12</f>
        <v>0</v>
      </c>
      <c r="AF111" s="64" t="n">
        <f aca="false">AF12</f>
        <v>0</v>
      </c>
      <c r="AG111" s="64" t="n">
        <f aca="false">AG12</f>
        <v>0</v>
      </c>
      <c r="AH111" s="64" t="n">
        <f aca="false">AH12</f>
        <v>0</v>
      </c>
      <c r="AI111" s="64" t="n">
        <f aca="false">AI12</f>
        <v>0</v>
      </c>
      <c r="AJ111" s="64" t="n">
        <f aca="false">AJ12</f>
        <v>0</v>
      </c>
      <c r="AK111" s="64" t="n">
        <f aca="false">AK12</f>
        <v>0</v>
      </c>
      <c r="AL111" s="64" t="n">
        <f aca="false">AL12</f>
        <v>0</v>
      </c>
      <c r="AM111" s="64" t="n">
        <f aca="false">AM12</f>
        <v>0</v>
      </c>
      <c r="AN111" s="64" t="n">
        <f aca="false">AN12</f>
        <v>0</v>
      </c>
      <c r="AO111" s="64" t="n">
        <f aca="false">AO12</f>
        <v>0</v>
      </c>
      <c r="AP111" s="64" t="n">
        <f aca="false">ROUND(SUM(AC111:AO111)/13,0)</f>
        <v>0</v>
      </c>
      <c r="AQ111" s="47"/>
      <c r="AR111" s="47"/>
    </row>
    <row r="112" customFormat="false" ht="14.65" hidden="false" customHeight="false" outlineLevel="0" collapsed="false">
      <c r="A112" s="47"/>
      <c r="B112" s="66" t="s">
        <v>357</v>
      </c>
      <c r="C112" s="64" t="n">
        <f aca="false">C13</f>
        <v>7581</v>
      </c>
      <c r="D112" s="64" t="n">
        <f aca="false">D13</f>
        <v>6648</v>
      </c>
      <c r="E112" s="64" t="n">
        <f aca="false">E13</f>
        <v>7120</v>
      </c>
      <c r="F112" s="64" t="n">
        <f aca="false">F13</f>
        <v>21572</v>
      </c>
      <c r="G112" s="64" t="n">
        <f aca="false">G13</f>
        <v>17146</v>
      </c>
      <c r="H112" s="64" t="n">
        <f aca="false">H13</f>
        <v>19651</v>
      </c>
      <c r="I112" s="64" t="n">
        <f aca="false">I13</f>
        <v>8677</v>
      </c>
      <c r="J112" s="64" t="n">
        <f aca="false">J13</f>
        <v>20312</v>
      </c>
      <c r="K112" s="64" t="n">
        <f aca="false">K13</f>
        <v>23367</v>
      </c>
      <c r="L112" s="64" t="n">
        <f aca="false">L13</f>
        <v>22805</v>
      </c>
      <c r="M112" s="64" t="n">
        <f aca="false">M13</f>
        <v>23691</v>
      </c>
      <c r="N112" s="64" t="n">
        <f aca="false">N13</f>
        <v>23054</v>
      </c>
      <c r="O112" s="64" t="n">
        <f aca="false">O13</f>
        <v>23441</v>
      </c>
      <c r="P112" s="64" t="n">
        <f aca="false">ROUND(SUM(C112:O112)/13,0)</f>
        <v>17313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66" t="s">
        <v>357</v>
      </c>
      <c r="AC112" s="64" t="n">
        <f aca="false">AC13</f>
        <v>0</v>
      </c>
      <c r="AD112" s="64" t="n">
        <f aca="false">AD13</f>
        <v>0</v>
      </c>
      <c r="AE112" s="64" t="n">
        <f aca="false">AE13</f>
        <v>0</v>
      </c>
      <c r="AF112" s="64" t="n">
        <f aca="false">AF13</f>
        <v>0</v>
      </c>
      <c r="AG112" s="64" t="n">
        <f aca="false">AG13</f>
        <v>0</v>
      </c>
      <c r="AH112" s="64" t="n">
        <f aca="false">AH13</f>
        <v>0</v>
      </c>
      <c r="AI112" s="64" t="n">
        <f aca="false">AI13</f>
        <v>0</v>
      </c>
      <c r="AJ112" s="64" t="n">
        <f aca="false">AJ13</f>
        <v>0</v>
      </c>
      <c r="AK112" s="64" t="n">
        <f aca="false">AK13</f>
        <v>0</v>
      </c>
      <c r="AL112" s="64" t="n">
        <f aca="false">AL13</f>
        <v>0</v>
      </c>
      <c r="AM112" s="64" t="n">
        <f aca="false">AM13</f>
        <v>0</v>
      </c>
      <c r="AN112" s="64" t="n">
        <f aca="false">AN13</f>
        <v>0</v>
      </c>
      <c r="AO112" s="64" t="n">
        <f aca="false">AO13</f>
        <v>0</v>
      </c>
      <c r="AP112" s="64" t="n">
        <f aca="false">ROUND(SUM(AC112:AO112)/13,0)</f>
        <v>0</v>
      </c>
      <c r="AQ112" s="47"/>
      <c r="AR112" s="47"/>
    </row>
    <row r="113" customFormat="false" ht="14.65" hidden="false" customHeight="false" outlineLevel="0" collapsed="false">
      <c r="A113" s="47"/>
      <c r="B113" s="66" t="s">
        <v>358</v>
      </c>
      <c r="C113" s="64" t="n">
        <f aca="false">C14</f>
        <v>524956</v>
      </c>
      <c r="D113" s="64" t="n">
        <f aca="false">D14</f>
        <v>541799</v>
      </c>
      <c r="E113" s="64" t="n">
        <f aca="false">E14</f>
        <v>560015</v>
      </c>
      <c r="F113" s="64" t="n">
        <f aca="false">F14</f>
        <v>579696</v>
      </c>
      <c r="G113" s="64" t="n">
        <f aca="false">G14</f>
        <v>591337</v>
      </c>
      <c r="H113" s="64" t="n">
        <f aca="false">H14</f>
        <v>587311</v>
      </c>
      <c r="I113" s="64" t="n">
        <f aca="false">I14</f>
        <v>460025</v>
      </c>
      <c r="J113" s="64" t="n">
        <f aca="false">J14</f>
        <v>461271</v>
      </c>
      <c r="K113" s="64" t="n">
        <f aca="false">K14</f>
        <v>476871</v>
      </c>
      <c r="L113" s="64" t="n">
        <f aca="false">L14</f>
        <v>478771</v>
      </c>
      <c r="M113" s="64" t="n">
        <f aca="false">M14</f>
        <v>484471</v>
      </c>
      <c r="N113" s="64" t="n">
        <f aca="false">N14</f>
        <v>484271</v>
      </c>
      <c r="O113" s="64" t="n">
        <f aca="false">O14</f>
        <v>484071</v>
      </c>
      <c r="P113" s="64" t="n">
        <f aca="false">ROUND(SUM(C113:O113)/13,0)</f>
        <v>516528</v>
      </c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66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47"/>
      <c r="AR113" s="47"/>
    </row>
    <row r="114" customFormat="false" ht="14.65" hidden="false" customHeight="false" outlineLevel="0" collapsed="false">
      <c r="A114" s="47"/>
      <c r="B114" s="66" t="s">
        <v>359</v>
      </c>
      <c r="C114" s="64" t="n">
        <f aca="false">C16+C17</f>
        <v>4134</v>
      </c>
      <c r="D114" s="64" t="n">
        <f aca="false">D16+D17</f>
        <v>4127</v>
      </c>
      <c r="E114" s="64" t="n">
        <f aca="false">E16+E17</f>
        <v>4133</v>
      </c>
      <c r="F114" s="64" t="n">
        <f aca="false">F16+F17</f>
        <v>4106</v>
      </c>
      <c r="G114" s="64" t="n">
        <f aca="false">G16+G17</f>
        <v>4138</v>
      </c>
      <c r="H114" s="64" t="n">
        <f aca="false">H16+H17</f>
        <v>4116</v>
      </c>
      <c r="I114" s="64" t="n">
        <f aca="false">I16+I17</f>
        <v>8592</v>
      </c>
      <c r="J114" s="64" t="n">
        <f aca="false">J16+J17</f>
        <v>9416</v>
      </c>
      <c r="K114" s="64" t="n">
        <f aca="false">K16+K17</f>
        <v>9416</v>
      </c>
      <c r="L114" s="64" t="n">
        <f aca="false">L16+L17</f>
        <v>9416</v>
      </c>
      <c r="M114" s="64" t="n">
        <f aca="false">M16+M17</f>
        <v>9416</v>
      </c>
      <c r="N114" s="64" t="n">
        <f aca="false">N16+N17</f>
        <v>9416</v>
      </c>
      <c r="O114" s="64" t="n">
        <f aca="false">O16+O17</f>
        <v>9416</v>
      </c>
      <c r="P114" s="64" t="n">
        <f aca="false">ROUND(SUM(C114:O114)/13,0)</f>
        <v>6911</v>
      </c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66" t="s">
        <v>359</v>
      </c>
      <c r="AC114" s="64" t="n">
        <f aca="false">AC16+AC17</f>
        <v>0</v>
      </c>
      <c r="AD114" s="64" t="n">
        <f aca="false">AD16+AD17</f>
        <v>0</v>
      </c>
      <c r="AE114" s="64" t="n">
        <f aca="false">AE16+AE17</f>
        <v>0</v>
      </c>
      <c r="AF114" s="64" t="n">
        <f aca="false">AF16+AF17</f>
        <v>0</v>
      </c>
      <c r="AG114" s="64" t="n">
        <f aca="false">AG16+AG17</f>
        <v>0</v>
      </c>
      <c r="AH114" s="64" t="n">
        <f aca="false">AH16+AH17</f>
        <v>0</v>
      </c>
      <c r="AI114" s="64" t="n">
        <f aca="false">AI16+AI17</f>
        <v>0</v>
      </c>
      <c r="AJ114" s="64" t="n">
        <f aca="false">AJ16+AJ17</f>
        <v>0</v>
      </c>
      <c r="AK114" s="64" t="n">
        <f aca="false">AK16+AK17</f>
        <v>0</v>
      </c>
      <c r="AL114" s="64" t="n">
        <f aca="false">AL16+AL17</f>
        <v>0</v>
      </c>
      <c r="AM114" s="64" t="n">
        <f aca="false">AM16+AM17</f>
        <v>0</v>
      </c>
      <c r="AN114" s="64" t="n">
        <f aca="false">AN16+AN17</f>
        <v>0</v>
      </c>
      <c r="AO114" s="64" t="n">
        <f aca="false">AO16+AO17</f>
        <v>0</v>
      </c>
      <c r="AP114" s="64" t="n">
        <f aca="false">ROUND(SUM(AC114:AO114)/13,0)</f>
        <v>0</v>
      </c>
      <c r="AQ114" s="47"/>
      <c r="AR114" s="47"/>
    </row>
    <row r="115" customFormat="false" ht="14.65" hidden="false" customHeight="false" outlineLevel="0" collapsed="false">
      <c r="A115" s="47"/>
      <c r="B115" s="66" t="s">
        <v>360</v>
      </c>
      <c r="C115" s="64" t="n">
        <f aca="false">C18-C59+C19+C20+C22</f>
        <v>4724</v>
      </c>
      <c r="D115" s="64" t="n">
        <f aca="false">D18-D59+D19+D20+D22</f>
        <v>5494</v>
      </c>
      <c r="E115" s="64" t="n">
        <f aca="false">E18-E59+E19+E20+E22</f>
        <v>7030</v>
      </c>
      <c r="F115" s="64" t="n">
        <f aca="false">F18-F59+F19+F20+F22</f>
        <v>3800</v>
      </c>
      <c r="G115" s="64" t="n">
        <f aca="false">G18-G59+G19+G20+G22</f>
        <v>3613</v>
      </c>
      <c r="H115" s="64" t="n">
        <f aca="false">H18-H59+H19+H20+H22</f>
        <v>3689</v>
      </c>
      <c r="I115" s="64" t="n">
        <f aca="false">I18-I59+I19+I20+I22</f>
        <v>3071</v>
      </c>
      <c r="J115" s="64" t="n">
        <f aca="false">J18-J59+J19+J20+J22</f>
        <v>1353</v>
      </c>
      <c r="K115" s="64" t="n">
        <f aca="false">K18-K59+K19+K20+K22</f>
        <v>1353</v>
      </c>
      <c r="L115" s="64" t="n">
        <f aca="false">L18-L59+L19+L20+L22</f>
        <v>1353</v>
      </c>
      <c r="M115" s="64" t="n">
        <f aca="false">M18-M59+M19+M20+M22</f>
        <v>1353</v>
      </c>
      <c r="N115" s="64" t="n">
        <f aca="false">N18-N59+N19+N20+N22</f>
        <v>1353</v>
      </c>
      <c r="O115" s="64" t="n">
        <f aca="false">O18-O59+O19+O20+O22</f>
        <v>1509</v>
      </c>
      <c r="P115" s="64" t="n">
        <f aca="false">ROUND(SUM(C115:O115)/13,0)</f>
        <v>3053</v>
      </c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66" t="s">
        <v>360</v>
      </c>
      <c r="AC115" s="64" t="n">
        <f aca="false">AC18-AC59+AC19+AC20+AC22</f>
        <v>0</v>
      </c>
      <c r="AD115" s="64" t="n">
        <f aca="false">AD18-AD59+AD19+AD20+AD22</f>
        <v>0</v>
      </c>
      <c r="AE115" s="64" t="n">
        <f aca="false">AE18-AE59+AE19+AE20+AE22</f>
        <v>0</v>
      </c>
      <c r="AF115" s="64" t="n">
        <f aca="false">AF18-AF59+AF19+AF20+AF22</f>
        <v>0</v>
      </c>
      <c r="AG115" s="64" t="n">
        <f aca="false">AG18-AG59+AG19+AG20+AG22</f>
        <v>0</v>
      </c>
      <c r="AH115" s="64" t="n">
        <f aca="false">AH18-AH59+AH19+AH20+AH22</f>
        <v>0</v>
      </c>
      <c r="AI115" s="64" t="n">
        <f aca="false">AI18-AI59+AI19+AI20+AI22</f>
        <v>0</v>
      </c>
      <c r="AJ115" s="64" t="n">
        <f aca="false">AJ18-AJ59+AJ19+AJ20+AJ22</f>
        <v>0</v>
      </c>
      <c r="AK115" s="64" t="n">
        <f aca="false">AK18-AK59+AK19+AK20+AK22</f>
        <v>0</v>
      </c>
      <c r="AL115" s="64" t="n">
        <f aca="false">AL18-AL59+AL19+AL20+AL22</f>
        <v>0</v>
      </c>
      <c r="AM115" s="64" t="n">
        <f aca="false">AM18-AM59+AM19+AM20+AM22</f>
        <v>0</v>
      </c>
      <c r="AN115" s="64" t="n">
        <f aca="false">AN18-AN59+AN19+AN20+AN22</f>
        <v>0</v>
      </c>
      <c r="AO115" s="64" t="n">
        <f aca="false">AO18-AO59+AO19+AO20+AO22</f>
        <v>0</v>
      </c>
      <c r="AP115" s="64" t="n">
        <f aca="false">ROUND(SUM(AC115:AO115)/13,0)</f>
        <v>0</v>
      </c>
      <c r="AQ115" s="47"/>
      <c r="AR115" s="47"/>
    </row>
    <row r="116" customFormat="false" ht="14.65" hidden="false" customHeight="false" outlineLevel="0" collapsed="false">
      <c r="A116" s="47"/>
      <c r="B116" s="66" t="s">
        <v>361</v>
      </c>
      <c r="C116" s="64" t="n">
        <f aca="false">C38</f>
        <v>882743</v>
      </c>
      <c r="D116" s="64" t="n">
        <f aca="false">D38</f>
        <v>881636</v>
      </c>
      <c r="E116" s="64" t="n">
        <f aca="false">E38</f>
        <v>879479</v>
      </c>
      <c r="F116" s="64" t="n">
        <f aca="false">F38</f>
        <v>878728</v>
      </c>
      <c r="G116" s="64" t="n">
        <f aca="false">G38</f>
        <v>879881</v>
      </c>
      <c r="H116" s="64" t="n">
        <f aca="false">H38</f>
        <v>894312</v>
      </c>
      <c r="I116" s="64" t="n">
        <f aca="false">I38</f>
        <v>896096</v>
      </c>
      <c r="J116" s="64" t="n">
        <f aca="false">J38</f>
        <v>895589</v>
      </c>
      <c r="K116" s="64" t="n">
        <f aca="false">K38</f>
        <v>895804</v>
      </c>
      <c r="L116" s="64" t="n">
        <f aca="false">L38</f>
        <v>907161</v>
      </c>
      <c r="M116" s="64" t="n">
        <f aca="false">M38</f>
        <v>911192</v>
      </c>
      <c r="N116" s="64" t="n">
        <f aca="false">N38</f>
        <v>921259</v>
      </c>
      <c r="O116" s="64" t="n">
        <f aca="false">O38</f>
        <v>931022</v>
      </c>
      <c r="P116" s="64" t="n">
        <f aca="false">ROUND(SUM(C116:O116)/13,0)</f>
        <v>896531</v>
      </c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66" t="s">
        <v>361</v>
      </c>
      <c r="AC116" s="64" t="n">
        <f aca="false">AC38</f>
        <v>300169</v>
      </c>
      <c r="AD116" s="64" t="n">
        <f aca="false">AD38</f>
        <v>299669</v>
      </c>
      <c r="AE116" s="64" t="n">
        <f aca="false">AE38</f>
        <v>299169</v>
      </c>
      <c r="AF116" s="64" t="n">
        <f aca="false">AF38</f>
        <v>298669</v>
      </c>
      <c r="AG116" s="64" t="n">
        <f aca="false">AG38</f>
        <v>298169</v>
      </c>
      <c r="AH116" s="64" t="n">
        <f aca="false">AH38</f>
        <v>297669</v>
      </c>
      <c r="AI116" s="64" t="n">
        <f aca="false">AI38</f>
        <v>297169</v>
      </c>
      <c r="AJ116" s="64" t="n">
        <f aca="false">AJ38</f>
        <v>296669</v>
      </c>
      <c r="AK116" s="64" t="n">
        <f aca="false">AK38</f>
        <v>296169</v>
      </c>
      <c r="AL116" s="64" t="n">
        <f aca="false">AL38</f>
        <v>295669</v>
      </c>
      <c r="AM116" s="64" t="n">
        <f aca="false">AM38</f>
        <v>295169</v>
      </c>
      <c r="AN116" s="64" t="n">
        <f aca="false">AN38</f>
        <v>294669</v>
      </c>
      <c r="AO116" s="64" t="n">
        <f aca="false">AO38</f>
        <v>294169</v>
      </c>
      <c r="AP116" s="64" t="n">
        <f aca="false">ROUND(SUM(AC116:AO116)/13,0)</f>
        <v>297169</v>
      </c>
      <c r="AQ116" s="47"/>
      <c r="AR116" s="47"/>
    </row>
    <row r="117" customFormat="false" ht="14.65" hidden="false" customHeight="false" outlineLevel="0" collapsed="false">
      <c r="A117" s="47"/>
      <c r="B117" s="66" t="s">
        <v>362</v>
      </c>
      <c r="C117" s="64" t="n">
        <f aca="false">C32</f>
        <v>0</v>
      </c>
      <c r="D117" s="64" t="n">
        <f aca="false">D32</f>
        <v>128</v>
      </c>
      <c r="E117" s="64" t="n">
        <f aca="false">E32</f>
        <v>128</v>
      </c>
      <c r="F117" s="64" t="n">
        <f aca="false">F32</f>
        <v>128</v>
      </c>
      <c r="G117" s="64" t="n">
        <f aca="false">G32</f>
        <v>86</v>
      </c>
      <c r="H117" s="64" t="n">
        <f aca="false">H32</f>
        <v>10987</v>
      </c>
      <c r="I117" s="64" t="n">
        <f aca="false">I32</f>
        <v>15539</v>
      </c>
      <c r="J117" s="64" t="n">
        <f aca="false">J32</f>
        <v>14193</v>
      </c>
      <c r="K117" s="64" t="n">
        <f aca="false">K32</f>
        <v>14193</v>
      </c>
      <c r="L117" s="64" t="n">
        <f aca="false">L32</f>
        <v>14193</v>
      </c>
      <c r="M117" s="64" t="n">
        <f aca="false">M32</f>
        <v>14193</v>
      </c>
      <c r="N117" s="64" t="n">
        <f aca="false">N32</f>
        <v>14193</v>
      </c>
      <c r="O117" s="64" t="n">
        <f aca="false">O32</f>
        <v>14193</v>
      </c>
      <c r="P117" s="64" t="n">
        <f aca="false">ROUND(SUM(C117:O117)/13,0)</f>
        <v>8627</v>
      </c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66" t="s">
        <v>362</v>
      </c>
      <c r="AC117" s="64" t="n">
        <f aca="false">AC32</f>
        <v>0</v>
      </c>
      <c r="AD117" s="64" t="n">
        <f aca="false">AD32</f>
        <v>0</v>
      </c>
      <c r="AE117" s="64" t="n">
        <f aca="false">AE32</f>
        <v>0</v>
      </c>
      <c r="AF117" s="64" t="n">
        <f aca="false">AF32</f>
        <v>0</v>
      </c>
      <c r="AG117" s="64" t="n">
        <f aca="false">AG32</f>
        <v>0</v>
      </c>
      <c r="AH117" s="64" t="n">
        <f aca="false">AH32</f>
        <v>0</v>
      </c>
      <c r="AI117" s="64" t="n">
        <f aca="false">AI32</f>
        <v>0</v>
      </c>
      <c r="AJ117" s="64" t="n">
        <f aca="false">AJ32</f>
        <v>0</v>
      </c>
      <c r="AK117" s="64" t="n">
        <f aca="false">AK32</f>
        <v>0</v>
      </c>
      <c r="AL117" s="64" t="n">
        <f aca="false">AL32</f>
        <v>0</v>
      </c>
      <c r="AM117" s="64" t="n">
        <f aca="false">AM32</f>
        <v>0</v>
      </c>
      <c r="AN117" s="64" t="n">
        <f aca="false">AN32</f>
        <v>0</v>
      </c>
      <c r="AO117" s="64" t="n">
        <f aca="false">AO32</f>
        <v>0</v>
      </c>
      <c r="AP117" s="64" t="n">
        <f aca="false">ROUND(SUM(AC117:AO117)/13,0)</f>
        <v>0</v>
      </c>
      <c r="AQ117" s="47"/>
      <c r="AR117" s="47"/>
    </row>
    <row r="118" customFormat="false" ht="14.65" hidden="false" customHeight="false" outlineLevel="0" collapsed="false">
      <c r="A118" s="47"/>
      <c r="B118" s="66" t="s">
        <v>363</v>
      </c>
      <c r="C118" s="70" t="n">
        <f aca="false">C46+C21</f>
        <v>87861</v>
      </c>
      <c r="D118" s="70" t="n">
        <f aca="false">D46+D21</f>
        <v>87252</v>
      </c>
      <c r="E118" s="70" t="n">
        <f aca="false">E46+E21</f>
        <v>87449</v>
      </c>
      <c r="F118" s="70" t="n">
        <f aca="false">F46+F21</f>
        <v>85934</v>
      </c>
      <c r="G118" s="70" t="n">
        <f aca="false">G46+G21</f>
        <v>85733</v>
      </c>
      <c r="H118" s="70" t="n">
        <f aca="false">H46+H21</f>
        <v>85837</v>
      </c>
      <c r="I118" s="70" t="n">
        <f aca="false">I46+I21</f>
        <v>85755</v>
      </c>
      <c r="J118" s="70" t="n">
        <f aca="false">J46+J21</f>
        <v>85526</v>
      </c>
      <c r="K118" s="70" t="n">
        <f aca="false">K46+K21</f>
        <v>85050</v>
      </c>
      <c r="L118" s="70" t="n">
        <f aca="false">L46+L21</f>
        <v>85777</v>
      </c>
      <c r="M118" s="70" t="n">
        <f aca="false">M46+M21</f>
        <v>85196</v>
      </c>
      <c r="N118" s="70" t="n">
        <f aca="false">N46+N21</f>
        <v>84622</v>
      </c>
      <c r="O118" s="70" t="n">
        <f aca="false">O46+O21</f>
        <v>84545</v>
      </c>
      <c r="P118" s="70" t="n">
        <f aca="false">ROUND(SUM(C118:O118)/13,0)</f>
        <v>85887</v>
      </c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66" t="s">
        <v>363</v>
      </c>
      <c r="AC118" s="70" t="n">
        <f aca="false">AC46+AC21</f>
        <v>0</v>
      </c>
      <c r="AD118" s="70" t="n">
        <f aca="false">AD46+AD21</f>
        <v>0</v>
      </c>
      <c r="AE118" s="70" t="n">
        <f aca="false">AE46+AE21</f>
        <v>0</v>
      </c>
      <c r="AF118" s="70" t="n">
        <f aca="false">AF46+AF21</f>
        <v>0</v>
      </c>
      <c r="AG118" s="70" t="n">
        <f aca="false">AG46+AG21</f>
        <v>0</v>
      </c>
      <c r="AH118" s="70" t="n">
        <f aca="false">AH46+AH21</f>
        <v>0</v>
      </c>
      <c r="AI118" s="70" t="n">
        <f aca="false">AI46+AI21</f>
        <v>0</v>
      </c>
      <c r="AJ118" s="70" t="n">
        <f aca="false">AJ46+AJ21</f>
        <v>0</v>
      </c>
      <c r="AK118" s="70" t="n">
        <f aca="false">AK46+AK21</f>
        <v>0</v>
      </c>
      <c r="AL118" s="70" t="n">
        <f aca="false">AL46+AL21</f>
        <v>0</v>
      </c>
      <c r="AM118" s="70" t="n">
        <f aca="false">AM46+AM21</f>
        <v>0</v>
      </c>
      <c r="AN118" s="70" t="n">
        <f aca="false">AN46+AN21</f>
        <v>0</v>
      </c>
      <c r="AO118" s="70" t="n">
        <f aca="false">AO46+AO21</f>
        <v>0</v>
      </c>
      <c r="AP118" s="70" t="n">
        <f aca="false">ROUND(SUM(AC118:AO118)/13,0)</f>
        <v>0</v>
      </c>
      <c r="AQ118" s="47"/>
      <c r="AR118" s="47"/>
    </row>
    <row r="119" customFormat="false" ht="3.95" hidden="false" customHeight="true" outlineLevel="0" collapsed="false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</row>
    <row r="120" customFormat="false" ht="14.65" hidden="false" customHeight="false" outlineLevel="0" collapsed="false">
      <c r="A120" s="44"/>
      <c r="B120" s="63" t="s">
        <v>364</v>
      </c>
      <c r="C120" s="70" t="n">
        <f aca="false">SUM(C111:C119)</f>
        <v>1512003</v>
      </c>
      <c r="D120" s="70" t="n">
        <f aca="false">SUM(D111:D119)</f>
        <v>1527088</v>
      </c>
      <c r="E120" s="70" t="n">
        <f aca="false">SUM(E111:E119)</f>
        <v>1545358</v>
      </c>
      <c r="F120" s="70" t="n">
        <f aca="false">SUM(F111:F119)</f>
        <v>1573968</v>
      </c>
      <c r="G120" s="70" t="n">
        <f aca="false">SUM(G111:G119)</f>
        <v>1581938</v>
      </c>
      <c r="H120" s="70" t="n">
        <f aca="false">SUM(H111:H119)</f>
        <v>1605907</v>
      </c>
      <c r="I120" s="70" t="n">
        <f aca="false">SUM(I111:I119)</f>
        <v>1477759</v>
      </c>
      <c r="J120" s="70" t="n">
        <f aca="false">SUM(J111:J119)</f>
        <v>1487663</v>
      </c>
      <c r="K120" s="70" t="n">
        <f aca="false">SUM(K111:K119)</f>
        <v>1506057</v>
      </c>
      <c r="L120" s="70" t="n">
        <f aca="false">SUM(L111:L119)</f>
        <v>1519479</v>
      </c>
      <c r="M120" s="70" t="n">
        <f aca="false">SUM(M111:M119)</f>
        <v>1529515</v>
      </c>
      <c r="N120" s="70" t="n">
        <f aca="false">SUM(N111:N119)</f>
        <v>1538171</v>
      </c>
      <c r="O120" s="70" t="n">
        <f aca="false">SUM(O111:O119)</f>
        <v>1548200</v>
      </c>
      <c r="P120" s="70" t="n">
        <f aca="false">SUM(P111:P119)</f>
        <v>1534854</v>
      </c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4"/>
      <c r="AB120" s="63" t="s">
        <v>364</v>
      </c>
      <c r="AC120" s="70" t="n">
        <f aca="false">SUM(AC111:AC119)</f>
        <v>300169</v>
      </c>
      <c r="AD120" s="70" t="n">
        <f aca="false">SUM(AD111:AD119)</f>
        <v>299669</v>
      </c>
      <c r="AE120" s="70" t="n">
        <f aca="false">SUM(AE111:AE119)</f>
        <v>299169</v>
      </c>
      <c r="AF120" s="70" t="n">
        <f aca="false">SUM(AF111:AF119)</f>
        <v>298669</v>
      </c>
      <c r="AG120" s="70" t="n">
        <f aca="false">SUM(AG111:AG119)</f>
        <v>298169</v>
      </c>
      <c r="AH120" s="70" t="n">
        <f aca="false">SUM(AH111:AH119)</f>
        <v>297669</v>
      </c>
      <c r="AI120" s="70" t="n">
        <f aca="false">SUM(AI111:AI119)</f>
        <v>297169</v>
      </c>
      <c r="AJ120" s="70" t="n">
        <f aca="false">SUM(AJ111:AJ119)</f>
        <v>296669</v>
      </c>
      <c r="AK120" s="70" t="n">
        <f aca="false">SUM(AK111:AK119)</f>
        <v>296169</v>
      </c>
      <c r="AL120" s="70" t="n">
        <f aca="false">SUM(AL111:AL119)</f>
        <v>295669</v>
      </c>
      <c r="AM120" s="70" t="n">
        <f aca="false">SUM(AM111:AM119)</f>
        <v>295169</v>
      </c>
      <c r="AN120" s="70" t="n">
        <f aca="false">SUM(AN111:AN119)</f>
        <v>294669</v>
      </c>
      <c r="AO120" s="70" t="n">
        <f aca="false">SUM(AO111:AO119)</f>
        <v>294169</v>
      </c>
      <c r="AP120" s="70" t="n">
        <f aca="false">SUM(AP111:AP119)</f>
        <v>297169</v>
      </c>
      <c r="AQ120" s="47"/>
      <c r="AR120" s="47"/>
    </row>
    <row r="121" customFormat="false" ht="14.65" hidden="false" customHeight="false" outlineLevel="0" collapsed="false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</row>
    <row r="122" customFormat="false" ht="14.65" hidden="false" customHeight="false" outlineLevel="0" collapsed="false">
      <c r="A122" s="44"/>
      <c r="B122" s="63" t="s">
        <v>365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4"/>
      <c r="AB122" s="63" t="s">
        <v>365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</row>
    <row r="123" customFormat="false" ht="14.65" hidden="false" customHeight="false" outlineLevel="0" collapsed="false">
      <c r="A123" s="44"/>
      <c r="B123" s="63" t="s">
        <v>366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4"/>
      <c r="AB123" s="63" t="s">
        <v>366</v>
      </c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47"/>
      <c r="AQ123" s="47"/>
      <c r="AR123" s="47"/>
    </row>
    <row r="124" customFormat="false" ht="14.65" hidden="false" customHeight="false" outlineLevel="0" collapsed="false">
      <c r="A124" s="47"/>
      <c r="B124" s="66" t="s">
        <v>367</v>
      </c>
      <c r="C124" s="64" t="n">
        <f aca="false">C56+C15+C57</f>
        <v>-139200</v>
      </c>
      <c r="D124" s="64" t="n">
        <f aca="false">D56+D15+D57</f>
        <v>-142986</v>
      </c>
      <c r="E124" s="64" t="n">
        <f aca="false">E56+E15+E57</f>
        <v>-151808</v>
      </c>
      <c r="F124" s="64" t="n">
        <f aca="false">F56+F15+F57</f>
        <v>-145484</v>
      </c>
      <c r="G124" s="64" t="n">
        <f aca="false">G56+G15+G57</f>
        <v>-174863</v>
      </c>
      <c r="H124" s="64" t="n">
        <f aca="false">H56+H15+H57</f>
        <v>-180649</v>
      </c>
      <c r="I124" s="64" t="n">
        <f aca="false">I56+I15+I57</f>
        <v>-183823</v>
      </c>
      <c r="J124" s="64" t="n">
        <f aca="false">J56+J15+J57</f>
        <v>-192063</v>
      </c>
      <c r="K124" s="64" t="n">
        <f aca="false">K56+K15+K57</f>
        <v>-194892</v>
      </c>
      <c r="L124" s="64" t="n">
        <f aca="false">L56+L15+L57</f>
        <v>-195598</v>
      </c>
      <c r="M124" s="64" t="n">
        <f aca="false">M56+M15+M57</f>
        <v>-197287</v>
      </c>
      <c r="N124" s="64" t="n">
        <f aca="false">N56+N15+N57</f>
        <v>-201395</v>
      </c>
      <c r="O124" s="64" t="n">
        <f aca="false">O56+O15+O57</f>
        <v>-207829</v>
      </c>
      <c r="P124" s="64" t="n">
        <f aca="false">ROUND(SUM(C124:O124)/13,0)</f>
        <v>-177529</v>
      </c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66" t="s">
        <v>367</v>
      </c>
      <c r="AC124" s="64" t="e">
        <f aca="false">AC56+#REF!+AC57</f>
        <v>#REF!</v>
      </c>
      <c r="AD124" s="64" t="e">
        <f aca="false">AD56+#REF!+AD57</f>
        <v>#REF!</v>
      </c>
      <c r="AE124" s="64" t="e">
        <f aca="false">AE56+#REF!+AE57</f>
        <v>#REF!</v>
      </c>
      <c r="AF124" s="64" t="e">
        <f aca="false">AF56+#REF!+AF57</f>
        <v>#REF!</v>
      </c>
      <c r="AG124" s="64" t="e">
        <f aca="false">AG56+#REF!+AG57</f>
        <v>#REF!</v>
      </c>
      <c r="AH124" s="64" t="e">
        <f aca="false">AH56+#REF!+AH57</f>
        <v>#REF!</v>
      </c>
      <c r="AI124" s="64" t="e">
        <f aca="false">AI56+#REF!+AI57</f>
        <v>#REF!</v>
      </c>
      <c r="AJ124" s="64" t="e">
        <f aca="false">AJ56+#REF!+AJ57</f>
        <v>#REF!</v>
      </c>
      <c r="AK124" s="64" t="e">
        <f aca="false">AK56+#REF!+AK57</f>
        <v>#REF!</v>
      </c>
      <c r="AL124" s="64" t="e">
        <f aca="false">AL56+#REF!+AL57</f>
        <v>#REF!</v>
      </c>
      <c r="AM124" s="64" t="e">
        <f aca="false">AM56+#REF!+AM57</f>
        <v>#REF!</v>
      </c>
      <c r="AN124" s="64" t="e">
        <f aca="false">AN56+#REF!+AN57</f>
        <v>#REF!</v>
      </c>
      <c r="AO124" s="64" t="e">
        <f aca="false">AO56+#REF!+AO57</f>
        <v>#REF!</v>
      </c>
      <c r="AP124" s="64" t="e">
        <f aca="false">ROUND(SUM(AC124:AO124)/13,0)</f>
        <v>#REF!</v>
      </c>
      <c r="AQ124" s="47"/>
      <c r="AR124" s="47"/>
    </row>
    <row r="125" customFormat="false" ht="14.65" hidden="false" customHeight="false" outlineLevel="0" collapsed="false">
      <c r="A125" s="47"/>
      <c r="B125" s="66" t="s">
        <v>368</v>
      </c>
      <c r="C125" s="64" t="n">
        <f aca="false">C60+C62</f>
        <v>9138</v>
      </c>
      <c r="D125" s="64" t="n">
        <f aca="false">D60+D62</f>
        <v>9448</v>
      </c>
      <c r="E125" s="64" t="n">
        <f aca="false">E60+E62</f>
        <v>11553</v>
      </c>
      <c r="F125" s="64" t="n">
        <f aca="false">F60+F62</f>
        <v>13645</v>
      </c>
      <c r="G125" s="64" t="n">
        <f aca="false">G60+G62</f>
        <v>6388</v>
      </c>
      <c r="H125" s="64" t="n">
        <f aca="false">H60+H62</f>
        <v>6548</v>
      </c>
      <c r="I125" s="64" t="n">
        <f aca="false">I60+I62</f>
        <v>5905</v>
      </c>
      <c r="J125" s="64" t="n">
        <f aca="false">J60+J62</f>
        <v>6789</v>
      </c>
      <c r="K125" s="64" t="n">
        <f aca="false">K60+K62</f>
        <v>7517</v>
      </c>
      <c r="L125" s="64" t="n">
        <f aca="false">L60+L62</f>
        <v>8461</v>
      </c>
      <c r="M125" s="64" t="n">
        <f aca="false">M60+M62</f>
        <v>6077</v>
      </c>
      <c r="N125" s="64" t="n">
        <f aca="false">N60+N62</f>
        <v>6111</v>
      </c>
      <c r="O125" s="64" t="n">
        <f aca="false">O60+O62</f>
        <v>5819</v>
      </c>
      <c r="P125" s="64" t="n">
        <f aca="false">ROUND(SUM(C125:O125)/13,0)</f>
        <v>7954</v>
      </c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66" t="s">
        <v>368</v>
      </c>
      <c r="AC125" s="64" t="n">
        <f aca="false">AC60+AC62</f>
        <v>0</v>
      </c>
      <c r="AD125" s="64" t="n">
        <f aca="false">AD60+AD62</f>
        <v>0</v>
      </c>
      <c r="AE125" s="64" t="n">
        <f aca="false">AE60+AE62</f>
        <v>0</v>
      </c>
      <c r="AF125" s="64" t="n">
        <f aca="false">AF60+AF62</f>
        <v>0</v>
      </c>
      <c r="AG125" s="64" t="n">
        <f aca="false">AG60+AG62</f>
        <v>0</v>
      </c>
      <c r="AH125" s="64" t="n">
        <f aca="false">AH60+AH62</f>
        <v>0</v>
      </c>
      <c r="AI125" s="64" t="n">
        <f aca="false">AI60+AI62</f>
        <v>0</v>
      </c>
      <c r="AJ125" s="64" t="n">
        <f aca="false">AJ60+AJ62</f>
        <v>0</v>
      </c>
      <c r="AK125" s="64" t="n">
        <f aca="false">AK60+AK62</f>
        <v>0</v>
      </c>
      <c r="AL125" s="64" t="n">
        <f aca="false">AL60+AL62</f>
        <v>0</v>
      </c>
      <c r="AM125" s="64" t="n">
        <f aca="false">AM60+AM62</f>
        <v>0</v>
      </c>
      <c r="AN125" s="64" t="n">
        <f aca="false">AN60+AN62</f>
        <v>0</v>
      </c>
      <c r="AO125" s="64" t="n">
        <f aca="false">AO60+AO62</f>
        <v>0</v>
      </c>
      <c r="AP125" s="64" t="n">
        <f aca="false">ROUND(SUM(AC125:AO125)/13,0)</f>
        <v>0</v>
      </c>
      <c r="AQ125" s="47"/>
      <c r="AR125" s="47"/>
    </row>
    <row r="126" customFormat="false" ht="14.65" hidden="false" customHeight="false" outlineLevel="0" collapsed="false">
      <c r="A126" s="47"/>
      <c r="B126" s="66" t="s">
        <v>369</v>
      </c>
      <c r="C126" s="64" t="n">
        <f aca="false">C61</f>
        <v>2129</v>
      </c>
      <c r="D126" s="64" t="n">
        <f aca="false">D61</f>
        <v>2129</v>
      </c>
      <c r="E126" s="64" t="n">
        <f aca="false">E61</f>
        <v>2129</v>
      </c>
      <c r="F126" s="64" t="n">
        <f aca="false">F61</f>
        <v>2129</v>
      </c>
      <c r="G126" s="64" t="n">
        <f aca="false">G61</f>
        <v>879</v>
      </c>
      <c r="H126" s="64" t="n">
        <f aca="false">H61</f>
        <v>6632</v>
      </c>
      <c r="I126" s="64" t="n">
        <f aca="false">I61</f>
        <v>2129</v>
      </c>
      <c r="J126" s="64" t="n">
        <f aca="false">J61</f>
        <v>2119</v>
      </c>
      <c r="K126" s="64" t="n">
        <f aca="false">K61</f>
        <v>2119</v>
      </c>
      <c r="L126" s="64" t="n">
        <f aca="false">L61</f>
        <v>2119</v>
      </c>
      <c r="M126" s="64" t="n">
        <f aca="false">M61</f>
        <v>2119</v>
      </c>
      <c r="N126" s="64" t="n">
        <f aca="false">N61</f>
        <v>2119</v>
      </c>
      <c r="O126" s="64" t="n">
        <f aca="false">O61</f>
        <v>2119</v>
      </c>
      <c r="P126" s="64" t="n">
        <f aca="false">ROUND(SUM(C126:O126)/13,0)</f>
        <v>2375</v>
      </c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66" t="s">
        <v>369</v>
      </c>
      <c r="AC126" s="64" t="n">
        <f aca="false">AC61</f>
        <v>0</v>
      </c>
      <c r="AD126" s="64" t="n">
        <f aca="false">AD61</f>
        <v>0</v>
      </c>
      <c r="AE126" s="64" t="n">
        <f aca="false">AE61</f>
        <v>0</v>
      </c>
      <c r="AF126" s="64" t="n">
        <f aca="false">AF61</f>
        <v>0</v>
      </c>
      <c r="AG126" s="64" t="n">
        <f aca="false">AG61</f>
        <v>0</v>
      </c>
      <c r="AH126" s="64" t="n">
        <f aca="false">AH61</f>
        <v>0</v>
      </c>
      <c r="AI126" s="64" t="n">
        <f aca="false">AI61</f>
        <v>0</v>
      </c>
      <c r="AJ126" s="64" t="n">
        <f aca="false">AJ61</f>
        <v>0</v>
      </c>
      <c r="AK126" s="64" t="n">
        <f aca="false">AK61</f>
        <v>0</v>
      </c>
      <c r="AL126" s="64" t="n">
        <f aca="false">AL61</f>
        <v>0</v>
      </c>
      <c r="AM126" s="64" t="n">
        <f aca="false">AM61</f>
        <v>0</v>
      </c>
      <c r="AN126" s="64" t="n">
        <f aca="false">AN61</f>
        <v>0</v>
      </c>
      <c r="AO126" s="64" t="n">
        <f aca="false">AO61</f>
        <v>0</v>
      </c>
      <c r="AP126" s="64" t="n">
        <f aca="false">ROUND(SUM(AC126:AO126)/13,0)</f>
        <v>0</v>
      </c>
      <c r="AQ126" s="47"/>
      <c r="AR126" s="47"/>
    </row>
    <row r="127" customFormat="false" ht="14.65" hidden="false" customHeight="false" outlineLevel="0" collapsed="false">
      <c r="A127" s="47"/>
      <c r="B127" s="66" t="s">
        <v>370</v>
      </c>
      <c r="C127" s="64" t="n">
        <f aca="false">C69</f>
        <v>238702</v>
      </c>
      <c r="D127" s="64" t="n">
        <f aca="false">D69</f>
        <v>238852</v>
      </c>
      <c r="E127" s="64" t="n">
        <f aca="false">E69</f>
        <v>238944</v>
      </c>
      <c r="F127" s="64" t="n">
        <f aca="false">F69</f>
        <v>220220</v>
      </c>
      <c r="G127" s="64" t="n">
        <f aca="false">G69</f>
        <v>226075</v>
      </c>
      <c r="H127" s="64" t="n">
        <f aca="false">H69</f>
        <v>232744</v>
      </c>
      <c r="I127" s="64" t="n">
        <f aca="false">I69</f>
        <v>235318</v>
      </c>
      <c r="J127" s="64" t="n">
        <f aca="false">J69</f>
        <v>235463</v>
      </c>
      <c r="K127" s="64" t="n">
        <f aca="false">K69</f>
        <v>235590</v>
      </c>
      <c r="L127" s="64" t="n">
        <f aca="false">L69</f>
        <v>240955</v>
      </c>
      <c r="M127" s="64" t="n">
        <f aca="false">M69</f>
        <v>244196</v>
      </c>
      <c r="N127" s="64" t="n">
        <f aca="false">N69</f>
        <v>243466</v>
      </c>
      <c r="O127" s="64" t="n">
        <f aca="false">O69</f>
        <v>243511</v>
      </c>
      <c r="P127" s="64" t="n">
        <f aca="false">ROUND(SUM(C127:O127)/13,0)</f>
        <v>236464</v>
      </c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66" t="s">
        <v>370</v>
      </c>
      <c r="AC127" s="64" t="n">
        <f aca="false">AC69</f>
        <v>105054</v>
      </c>
      <c r="AD127" s="64" t="n">
        <f aca="false">AD69</f>
        <v>104879</v>
      </c>
      <c r="AE127" s="64" t="n">
        <f aca="false">AE69</f>
        <v>104704</v>
      </c>
      <c r="AF127" s="64" t="n">
        <f aca="false">AF69</f>
        <v>104529</v>
      </c>
      <c r="AG127" s="64" t="n">
        <f aca="false">AG69</f>
        <v>104354</v>
      </c>
      <c r="AH127" s="64" t="n">
        <f aca="false">AH69</f>
        <v>104179</v>
      </c>
      <c r="AI127" s="64" t="n">
        <f aca="false">AI69</f>
        <v>104004</v>
      </c>
      <c r="AJ127" s="64" t="n">
        <f aca="false">AJ69</f>
        <v>103829</v>
      </c>
      <c r="AK127" s="64" t="n">
        <f aca="false">AK69</f>
        <v>103654</v>
      </c>
      <c r="AL127" s="64" t="n">
        <f aca="false">AL69</f>
        <v>103479</v>
      </c>
      <c r="AM127" s="64" t="n">
        <f aca="false">AM69</f>
        <v>103304</v>
      </c>
      <c r="AN127" s="64" t="n">
        <f aca="false">AN69</f>
        <v>103129</v>
      </c>
      <c r="AO127" s="64" t="n">
        <f aca="false">AO69</f>
        <v>102954</v>
      </c>
      <c r="AP127" s="64" t="n">
        <f aca="false">ROUND(SUM(AC127:AO127)/13,0)</f>
        <v>104004</v>
      </c>
      <c r="AQ127" s="47"/>
      <c r="AR127" s="47"/>
    </row>
    <row r="128" customFormat="false" ht="14.65" hidden="false" customHeight="false" outlineLevel="0" collapsed="false">
      <c r="A128" s="47"/>
      <c r="B128" s="66" t="s">
        <v>371</v>
      </c>
      <c r="C128" s="70" t="e">
        <f aca="false">#REF!+C63+C64+#REF!+C70+C71+C72</f>
        <v>#REF!</v>
      </c>
      <c r="D128" s="70" t="e">
        <f aca="false">#REF!+D63+D64+#REF!+D70+D71+D72</f>
        <v>#REF!</v>
      </c>
      <c r="E128" s="70" t="e">
        <f aca="false">#REF!+E63+E64+#REF!+E70+E71+E72</f>
        <v>#REF!</v>
      </c>
      <c r="F128" s="70" t="e">
        <f aca="false">#REF!+F63+F64+#REF!+F70+F71+F72</f>
        <v>#REF!</v>
      </c>
      <c r="G128" s="70" t="e">
        <f aca="false">#REF!+G63+G64+#REF!+G70+G71+G72</f>
        <v>#REF!</v>
      </c>
      <c r="H128" s="70" t="e">
        <f aca="false">#REF!+H63+H64+#REF!+H70+H71+H72</f>
        <v>#REF!</v>
      </c>
      <c r="I128" s="70" t="e">
        <f aca="false">#REF!+I63+I64+#REF!+I70+I71+I72</f>
        <v>#REF!</v>
      </c>
      <c r="J128" s="70" t="e">
        <f aca="false">#REF!+J63+J64+#REF!+J70+J71+J72</f>
        <v>#REF!</v>
      </c>
      <c r="K128" s="70" t="e">
        <f aca="false">#REF!+K63+K64+#REF!+K70+K71+K72</f>
        <v>#REF!</v>
      </c>
      <c r="L128" s="70" t="e">
        <f aca="false">#REF!+L63+L64+#REF!+L70+L71+L72</f>
        <v>#REF!</v>
      </c>
      <c r="M128" s="70" t="e">
        <f aca="false">#REF!+M63+M64+#REF!+M70+M71+M72</f>
        <v>#REF!</v>
      </c>
      <c r="N128" s="70" t="e">
        <f aca="false">#REF!+N63+N64+#REF!+N70+N71+N72</f>
        <v>#REF!</v>
      </c>
      <c r="O128" s="70" t="e">
        <f aca="false">#REF!+O63+O64+#REF!+O70+O71+O72</f>
        <v>#REF!</v>
      </c>
      <c r="P128" s="70" t="e">
        <f aca="false">ROUND(SUM(C128:O128)/13,0)</f>
        <v>#REF!</v>
      </c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66" t="s">
        <v>371</v>
      </c>
      <c r="AC128" s="70" t="e">
        <f aca="false">#REF!+AC64+#REF!+AC70+AC71+AC72</f>
        <v>#REF!</v>
      </c>
      <c r="AD128" s="70" t="e">
        <f aca="false">#REF!+AD64+#REF!+AD70+AD71+AD72</f>
        <v>#REF!</v>
      </c>
      <c r="AE128" s="70" t="e">
        <f aca="false">#REF!+AE64+#REF!+AE70+AE71+AE72</f>
        <v>#REF!</v>
      </c>
      <c r="AF128" s="70" t="e">
        <f aca="false">#REF!+AF64+#REF!+AF70+AF71+AF72</f>
        <v>#REF!</v>
      </c>
      <c r="AG128" s="70" t="e">
        <f aca="false">#REF!+AG64+#REF!+AG70+AG71+AG72</f>
        <v>#REF!</v>
      </c>
      <c r="AH128" s="70" t="e">
        <f aca="false">#REF!+AH64+#REF!+AH70+AH71+AH72</f>
        <v>#REF!</v>
      </c>
      <c r="AI128" s="70" t="e">
        <f aca="false">#REF!+AI64+#REF!+AI70+AI71+AI72</f>
        <v>#REF!</v>
      </c>
      <c r="AJ128" s="70" t="e">
        <f aca="false">#REF!+AJ64+#REF!+AJ70+AJ71+AJ72</f>
        <v>#REF!</v>
      </c>
      <c r="AK128" s="70" t="e">
        <f aca="false">#REF!+AK64+#REF!+AK70+AK71+AK72</f>
        <v>#REF!</v>
      </c>
      <c r="AL128" s="70" t="e">
        <f aca="false">#REF!+AL64+#REF!+AL70+AL71+AL72</f>
        <v>#REF!</v>
      </c>
      <c r="AM128" s="70" t="e">
        <f aca="false">#REF!+AM64+#REF!+AM70+AM71+AM72</f>
        <v>#REF!</v>
      </c>
      <c r="AN128" s="70" t="e">
        <f aca="false">#REF!+AN64+#REF!+AN70+AN71+AN72</f>
        <v>#REF!</v>
      </c>
      <c r="AO128" s="70" t="e">
        <f aca="false">#REF!+AO64+#REF!+AO70+AO71+AO72</f>
        <v>#REF!</v>
      </c>
      <c r="AP128" s="70" t="e">
        <f aca="false">ROUND(SUM(AC128:AO128)/13,0)</f>
        <v>#REF!</v>
      </c>
      <c r="AQ128" s="47"/>
      <c r="AR128" s="47"/>
    </row>
    <row r="129" customFormat="false" ht="3.95" hidden="false" customHeight="true" outlineLevel="0" collapsed="false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</row>
    <row r="130" customFormat="false" ht="14.65" hidden="false" customHeight="false" outlineLevel="0" collapsed="false">
      <c r="A130" s="44"/>
      <c r="B130" s="63" t="s">
        <v>372</v>
      </c>
      <c r="C130" s="70" t="e">
        <f aca="false">SUM(C124:C129)</f>
        <v>#REF!</v>
      </c>
      <c r="D130" s="70" t="e">
        <f aca="false">SUM(D124:D129)</f>
        <v>#REF!</v>
      </c>
      <c r="E130" s="70" t="e">
        <f aca="false">SUM(E124:E129)</f>
        <v>#REF!</v>
      </c>
      <c r="F130" s="70" t="e">
        <f aca="false">SUM(F124:F129)</f>
        <v>#REF!</v>
      </c>
      <c r="G130" s="70" t="e">
        <f aca="false">SUM(G124:G129)</f>
        <v>#REF!</v>
      </c>
      <c r="H130" s="70" t="e">
        <f aca="false">SUM(H124:H129)</f>
        <v>#REF!</v>
      </c>
      <c r="I130" s="70" t="e">
        <f aca="false">SUM(I124:I129)</f>
        <v>#REF!</v>
      </c>
      <c r="J130" s="70" t="e">
        <f aca="false">SUM(J124:J129)</f>
        <v>#REF!</v>
      </c>
      <c r="K130" s="70" t="e">
        <f aca="false">SUM(K124:K129)</f>
        <v>#REF!</v>
      </c>
      <c r="L130" s="70" t="e">
        <f aca="false">SUM(L124:L129)</f>
        <v>#REF!</v>
      </c>
      <c r="M130" s="70" t="e">
        <f aca="false">SUM(M124:M129)</f>
        <v>#REF!</v>
      </c>
      <c r="N130" s="70" t="e">
        <f aca="false">SUM(N124:N129)</f>
        <v>#REF!</v>
      </c>
      <c r="O130" s="70" t="e">
        <f aca="false">SUM(O124:O129)</f>
        <v>#REF!</v>
      </c>
      <c r="P130" s="70" t="e">
        <f aca="false">SUM(P124:P129)</f>
        <v>#REF!</v>
      </c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4"/>
      <c r="AB130" s="63" t="s">
        <v>372</v>
      </c>
      <c r="AC130" s="70" t="e">
        <f aca="false">SUM(AC124:AC129)</f>
        <v>#REF!</v>
      </c>
      <c r="AD130" s="70" t="e">
        <f aca="false">SUM(AD124:AD129)</f>
        <v>#REF!</v>
      </c>
      <c r="AE130" s="70" t="e">
        <f aca="false">SUM(AE124:AE129)</f>
        <v>#REF!</v>
      </c>
      <c r="AF130" s="70" t="e">
        <f aca="false">SUM(AF124:AF129)</f>
        <v>#REF!</v>
      </c>
      <c r="AG130" s="70" t="e">
        <f aca="false">SUM(AG124:AG129)</f>
        <v>#REF!</v>
      </c>
      <c r="AH130" s="70" t="e">
        <f aca="false">SUM(AH124:AH129)</f>
        <v>#REF!</v>
      </c>
      <c r="AI130" s="70" t="e">
        <f aca="false">SUM(AI124:AI129)</f>
        <v>#REF!</v>
      </c>
      <c r="AJ130" s="70" t="e">
        <f aca="false">SUM(AJ124:AJ129)</f>
        <v>#REF!</v>
      </c>
      <c r="AK130" s="70" t="e">
        <f aca="false">SUM(AK124:AK129)</f>
        <v>#REF!</v>
      </c>
      <c r="AL130" s="70" t="e">
        <f aca="false">SUM(AL124:AL129)</f>
        <v>#REF!</v>
      </c>
      <c r="AM130" s="70" t="e">
        <f aca="false">SUM(AM124:AM129)</f>
        <v>#REF!</v>
      </c>
      <c r="AN130" s="70" t="e">
        <f aca="false">SUM(AN124:AN129)</f>
        <v>#REF!</v>
      </c>
      <c r="AO130" s="70" t="e">
        <f aca="false">SUM(AO124:AO129)</f>
        <v>#REF!</v>
      </c>
      <c r="AP130" s="70" t="e">
        <f aca="false">SUM(AP124:AP129)</f>
        <v>#REF!</v>
      </c>
      <c r="AQ130" s="47"/>
      <c r="AR130" s="47"/>
    </row>
    <row r="131" customFormat="false" ht="14.65" hidden="false" customHeight="false" outlineLevel="0" collapsed="false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</row>
    <row r="132" customFormat="false" ht="14.65" hidden="false" customHeight="false" outlineLevel="0" collapsed="false">
      <c r="A132" s="44"/>
      <c r="B132" s="63" t="s">
        <v>373</v>
      </c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4"/>
      <c r="AB132" s="63" t="s">
        <v>373</v>
      </c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</row>
    <row r="133" customFormat="false" ht="14.65" hidden="false" customHeight="false" outlineLevel="0" collapsed="false">
      <c r="A133" s="47"/>
      <c r="B133" s="66" t="s">
        <v>374</v>
      </c>
      <c r="C133" s="64" t="n">
        <f aca="false">C77</f>
        <v>0</v>
      </c>
      <c r="D133" s="64" t="n">
        <f aca="false">D77</f>
        <v>0</v>
      </c>
      <c r="E133" s="64" t="n">
        <f aca="false">E77</f>
        <v>0</v>
      </c>
      <c r="F133" s="64" t="n">
        <f aca="false">F77</f>
        <v>0</v>
      </c>
      <c r="G133" s="64" t="n">
        <f aca="false">G77</f>
        <v>0</v>
      </c>
      <c r="H133" s="64" t="n">
        <f aca="false">H77</f>
        <v>0</v>
      </c>
      <c r="I133" s="64" t="n">
        <f aca="false">I77</f>
        <v>0</v>
      </c>
      <c r="J133" s="64" t="n">
        <f aca="false">J77</f>
        <v>0</v>
      </c>
      <c r="K133" s="64" t="n">
        <f aca="false">K77</f>
        <v>0</v>
      </c>
      <c r="L133" s="64" t="n">
        <f aca="false">L77</f>
        <v>0</v>
      </c>
      <c r="M133" s="64" t="n">
        <f aca="false">M77</f>
        <v>0</v>
      </c>
      <c r="N133" s="64" t="n">
        <f aca="false">N77</f>
        <v>0</v>
      </c>
      <c r="O133" s="64" t="n">
        <f aca="false">O77</f>
        <v>0</v>
      </c>
      <c r="P133" s="64" t="n">
        <f aca="false">ROUND(SUM(C133:O133)/13,0)</f>
        <v>0</v>
      </c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66" t="s">
        <v>375</v>
      </c>
      <c r="AC133" s="64" t="n">
        <f aca="false">AC77</f>
        <v>0</v>
      </c>
      <c r="AD133" s="64" t="n">
        <f aca="false">AD77</f>
        <v>0</v>
      </c>
      <c r="AE133" s="64" t="n">
        <f aca="false">AE77</f>
        <v>0</v>
      </c>
      <c r="AF133" s="64" t="n">
        <f aca="false">AF77</f>
        <v>0</v>
      </c>
      <c r="AG133" s="64" t="n">
        <f aca="false">AG77</f>
        <v>0</v>
      </c>
      <c r="AH133" s="64" t="n">
        <f aca="false">AH77</f>
        <v>0</v>
      </c>
      <c r="AI133" s="64" t="n">
        <f aca="false">AI77</f>
        <v>0</v>
      </c>
      <c r="AJ133" s="64" t="n">
        <f aca="false">AJ77</f>
        <v>0</v>
      </c>
      <c r="AK133" s="64" t="n">
        <f aca="false">AK77</f>
        <v>0</v>
      </c>
      <c r="AL133" s="64" t="n">
        <f aca="false">AL77</f>
        <v>0</v>
      </c>
      <c r="AM133" s="64" t="n">
        <f aca="false">AM77</f>
        <v>0</v>
      </c>
      <c r="AN133" s="64" t="n">
        <f aca="false">AN77</f>
        <v>0</v>
      </c>
      <c r="AO133" s="64" t="n">
        <f aca="false">AO77</f>
        <v>0</v>
      </c>
      <c r="AP133" s="64" t="n">
        <f aca="false">ROUND(SUM(AC133:AO133)/13,0)</f>
        <v>0</v>
      </c>
      <c r="AQ133" s="47"/>
      <c r="AR133" s="47"/>
    </row>
    <row r="134" customFormat="false" ht="14.65" hidden="false" customHeight="false" outlineLevel="0" collapsed="false">
      <c r="A134" s="47"/>
      <c r="B134" s="66" t="s">
        <v>376</v>
      </c>
      <c r="C134" s="67" t="n">
        <v>0</v>
      </c>
      <c r="D134" s="67" t="n">
        <v>0</v>
      </c>
      <c r="E134" s="67" t="n">
        <v>0</v>
      </c>
      <c r="F134" s="67" t="n">
        <v>0</v>
      </c>
      <c r="G134" s="67" t="n">
        <v>0</v>
      </c>
      <c r="H134" s="67" t="n">
        <v>0</v>
      </c>
      <c r="I134" s="67" t="n">
        <v>0</v>
      </c>
      <c r="J134" s="67" t="n">
        <v>0</v>
      </c>
      <c r="K134" s="67" t="n">
        <v>0</v>
      </c>
      <c r="L134" s="67" t="n">
        <v>0</v>
      </c>
      <c r="M134" s="67" t="n">
        <v>0</v>
      </c>
      <c r="N134" s="67" t="n">
        <v>0</v>
      </c>
      <c r="O134" s="67" t="n">
        <v>0</v>
      </c>
      <c r="P134" s="64" t="n">
        <f aca="false">ROUND(SUM(C134:O134)/13,0)</f>
        <v>0</v>
      </c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66" t="s">
        <v>377</v>
      </c>
      <c r="AC134" s="67" t="n">
        <v>0</v>
      </c>
      <c r="AD134" s="67" t="n">
        <v>0</v>
      </c>
      <c r="AE134" s="67" t="n">
        <v>0</v>
      </c>
      <c r="AF134" s="67" t="n">
        <v>0</v>
      </c>
      <c r="AG134" s="67" t="n">
        <v>0</v>
      </c>
      <c r="AH134" s="67" t="n">
        <v>0</v>
      </c>
      <c r="AI134" s="67" t="n">
        <v>0</v>
      </c>
      <c r="AJ134" s="67" t="n">
        <v>0</v>
      </c>
      <c r="AK134" s="67" t="n">
        <v>0</v>
      </c>
      <c r="AL134" s="67" t="n">
        <v>0</v>
      </c>
      <c r="AM134" s="67" t="n">
        <v>0</v>
      </c>
      <c r="AN134" s="67" t="n">
        <v>0</v>
      </c>
      <c r="AO134" s="67" t="n">
        <v>0</v>
      </c>
      <c r="AP134" s="64" t="n">
        <f aca="false">ROUND(SUM(AC134:AO134)/13,0)</f>
        <v>0</v>
      </c>
      <c r="AQ134" s="47"/>
      <c r="AR134" s="47"/>
    </row>
    <row r="135" customFormat="false" ht="14.65" hidden="false" customHeight="false" outlineLevel="0" collapsed="false">
      <c r="A135" s="47"/>
      <c r="B135" s="66" t="s">
        <v>378</v>
      </c>
      <c r="C135" s="70" t="n">
        <f aca="false">C78-C134</f>
        <v>161600</v>
      </c>
      <c r="D135" s="70" t="n">
        <f aca="false">D78-D134</f>
        <v>161600</v>
      </c>
      <c r="E135" s="70" t="n">
        <f aca="false">E78-E134</f>
        <v>161600</v>
      </c>
      <c r="F135" s="70" t="n">
        <f aca="false">F78-F134</f>
        <v>161600</v>
      </c>
      <c r="G135" s="70" t="n">
        <f aca="false">G78-G134</f>
        <v>161600</v>
      </c>
      <c r="H135" s="70" t="n">
        <f aca="false">H78-H134</f>
        <v>161600</v>
      </c>
      <c r="I135" s="70" t="n">
        <f aca="false">I78-I134</f>
        <v>11600</v>
      </c>
      <c r="J135" s="70" t="n">
        <f aca="false">J78-J134</f>
        <v>11600</v>
      </c>
      <c r="K135" s="70" t="n">
        <f aca="false">K78-K134</f>
        <v>11600</v>
      </c>
      <c r="L135" s="70" t="n">
        <f aca="false">L78-L134</f>
        <v>11600</v>
      </c>
      <c r="M135" s="70" t="n">
        <f aca="false">M78-M134</f>
        <v>11600</v>
      </c>
      <c r="N135" s="70" t="n">
        <f aca="false">N78-N134</f>
        <v>7750</v>
      </c>
      <c r="O135" s="70" t="n">
        <f aca="false">O78-O134</f>
        <v>7750</v>
      </c>
      <c r="P135" s="70" t="n">
        <f aca="false">ROUND(SUM(C135:O135)/13,0)</f>
        <v>80238</v>
      </c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66" t="s">
        <v>378</v>
      </c>
      <c r="AC135" s="70" t="n">
        <f aca="false">AC78-AC134</f>
        <v>0</v>
      </c>
      <c r="AD135" s="70" t="n">
        <f aca="false">AD78-AD134</f>
        <v>0</v>
      </c>
      <c r="AE135" s="70" t="n">
        <f aca="false">AE78-AE134</f>
        <v>0</v>
      </c>
      <c r="AF135" s="70" t="n">
        <f aca="false">AF78-AF134</f>
        <v>0</v>
      </c>
      <c r="AG135" s="70" t="n">
        <f aca="false">AG78-AG134</f>
        <v>0</v>
      </c>
      <c r="AH135" s="70" t="n">
        <f aca="false">AH78-AH134</f>
        <v>0</v>
      </c>
      <c r="AI135" s="70" t="n">
        <f aca="false">AI78-AI134</f>
        <v>0</v>
      </c>
      <c r="AJ135" s="70" t="n">
        <f aca="false">AJ78-AJ134</f>
        <v>0</v>
      </c>
      <c r="AK135" s="70" t="n">
        <f aca="false">AK78-AK134</f>
        <v>0</v>
      </c>
      <c r="AL135" s="70" t="n">
        <f aca="false">AL78-AL134</f>
        <v>0</v>
      </c>
      <c r="AM135" s="70" t="n">
        <f aca="false">AM78-AM134</f>
        <v>0</v>
      </c>
      <c r="AN135" s="70" t="n">
        <f aca="false">AN78-AN134</f>
        <v>0</v>
      </c>
      <c r="AO135" s="70" t="n">
        <f aca="false">AO78-AO134</f>
        <v>0</v>
      </c>
      <c r="AP135" s="70" t="n">
        <f aca="false">ROUND(SUM(AC135:AO135)/13,0)</f>
        <v>0</v>
      </c>
      <c r="AQ135" s="47"/>
      <c r="AR135" s="47"/>
    </row>
    <row r="136" customFormat="false" ht="6" hidden="false" customHeight="true" outlineLevel="0" collapsed="false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</row>
    <row r="137" customFormat="false" ht="14.65" hidden="false" customHeight="false" outlineLevel="0" collapsed="false">
      <c r="A137" s="44"/>
      <c r="B137" s="63" t="s">
        <v>379</v>
      </c>
      <c r="C137" s="64" t="n">
        <f aca="false">SUM(C133:C136)</f>
        <v>161600</v>
      </c>
      <c r="D137" s="64" t="n">
        <f aca="false">SUM(D133:D136)</f>
        <v>161600</v>
      </c>
      <c r="E137" s="64" t="n">
        <f aca="false">SUM(E133:E136)</f>
        <v>161600</v>
      </c>
      <c r="F137" s="64" t="n">
        <f aca="false">SUM(F133:F136)</f>
        <v>161600</v>
      </c>
      <c r="G137" s="64" t="n">
        <f aca="false">SUM(G133:G136)</f>
        <v>161600</v>
      </c>
      <c r="H137" s="64" t="n">
        <f aca="false">SUM(H133:H136)</f>
        <v>161600</v>
      </c>
      <c r="I137" s="64" t="n">
        <f aca="false">SUM(I133:I136)</f>
        <v>11600</v>
      </c>
      <c r="J137" s="64" t="n">
        <f aca="false">SUM(J133:J136)</f>
        <v>11600</v>
      </c>
      <c r="K137" s="64" t="n">
        <f aca="false">SUM(K133:K136)</f>
        <v>11600</v>
      </c>
      <c r="L137" s="64" t="n">
        <f aca="false">SUM(L133:L136)</f>
        <v>11600</v>
      </c>
      <c r="M137" s="64" t="n">
        <f aca="false">SUM(M133:M136)</f>
        <v>11600</v>
      </c>
      <c r="N137" s="64" t="n">
        <f aca="false">SUM(N133:N136)</f>
        <v>7750</v>
      </c>
      <c r="O137" s="64" t="n">
        <f aca="false">SUM(O133:O136)</f>
        <v>7750</v>
      </c>
      <c r="P137" s="64" t="n">
        <f aca="false">SUM(P133:P136)</f>
        <v>80238</v>
      </c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4"/>
      <c r="AB137" s="63" t="s">
        <v>379</v>
      </c>
      <c r="AC137" s="64" t="n">
        <f aca="false">SUM(AC133:AC136)</f>
        <v>0</v>
      </c>
      <c r="AD137" s="64" t="n">
        <f aca="false">SUM(AD133:AD136)</f>
        <v>0</v>
      </c>
      <c r="AE137" s="64" t="n">
        <f aca="false">SUM(AE133:AE136)</f>
        <v>0</v>
      </c>
      <c r="AF137" s="64" t="n">
        <f aca="false">SUM(AF133:AF136)</f>
        <v>0</v>
      </c>
      <c r="AG137" s="64" t="n">
        <f aca="false">SUM(AG133:AG136)</f>
        <v>0</v>
      </c>
      <c r="AH137" s="64" t="n">
        <f aca="false">SUM(AH133:AH136)</f>
        <v>0</v>
      </c>
      <c r="AI137" s="64" t="n">
        <f aca="false">SUM(AI133:AI136)</f>
        <v>0</v>
      </c>
      <c r="AJ137" s="64" t="n">
        <f aca="false">SUM(AJ133:AJ136)</f>
        <v>0</v>
      </c>
      <c r="AK137" s="64" t="n">
        <f aca="false">SUM(AK133:AK136)</f>
        <v>0</v>
      </c>
      <c r="AL137" s="64" t="n">
        <f aca="false">SUM(AL133:AL136)</f>
        <v>0</v>
      </c>
      <c r="AM137" s="64" t="n">
        <f aca="false">SUM(AM133:AM136)</f>
        <v>0</v>
      </c>
      <c r="AN137" s="64" t="n">
        <f aca="false">SUM(AN133:AN136)</f>
        <v>0</v>
      </c>
      <c r="AO137" s="64" t="n">
        <f aca="false">SUM(AO133:AO136)</f>
        <v>0</v>
      </c>
      <c r="AP137" s="64" t="n">
        <f aca="false">SUM(AP133:AP136)</f>
        <v>0</v>
      </c>
      <c r="AQ137" s="47"/>
      <c r="AR137" s="47"/>
    </row>
    <row r="138" customFormat="false" ht="14.65" hidden="false" customHeight="false" outlineLevel="0" collapsed="false">
      <c r="A138" s="44"/>
      <c r="B138" s="63" t="s">
        <v>380</v>
      </c>
      <c r="C138" s="70" t="n">
        <f aca="false">C84+C85+C87</f>
        <v>942827</v>
      </c>
      <c r="D138" s="70" t="n">
        <f aca="false">D84+D85+D87</f>
        <v>949485</v>
      </c>
      <c r="E138" s="70" t="n">
        <f aca="false">E84+E85+E87</f>
        <v>958025</v>
      </c>
      <c r="F138" s="70" t="n">
        <f aca="false">F84+F85+F87</f>
        <v>961366</v>
      </c>
      <c r="G138" s="70" t="n">
        <f aca="false">G84+G85+G87</f>
        <v>969520</v>
      </c>
      <c r="H138" s="70" t="n">
        <f aca="false">H84+H85+H87</f>
        <v>977098</v>
      </c>
      <c r="I138" s="70" t="n">
        <f aca="false">I84+I85+I87</f>
        <v>983394</v>
      </c>
      <c r="J138" s="70" t="n">
        <f aca="false">J84+J85+J87</f>
        <v>990123</v>
      </c>
      <c r="K138" s="70" t="n">
        <f aca="false">K84+K85+K87</f>
        <v>996445</v>
      </c>
      <c r="L138" s="70" t="n">
        <f aca="false">L84+L85+L87</f>
        <v>1008356</v>
      </c>
      <c r="M138" s="70" t="n">
        <f aca="false">M84+M85+M87</f>
        <v>1014670</v>
      </c>
      <c r="N138" s="70" t="n">
        <f aca="false">N84+N85+N87</f>
        <v>1020717</v>
      </c>
      <c r="O138" s="70" t="n">
        <f aca="false">O84+O85+O87</f>
        <v>1027103</v>
      </c>
      <c r="P138" s="70" t="n">
        <f aca="false">ROUND(SUM(C138:O138)/13,0)</f>
        <v>984548</v>
      </c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4"/>
      <c r="AB138" s="63" t="s">
        <v>380</v>
      </c>
      <c r="AC138" s="70" t="n">
        <f aca="false">AC84+AC85+AC87</f>
        <v>195110</v>
      </c>
      <c r="AD138" s="70" t="n">
        <f aca="false">AD84+AD85+AD87</f>
        <v>194785</v>
      </c>
      <c r="AE138" s="70" t="n">
        <f aca="false">AE84+AE85+AE87</f>
        <v>194460</v>
      </c>
      <c r="AF138" s="70" t="n">
        <f aca="false">AF84+AF85+AF87</f>
        <v>194135</v>
      </c>
      <c r="AG138" s="70" t="n">
        <f aca="false">AG84+AG85+AG87</f>
        <v>193810</v>
      </c>
      <c r="AH138" s="70" t="n">
        <f aca="false">AH84+AH85+AH87</f>
        <v>193485</v>
      </c>
      <c r="AI138" s="70" t="n">
        <f aca="false">AI84+AI85+AI87</f>
        <v>193160</v>
      </c>
      <c r="AJ138" s="70" t="n">
        <f aca="false">AJ84+AJ85+AJ87</f>
        <v>192835</v>
      </c>
      <c r="AK138" s="70" t="n">
        <f aca="false">AK84+AK85+AK87</f>
        <v>192510</v>
      </c>
      <c r="AL138" s="70" t="n">
        <f aca="false">AL84+AL85+AL87</f>
        <v>192185</v>
      </c>
      <c r="AM138" s="70" t="n">
        <f aca="false">AM84+AM85+AM87</f>
        <v>191860</v>
      </c>
      <c r="AN138" s="70" t="n">
        <f aca="false">AN84+AN85+AN87</f>
        <v>191535</v>
      </c>
      <c r="AO138" s="70" t="n">
        <f aca="false">AO84+AO85+AO87</f>
        <v>191210</v>
      </c>
      <c r="AP138" s="70" t="n">
        <f aca="false">ROUND(SUM(AC138:AO138)/13,0)</f>
        <v>193160</v>
      </c>
      <c r="AQ138" s="47"/>
      <c r="AR138" s="47"/>
    </row>
    <row r="139" customFormat="false" ht="14.65" hidden="false" customHeight="false" outlineLevel="0" collapsed="false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</row>
    <row r="140" customFormat="false" ht="14.65" hidden="false" customHeight="false" outlineLevel="0" collapsed="false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</row>
    <row r="141" customFormat="false" ht="14.65" hidden="false" customHeight="false" outlineLevel="0" collapsed="false">
      <c r="A141" s="44"/>
      <c r="B141" s="63" t="s">
        <v>381</v>
      </c>
      <c r="C141" s="75" t="n">
        <f aca="false">SUM(C137:C139)</f>
        <v>1104427</v>
      </c>
      <c r="D141" s="75" t="n">
        <f aca="false">SUM(D137:D139)</f>
        <v>1111085</v>
      </c>
      <c r="E141" s="75" t="n">
        <f aca="false">SUM(E137:E139)</f>
        <v>1119625</v>
      </c>
      <c r="F141" s="75" t="n">
        <f aca="false">SUM(F137:F139)</f>
        <v>1122966</v>
      </c>
      <c r="G141" s="75" t="n">
        <f aca="false">SUM(G137:G139)</f>
        <v>1131120</v>
      </c>
      <c r="H141" s="75" t="n">
        <f aca="false">SUM(H137:H139)</f>
        <v>1138698</v>
      </c>
      <c r="I141" s="75" t="n">
        <f aca="false">SUM(I137:I139)</f>
        <v>994994</v>
      </c>
      <c r="J141" s="75" t="n">
        <f aca="false">SUM(J137:J139)</f>
        <v>1001723</v>
      </c>
      <c r="K141" s="75" t="n">
        <f aca="false">SUM(K137:K139)</f>
        <v>1008045</v>
      </c>
      <c r="L141" s="75" t="n">
        <f aca="false">SUM(L137:L139)</f>
        <v>1019956</v>
      </c>
      <c r="M141" s="75" t="n">
        <f aca="false">SUM(M137:M139)</f>
        <v>1026270</v>
      </c>
      <c r="N141" s="75" t="n">
        <f aca="false">SUM(N137:N139)</f>
        <v>1028467</v>
      </c>
      <c r="O141" s="75" t="n">
        <f aca="false">SUM(O137:O139)</f>
        <v>1034853</v>
      </c>
      <c r="P141" s="75" t="n">
        <f aca="false">SUM(P137:P139)</f>
        <v>1064786</v>
      </c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4"/>
      <c r="AB141" s="63" t="s">
        <v>381</v>
      </c>
      <c r="AC141" s="75" t="n">
        <f aca="false">SUM(AC137:AC139)</f>
        <v>195110</v>
      </c>
      <c r="AD141" s="75" t="n">
        <f aca="false">SUM(AD137:AD139)</f>
        <v>194785</v>
      </c>
      <c r="AE141" s="75" t="n">
        <f aca="false">SUM(AE137:AE139)</f>
        <v>194460</v>
      </c>
      <c r="AF141" s="75" t="n">
        <f aca="false">SUM(AF137:AF139)</f>
        <v>194135</v>
      </c>
      <c r="AG141" s="75" t="n">
        <f aca="false">SUM(AG137:AG139)</f>
        <v>193810</v>
      </c>
      <c r="AH141" s="75" t="n">
        <f aca="false">SUM(AH137:AH139)</f>
        <v>193485</v>
      </c>
      <c r="AI141" s="75" t="n">
        <f aca="false">SUM(AI137:AI139)</f>
        <v>193160</v>
      </c>
      <c r="AJ141" s="75" t="n">
        <f aca="false">SUM(AJ137:AJ139)</f>
        <v>192835</v>
      </c>
      <c r="AK141" s="75" t="n">
        <f aca="false">SUM(AK137:AK139)</f>
        <v>192510</v>
      </c>
      <c r="AL141" s="75" t="n">
        <f aca="false">SUM(AL137:AL139)</f>
        <v>192185</v>
      </c>
      <c r="AM141" s="75" t="n">
        <f aca="false">SUM(AM137:AM139)</f>
        <v>191860</v>
      </c>
      <c r="AN141" s="75" t="n">
        <f aca="false">SUM(AN137:AN139)</f>
        <v>191535</v>
      </c>
      <c r="AO141" s="75" t="n">
        <f aca="false">SUM(AO137:AO139)</f>
        <v>191210</v>
      </c>
      <c r="AP141" s="75" t="n">
        <f aca="false">SUM(AP137:AP139)</f>
        <v>193160</v>
      </c>
      <c r="AQ141" s="47"/>
      <c r="AR141" s="47"/>
    </row>
    <row r="142" customFormat="false" ht="14.65" hidden="false" customHeight="false" outlineLevel="0" collapsed="false">
      <c r="A142" s="47"/>
      <c r="B142" s="47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47"/>
      <c r="AR142" s="47"/>
    </row>
    <row r="143" customFormat="false" ht="14.65" hidden="false" customHeight="false" outlineLevel="0" collapsed="false">
      <c r="A143" s="47"/>
      <c r="B143" s="47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47"/>
      <c r="AQ143" s="47"/>
      <c r="AR143" s="47"/>
    </row>
    <row r="144" customFormat="false" ht="14.65" hidden="false" customHeight="false" outlineLevel="0" collapsed="false">
      <c r="A144" s="44"/>
      <c r="B144" s="63" t="s">
        <v>382</v>
      </c>
      <c r="C144" s="47"/>
      <c r="D144" s="79" t="n">
        <f aca="false">BACKUP!D468</f>
        <v>6658</v>
      </c>
      <c r="E144" s="79" t="n">
        <f aca="false">BACKUP!E468</f>
        <v>8540</v>
      </c>
      <c r="F144" s="79" t="n">
        <f aca="false">BACKUP!F468</f>
        <v>3341</v>
      </c>
      <c r="G144" s="79" t="n">
        <f aca="false">BACKUP!G468</f>
        <v>8154</v>
      </c>
      <c r="H144" s="79" t="n">
        <f aca="false">BACKUP!H468</f>
        <v>7578</v>
      </c>
      <c r="I144" s="79" t="n">
        <f aca="false">BACKUP!I468</f>
        <v>6296</v>
      </c>
      <c r="J144" s="79" t="n">
        <f aca="false">BACKUP!J468</f>
        <v>6729</v>
      </c>
      <c r="K144" s="79" t="n">
        <f aca="false">BACKUP!K468</f>
        <v>6322</v>
      </c>
      <c r="L144" s="79" t="n">
        <f aca="false">BACKUP!L468</f>
        <v>11911</v>
      </c>
      <c r="M144" s="79" t="n">
        <f aca="false">BACKUP!M468</f>
        <v>6314</v>
      </c>
      <c r="N144" s="79" t="n">
        <f aca="false">BACKUP!N468</f>
        <v>6047</v>
      </c>
      <c r="O144" s="79" t="n">
        <f aca="false">BACKUP!O468</f>
        <v>6386</v>
      </c>
      <c r="P144" s="79" t="n">
        <f aca="false">BACKUP!P468</f>
        <v>84276</v>
      </c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4"/>
      <c r="AB144" s="63" t="s">
        <v>382</v>
      </c>
      <c r="AC144" s="47"/>
      <c r="AD144" s="67" t="n">
        <v>0</v>
      </c>
      <c r="AE144" s="67" t="n">
        <v>0</v>
      </c>
      <c r="AF144" s="67" t="n">
        <v>0</v>
      </c>
      <c r="AG144" s="67" t="n">
        <v>0</v>
      </c>
      <c r="AH144" s="67" t="n">
        <v>0</v>
      </c>
      <c r="AI144" s="67" t="n">
        <v>0</v>
      </c>
      <c r="AJ144" s="67" t="n">
        <v>0</v>
      </c>
      <c r="AK144" s="67" t="n">
        <v>0</v>
      </c>
      <c r="AL144" s="67" t="n">
        <v>0</v>
      </c>
      <c r="AM144" s="67" t="n">
        <v>0</v>
      </c>
      <c r="AN144" s="67" t="n">
        <v>0</v>
      </c>
      <c r="AO144" s="67" t="n">
        <v>0</v>
      </c>
      <c r="AP144" s="67" t="n">
        <f aca="false">SUM(AC144:AO144)</f>
        <v>0</v>
      </c>
      <c r="AQ144" s="47"/>
      <c r="AR144" s="47"/>
    </row>
    <row r="145" customFormat="false" ht="14.65" hidden="false" customHeight="false" outlineLevel="0" collapsed="false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customFormat="false" ht="14.65" hidden="false" customHeight="false" outlineLevel="0" collapsed="false">
      <c r="A146" s="44"/>
      <c r="B146" s="63" t="s">
        <v>383</v>
      </c>
      <c r="C146" s="47"/>
      <c r="D146" s="84" t="n">
        <f aca="false">D144/D141</f>
        <v>0.00599234082000927</v>
      </c>
      <c r="E146" s="84" t="n">
        <f aca="false">E144/E141</f>
        <v>0.00762755386848275</v>
      </c>
      <c r="F146" s="84" t="n">
        <f aca="false">F144/F141</f>
        <v>0.00297515686138316</v>
      </c>
      <c r="G146" s="84" t="n">
        <f aca="false">G144/G141</f>
        <v>0.00720878421387651</v>
      </c>
      <c r="H146" s="84" t="n">
        <f aca="false">H144/H141</f>
        <v>0.00665496909628365</v>
      </c>
      <c r="I146" s="84" t="n">
        <f aca="false">I144/I141</f>
        <v>0.00632767634779707</v>
      </c>
      <c r="J146" s="84" t="n">
        <f aca="false">J144/J141</f>
        <v>0.006717425875217</v>
      </c>
      <c r="K146" s="84" t="n">
        <f aca="false">K144/K141</f>
        <v>0.00627154541711928</v>
      </c>
      <c r="L146" s="84" t="n">
        <f aca="false">L144/L141</f>
        <v>0.0116779547353023</v>
      </c>
      <c r="M146" s="84" t="n">
        <f aca="false">M144/M141</f>
        <v>0.00615237705477116</v>
      </c>
      <c r="N146" s="84" t="n">
        <f aca="false">N144/N141</f>
        <v>0.00587962472301007</v>
      </c>
      <c r="O146" s="84" t="n">
        <f aca="false">O144/O141</f>
        <v>0.00617092475936196</v>
      </c>
      <c r="P146" s="84" t="n">
        <f aca="false">P144/P141</f>
        <v>0.0791482983435169</v>
      </c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4"/>
      <c r="AB146" s="63" t="s">
        <v>383</v>
      </c>
      <c r="AC146" s="47"/>
      <c r="AD146" s="84" t="n">
        <f aca="false">AD144/AD141</f>
        <v>0</v>
      </c>
      <c r="AE146" s="84" t="n">
        <f aca="false">AE144/AE141</f>
        <v>0</v>
      </c>
      <c r="AF146" s="84" t="n">
        <f aca="false">AF144/AF141</f>
        <v>0</v>
      </c>
      <c r="AG146" s="84" t="n">
        <f aca="false">AG144/AG141</f>
        <v>0</v>
      </c>
      <c r="AH146" s="84" t="n">
        <f aca="false">AH144/AH141</f>
        <v>0</v>
      </c>
      <c r="AI146" s="84" t="n">
        <f aca="false">AI144/AI141</f>
        <v>0</v>
      </c>
      <c r="AJ146" s="84" t="n">
        <f aca="false">AJ144/AJ141</f>
        <v>0</v>
      </c>
      <c r="AK146" s="84" t="n">
        <f aca="false">AK144/AK141</f>
        <v>0</v>
      </c>
      <c r="AL146" s="84" t="n">
        <f aca="false">AL144/AL141</f>
        <v>0</v>
      </c>
      <c r="AM146" s="84" t="n">
        <f aca="false">AM144/AM141</f>
        <v>0</v>
      </c>
      <c r="AN146" s="84" t="n">
        <f aca="false">AN144/AN141</f>
        <v>0</v>
      </c>
      <c r="AO146" s="84" t="n">
        <f aca="false">AO144/AO141</f>
        <v>0</v>
      </c>
      <c r="AP146" s="84" t="n">
        <f aca="false">AP144/AP141</f>
        <v>0</v>
      </c>
      <c r="AQ146" s="47"/>
      <c r="AR146" s="47"/>
    </row>
    <row r="147" customFormat="false" ht="14.65" hidden="false" customHeight="false" outlineLevel="0" collapsed="false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customFormat="false" ht="14.65" hidden="false" customHeight="false" outlineLevel="0" collapsed="false">
      <c r="A148" s="47"/>
      <c r="B148" s="66" t="s">
        <v>342</v>
      </c>
      <c r="C148" s="64" t="e">
        <f aca="false">C120-C130-C141</f>
        <v>#REF!</v>
      </c>
      <c r="D148" s="64" t="e">
        <f aca="false">D120-D130-D141</f>
        <v>#REF!</v>
      </c>
      <c r="E148" s="64" t="e">
        <f aca="false">E120-E130-E141</f>
        <v>#REF!</v>
      </c>
      <c r="F148" s="64" t="e">
        <f aca="false">F120-F130-F141</f>
        <v>#REF!</v>
      </c>
      <c r="G148" s="64" t="e">
        <f aca="false">G120-G130-G141</f>
        <v>#REF!</v>
      </c>
      <c r="H148" s="64" t="e">
        <f aca="false">H120-H130-H141</f>
        <v>#REF!</v>
      </c>
      <c r="I148" s="64" t="e">
        <f aca="false">I120-I130-I141</f>
        <v>#REF!</v>
      </c>
      <c r="J148" s="64" t="e">
        <f aca="false">J120-J130-J141</f>
        <v>#REF!</v>
      </c>
      <c r="K148" s="64" t="e">
        <f aca="false">K120-K130-K141</f>
        <v>#REF!</v>
      </c>
      <c r="L148" s="64" t="e">
        <f aca="false">L120-L130-L141</f>
        <v>#REF!</v>
      </c>
      <c r="M148" s="64" t="e">
        <f aca="false">M120-M130-M141</f>
        <v>#REF!</v>
      </c>
      <c r="N148" s="64" t="e">
        <f aca="false">N120-N130-N141</f>
        <v>#REF!</v>
      </c>
      <c r="O148" s="64" t="e">
        <f aca="false">O120-O130-O141</f>
        <v>#REF!</v>
      </c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66" t="s">
        <v>342</v>
      </c>
      <c r="AC148" s="64" t="e">
        <f aca="false">AC120-AC130-AC141</f>
        <v>#REF!</v>
      </c>
      <c r="AD148" s="64" t="e">
        <f aca="false">AD120-AD130-AD141</f>
        <v>#REF!</v>
      </c>
      <c r="AE148" s="64" t="e">
        <f aca="false">AE120-AE130-AE141</f>
        <v>#REF!</v>
      </c>
      <c r="AF148" s="64" t="e">
        <f aca="false">AF120-AF130-AF141</f>
        <v>#REF!</v>
      </c>
      <c r="AG148" s="64" t="e">
        <f aca="false">AG120-AG130-AG141</f>
        <v>#REF!</v>
      </c>
      <c r="AH148" s="64" t="e">
        <f aca="false">AH120-AH130-AH141</f>
        <v>#REF!</v>
      </c>
      <c r="AI148" s="64" t="e">
        <f aca="false">AI120-AI130-AI141</f>
        <v>#REF!</v>
      </c>
      <c r="AJ148" s="64" t="e">
        <f aca="false">AJ120-AJ130-AJ141</f>
        <v>#REF!</v>
      </c>
      <c r="AK148" s="64" t="e">
        <f aca="false">AK120-AK130-AK141</f>
        <v>#REF!</v>
      </c>
      <c r="AL148" s="64" t="e">
        <f aca="false">AL120-AL130-AL141</f>
        <v>#REF!</v>
      </c>
      <c r="AM148" s="64" t="e">
        <f aca="false">AM120-AM130-AM141</f>
        <v>#REF!</v>
      </c>
      <c r="AN148" s="64" t="e">
        <f aca="false">AN120-AN130-AN141</f>
        <v>#REF!</v>
      </c>
      <c r="AO148" s="64" t="e">
        <f aca="false">AO120-AO130-AO141</f>
        <v>#REF!</v>
      </c>
      <c r="AP148" s="47"/>
      <c r="AQ148" s="47"/>
      <c r="AR148" s="47"/>
    </row>
    <row r="149" customFormat="false" ht="14.65" hidden="false" customHeight="false" outlineLevel="0" collapsed="false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customFormat="false" ht="14.65" hidden="false" customHeight="false" outlineLevel="0" collapsed="false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customFormat="false" ht="14.65" hidden="false" customHeight="false" outlineLevel="0" collapsed="false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customFormat="false" ht="8.1" hidden="false" customHeight="true" outlineLevel="0" collapsed="false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customFormat="false" ht="14.65" hidden="false" customHeight="false" outlineLevel="0" collapsed="false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customFormat="false" ht="14.65" hidden="false" customHeight="false" outlineLevel="0" collapsed="false">
      <c r="A154" s="48" t="str">
        <f aca="false">A1</f>
        <v>'file:///mnt/12tb/@roms/datasets/enron/EDRM Enron Email Data Set v2 XML/filtered-attachments/xls/TW3rdCECF.xls'#$BACKUP</v>
      </c>
      <c r="B154" s="44"/>
      <c r="C154" s="44"/>
      <c r="D154" s="44"/>
      <c r="E154" s="44"/>
      <c r="F154" s="54" t="str">
        <f aca="false">F1</f>
        <v>TRANSWESTERN PIPELINE GROUP (Including Co. 92)</v>
      </c>
      <c r="G154" s="54"/>
      <c r="H154" s="54"/>
      <c r="I154" s="54"/>
      <c r="J154" s="44"/>
      <c r="K154" s="44"/>
      <c r="L154" s="44"/>
      <c r="M154" s="44"/>
      <c r="N154" s="44"/>
      <c r="O154" s="44"/>
      <c r="P154" s="46" t="n">
        <f aca="true">NOW()</f>
        <v>45926.9584324696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8" t="str">
        <f aca="false">A1</f>
        <v>'file:///mnt/12tb/@roms/datasets/enron/EDRM Enron Email Data Set v2 XML/filtered-attachments/xls/TW3rdCECF.xls'#$BACKUP</v>
      </c>
      <c r="AB154" s="44"/>
      <c r="AC154" s="44"/>
      <c r="AD154" s="44"/>
      <c r="AE154" s="44"/>
      <c r="AF154" s="44" t="str">
        <f aca="false">AF1</f>
        <v>FAIR VALUE COMPANY (Co. 92)</v>
      </c>
      <c r="AG154" s="44"/>
      <c r="AH154" s="44"/>
      <c r="AI154" s="44"/>
      <c r="AJ154" s="44"/>
      <c r="AK154" s="44"/>
      <c r="AL154" s="44"/>
      <c r="AM154" s="44"/>
      <c r="AN154" s="44"/>
      <c r="AO154" s="44"/>
      <c r="AP154" s="46" t="n">
        <f aca="true">NOW()</f>
        <v>45926.9584324697</v>
      </c>
      <c r="AQ154" s="47"/>
      <c r="AR154" s="47"/>
    </row>
    <row r="155" customFormat="false" ht="14.65" hidden="false" customHeight="false" outlineLevel="0" collapsed="false">
      <c r="A155" s="53" t="s">
        <v>384</v>
      </c>
      <c r="B155" s="44"/>
      <c r="C155" s="44"/>
      <c r="D155" s="44"/>
      <c r="E155" s="44"/>
      <c r="F155" s="81" t="s">
        <v>385</v>
      </c>
      <c r="G155" s="81"/>
      <c r="H155" s="81"/>
      <c r="I155" s="81"/>
      <c r="J155" s="44"/>
      <c r="K155" s="44"/>
      <c r="L155" s="44"/>
      <c r="M155" s="44"/>
      <c r="N155" s="44"/>
      <c r="O155" s="44"/>
      <c r="P155" s="52" t="n">
        <f aca="true">NOW()</f>
        <v>45926.9584324698</v>
      </c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53" t="s">
        <v>386</v>
      </c>
      <c r="AB155" s="44"/>
      <c r="AC155" s="44"/>
      <c r="AD155" s="44"/>
      <c r="AE155" s="44"/>
      <c r="AF155" s="82" t="s">
        <v>387</v>
      </c>
      <c r="AG155" s="44"/>
      <c r="AH155" s="44"/>
      <c r="AI155" s="44"/>
      <c r="AJ155" s="44"/>
      <c r="AK155" s="44"/>
      <c r="AL155" s="44"/>
      <c r="AM155" s="44"/>
      <c r="AN155" s="44"/>
      <c r="AO155" s="44"/>
      <c r="AP155" s="52" t="n">
        <f aca="true">NOW()</f>
        <v>45926.9584324698</v>
      </c>
      <c r="AQ155" s="47"/>
      <c r="AR155" s="47"/>
    </row>
    <row r="156" customFormat="false" ht="14.65" hidden="false" customHeight="false" outlineLevel="0" collapsed="false">
      <c r="A156" s="56"/>
      <c r="B156" s="44"/>
      <c r="C156" s="44"/>
      <c r="D156" s="44"/>
      <c r="E156" s="44"/>
      <c r="F156" s="54" t="str">
        <f aca="false">F3</f>
        <v>2001 ACTUAL / ESTIMATE</v>
      </c>
      <c r="G156" s="54"/>
      <c r="H156" s="54"/>
      <c r="I156" s="54"/>
      <c r="J156" s="44"/>
      <c r="K156" s="44"/>
      <c r="L156" s="44"/>
      <c r="M156" s="44"/>
      <c r="N156" s="44"/>
      <c r="O156" s="44"/>
      <c r="P156" s="44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56"/>
      <c r="AB156" s="44"/>
      <c r="AC156" s="44"/>
      <c r="AD156" s="44"/>
      <c r="AE156" s="44"/>
      <c r="AF156" s="44" t="str">
        <f aca="false">AF3</f>
        <v>2001 ACTUAL / ESTIMATE</v>
      </c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7"/>
      <c r="AR156" s="47"/>
    </row>
    <row r="157" customFormat="false" ht="14.65" hidden="false" customHeight="false" outlineLevel="0" collapsed="false">
      <c r="A157" s="44"/>
      <c r="B157" s="44"/>
      <c r="C157" s="44"/>
      <c r="D157" s="44"/>
      <c r="E157" s="44"/>
      <c r="F157" s="54" t="str">
        <f aca="false">F4</f>
        <v>(Thousands of Dollars)</v>
      </c>
      <c r="G157" s="54"/>
      <c r="H157" s="54"/>
      <c r="I157" s="54"/>
      <c r="J157" s="44"/>
      <c r="K157" s="44"/>
      <c r="L157" s="44"/>
      <c r="M157" s="44"/>
      <c r="N157" s="44"/>
      <c r="O157" s="44"/>
      <c r="P157" s="44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4"/>
      <c r="AB157" s="44"/>
      <c r="AC157" s="44"/>
      <c r="AD157" s="44"/>
      <c r="AE157" s="44"/>
      <c r="AF157" s="44" t="str">
        <f aca="false">AF4</f>
        <v>(Thousands of Dollars)</v>
      </c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7"/>
      <c r="AR157" s="47"/>
    </row>
    <row r="158" customFormat="false" ht="14.65" hidden="false" customHeight="false" outlineLevel="0" collapsed="false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7"/>
      <c r="AR158" s="47"/>
    </row>
    <row r="159" customFormat="false" ht="14.65" hidden="false" customHeight="false" outlineLevel="0" collapsed="false">
      <c r="A159" s="44"/>
      <c r="B159" s="44"/>
      <c r="C159" s="57"/>
      <c r="D159" s="85"/>
      <c r="E159" s="86"/>
      <c r="F159" s="85"/>
      <c r="G159" s="87"/>
      <c r="H159" s="87"/>
      <c r="I159" s="88"/>
      <c r="J159" s="87"/>
      <c r="K159" s="85"/>
      <c r="L159" s="85"/>
      <c r="M159" s="85"/>
      <c r="N159" s="85"/>
      <c r="O159" s="85"/>
      <c r="P159" s="44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4"/>
      <c r="AB159" s="44"/>
      <c r="AC159" s="44"/>
      <c r="AD159" s="44"/>
      <c r="AE159" s="47"/>
      <c r="AF159" s="44"/>
      <c r="AG159" s="57"/>
      <c r="AH159" s="57"/>
      <c r="AI159" s="44"/>
      <c r="AJ159" s="44"/>
      <c r="AK159" s="44"/>
      <c r="AL159" s="44"/>
      <c r="AM159" s="44"/>
      <c r="AN159" s="44"/>
      <c r="AO159" s="44"/>
      <c r="AP159" s="44"/>
      <c r="AQ159" s="47"/>
      <c r="AR159" s="47"/>
    </row>
    <row r="160" customFormat="false" ht="14.65" hidden="false" customHeight="false" outlineLevel="0" collapsed="false">
      <c r="A160" s="44"/>
      <c r="B160" s="44"/>
      <c r="C160" s="59" t="str">
        <f aca="false">C7</f>
        <v>ACTUAL</v>
      </c>
      <c r="D160" s="59" t="str">
        <f aca="false">D7</f>
        <v>ACT.</v>
      </c>
      <c r="E160" s="59" t="str">
        <f aca="false">E7</f>
        <v>ACT.</v>
      </c>
      <c r="F160" s="59" t="str">
        <f aca="false">F7</f>
        <v>ACT.</v>
      </c>
      <c r="G160" s="59" t="str">
        <f aca="false">G7</f>
        <v>ACT.</v>
      </c>
      <c r="H160" s="59" t="str">
        <f aca="false">H7</f>
        <v>ACT.</v>
      </c>
      <c r="I160" s="59" t="str">
        <f aca="false">I7</f>
        <v>ACT.</v>
      </c>
      <c r="J160" s="59" t="str">
        <f aca="false">J7</f>
        <v>ACT.</v>
      </c>
      <c r="K160" s="59" t="str">
        <f aca="false">K7</f>
        <v>ACT.</v>
      </c>
      <c r="L160" s="59" t="str">
        <f aca="false">L7</f>
        <v>3rd CE</v>
      </c>
      <c r="M160" s="59" t="str">
        <f aca="false">M7</f>
        <v>3rd CE</v>
      </c>
      <c r="N160" s="59" t="str">
        <f aca="false">N7</f>
        <v>3rd CE</v>
      </c>
      <c r="O160" s="59" t="str">
        <f aca="false">O7</f>
        <v>3rd CE</v>
      </c>
      <c r="P160" s="44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4"/>
      <c r="AB160" s="44"/>
      <c r="AC160" s="59" t="s">
        <v>7</v>
      </c>
      <c r="AD160" s="59" t="s">
        <v>7</v>
      </c>
      <c r="AE160" s="59" t="s">
        <v>7</v>
      </c>
      <c r="AF160" s="59" t="s">
        <v>7</v>
      </c>
      <c r="AG160" s="59" t="s">
        <v>7</v>
      </c>
      <c r="AH160" s="59" t="s">
        <v>7</v>
      </c>
      <c r="AI160" s="59" t="s">
        <v>7</v>
      </c>
      <c r="AJ160" s="59" t="s">
        <v>7</v>
      </c>
      <c r="AK160" s="59" t="s">
        <v>7</v>
      </c>
      <c r="AL160" s="59" t="s">
        <v>7</v>
      </c>
      <c r="AM160" s="59" t="s">
        <v>7</v>
      </c>
      <c r="AN160" s="59" t="s">
        <v>7</v>
      </c>
      <c r="AO160" s="59" t="s">
        <v>7</v>
      </c>
      <c r="AP160" s="44"/>
      <c r="AQ160" s="47"/>
      <c r="AR160" s="47"/>
    </row>
    <row r="161" customFormat="false" ht="14.65" hidden="false" customHeight="false" outlineLevel="0" collapsed="false">
      <c r="A161" s="44"/>
      <c r="B161" s="44"/>
      <c r="C161" s="76" t="str">
        <f aca="false">C8</f>
        <v>BALANCE </v>
      </c>
      <c r="D161" s="76" t="str">
        <f aca="false">D8</f>
        <v>JAN</v>
      </c>
      <c r="E161" s="76" t="str">
        <f aca="false">E8</f>
        <v>FEB</v>
      </c>
      <c r="F161" s="76" t="str">
        <f aca="false">F8</f>
        <v>MAR</v>
      </c>
      <c r="G161" s="76" t="str">
        <f aca="false">G8</f>
        <v>APR</v>
      </c>
      <c r="H161" s="76" t="str">
        <f aca="false">H8</f>
        <v>MAY</v>
      </c>
      <c r="I161" s="76" t="str">
        <f aca="false">I8</f>
        <v>JUN</v>
      </c>
      <c r="J161" s="76" t="str">
        <f aca="false">J8</f>
        <v>JUL</v>
      </c>
      <c r="K161" s="76" t="str">
        <f aca="false">K8</f>
        <v>AUG</v>
      </c>
      <c r="L161" s="76" t="str">
        <f aca="false">L8</f>
        <v>SEP</v>
      </c>
      <c r="M161" s="76" t="str">
        <f aca="false">M8</f>
        <v>OCT</v>
      </c>
      <c r="N161" s="76" t="str">
        <f aca="false">N8</f>
        <v>NOV</v>
      </c>
      <c r="O161" s="76" t="str">
        <f aca="false">O8</f>
        <v>DEC</v>
      </c>
      <c r="P161" s="44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4"/>
      <c r="AB161" s="44"/>
      <c r="AC161" s="76" t="s">
        <v>24</v>
      </c>
      <c r="AD161" s="76" t="s">
        <v>13</v>
      </c>
      <c r="AE161" s="76" t="s">
        <v>14</v>
      </c>
      <c r="AF161" s="76" t="s">
        <v>15</v>
      </c>
      <c r="AG161" s="76" t="s">
        <v>16</v>
      </c>
      <c r="AH161" s="76" t="s">
        <v>17</v>
      </c>
      <c r="AI161" s="76" t="s">
        <v>349</v>
      </c>
      <c r="AJ161" s="76" t="s">
        <v>19</v>
      </c>
      <c r="AK161" s="76" t="s">
        <v>20</v>
      </c>
      <c r="AL161" s="76" t="s">
        <v>21</v>
      </c>
      <c r="AM161" s="76" t="s">
        <v>22</v>
      </c>
      <c r="AN161" s="76" t="s">
        <v>23</v>
      </c>
      <c r="AO161" s="76" t="s">
        <v>24</v>
      </c>
      <c r="AP161" s="44"/>
      <c r="AQ161" s="47"/>
      <c r="AR161" s="47"/>
    </row>
    <row r="162" customFormat="false" ht="14.65" hidden="false" customHeight="false" outlineLevel="0" collapsed="false">
      <c r="A162" s="44"/>
      <c r="B162" s="44"/>
      <c r="C162" s="62" t="str">
        <f aca="false">C9</f>
        <v>12/31/00</v>
      </c>
      <c r="D162" s="62" t="n">
        <f aca="false">D9</f>
        <v>2001</v>
      </c>
      <c r="E162" s="62" t="n">
        <f aca="false">E9</f>
        <v>2001</v>
      </c>
      <c r="F162" s="62" t="n">
        <f aca="false">F9</f>
        <v>2001</v>
      </c>
      <c r="G162" s="62" t="n">
        <f aca="false">G9</f>
        <v>2001</v>
      </c>
      <c r="H162" s="62" t="n">
        <f aca="false">H9</f>
        <v>2001</v>
      </c>
      <c r="I162" s="62" t="n">
        <f aca="false">I9</f>
        <v>2001</v>
      </c>
      <c r="J162" s="62" t="n">
        <f aca="false">J9</f>
        <v>2001</v>
      </c>
      <c r="K162" s="62" t="n">
        <f aca="false">K9</f>
        <v>2001</v>
      </c>
      <c r="L162" s="62" t="n">
        <f aca="false">L9</f>
        <v>2001</v>
      </c>
      <c r="M162" s="62" t="n">
        <f aca="false">M9</f>
        <v>2001</v>
      </c>
      <c r="N162" s="62" t="n">
        <f aca="false">N9</f>
        <v>2001</v>
      </c>
      <c r="O162" s="62" t="n">
        <f aca="false">O9</f>
        <v>2001</v>
      </c>
      <c r="P162" s="89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4"/>
      <c r="AB162" s="44"/>
      <c r="AC162" s="77" t="s">
        <v>352</v>
      </c>
      <c r="AD162" s="77" t="s">
        <v>350</v>
      </c>
      <c r="AE162" s="77" t="s">
        <v>350</v>
      </c>
      <c r="AF162" s="77" t="s">
        <v>350</v>
      </c>
      <c r="AG162" s="77" t="s">
        <v>350</v>
      </c>
      <c r="AH162" s="77" t="s">
        <v>350</v>
      </c>
      <c r="AI162" s="77" t="s">
        <v>350</v>
      </c>
      <c r="AJ162" s="77" t="s">
        <v>350</v>
      </c>
      <c r="AK162" s="77" t="s">
        <v>350</v>
      </c>
      <c r="AL162" s="77" t="s">
        <v>350</v>
      </c>
      <c r="AM162" s="77" t="s">
        <v>350</v>
      </c>
      <c r="AN162" s="77" t="s">
        <v>350</v>
      </c>
      <c r="AO162" s="77" t="s">
        <v>350</v>
      </c>
      <c r="AP162" s="89"/>
      <c r="AQ162" s="47"/>
      <c r="AR162" s="47"/>
    </row>
    <row r="163" customFormat="false" ht="6" hidden="false" customHeight="true" outlineLevel="0" collapsed="false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</row>
    <row r="164" customFormat="false" ht="14.65" hidden="false" customHeight="false" outlineLevel="0" collapsed="false">
      <c r="A164" s="44"/>
      <c r="B164" s="63" t="s">
        <v>388</v>
      </c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4"/>
      <c r="AB164" s="63" t="s">
        <v>388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</row>
    <row r="165" customFormat="false" ht="14.65" hidden="false" customHeight="false" outlineLevel="0" collapsed="false">
      <c r="A165" s="65" t="s">
        <v>275</v>
      </c>
      <c r="B165" s="66" t="s">
        <v>389</v>
      </c>
      <c r="C165" s="64" t="n">
        <f aca="false">C12</f>
        <v>4</v>
      </c>
      <c r="D165" s="64" t="n">
        <f aca="false">D12</f>
        <v>4</v>
      </c>
      <c r="E165" s="64" t="n">
        <f aca="false">E12</f>
        <v>4</v>
      </c>
      <c r="F165" s="64" t="n">
        <f aca="false">F12</f>
        <v>4</v>
      </c>
      <c r="G165" s="64" t="n">
        <f aca="false">G12</f>
        <v>4</v>
      </c>
      <c r="H165" s="64" t="n">
        <f aca="false">H12</f>
        <v>4</v>
      </c>
      <c r="I165" s="64" t="n">
        <f aca="false">I12</f>
        <v>4</v>
      </c>
      <c r="J165" s="64" t="n">
        <f aca="false">J12</f>
        <v>3</v>
      </c>
      <c r="K165" s="64" t="n">
        <f aca="false">K12</f>
        <v>3</v>
      </c>
      <c r="L165" s="64" t="n">
        <f aca="false">L12</f>
        <v>3</v>
      </c>
      <c r="M165" s="64" t="n">
        <f aca="false">M12</f>
        <v>3</v>
      </c>
      <c r="N165" s="64" t="n">
        <f aca="false">N12</f>
        <v>3</v>
      </c>
      <c r="O165" s="64" t="n">
        <f aca="false">O12</f>
        <v>3</v>
      </c>
      <c r="P165" s="64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65" t="s">
        <v>275</v>
      </c>
      <c r="AB165" s="66" t="s">
        <v>389</v>
      </c>
      <c r="AC165" s="64" t="n">
        <f aca="false">AC12</f>
        <v>0</v>
      </c>
      <c r="AD165" s="64" t="n">
        <f aca="false">AD12</f>
        <v>0</v>
      </c>
      <c r="AE165" s="64" t="n">
        <f aca="false">AE12</f>
        <v>0</v>
      </c>
      <c r="AF165" s="64" t="n">
        <f aca="false">AF12</f>
        <v>0</v>
      </c>
      <c r="AG165" s="64" t="n">
        <f aca="false">AG12</f>
        <v>0</v>
      </c>
      <c r="AH165" s="64" t="n">
        <f aca="false">AH12</f>
        <v>0</v>
      </c>
      <c r="AI165" s="64" t="n">
        <f aca="false">AI12</f>
        <v>0</v>
      </c>
      <c r="AJ165" s="64" t="n">
        <f aca="false">AJ12</f>
        <v>0</v>
      </c>
      <c r="AK165" s="64" t="n">
        <f aca="false">AK12</f>
        <v>0</v>
      </c>
      <c r="AL165" s="64" t="n">
        <f aca="false">AL12</f>
        <v>0</v>
      </c>
      <c r="AM165" s="64" t="n">
        <f aca="false">AM12</f>
        <v>0</v>
      </c>
      <c r="AN165" s="64" t="n">
        <f aca="false">AN12</f>
        <v>0</v>
      </c>
      <c r="AO165" s="64" t="n">
        <f aca="false">AO12</f>
        <v>0</v>
      </c>
      <c r="AP165" s="64"/>
      <c r="AQ165" s="47"/>
      <c r="AR165" s="47"/>
    </row>
    <row r="166" customFormat="false" ht="14.65" hidden="false" customHeight="false" outlineLevel="0" collapsed="false">
      <c r="A166" s="65" t="s">
        <v>277</v>
      </c>
      <c r="B166" s="66" t="s">
        <v>390</v>
      </c>
      <c r="C166" s="64" t="n">
        <f aca="false">C13</f>
        <v>7581</v>
      </c>
      <c r="D166" s="64" t="n">
        <f aca="false">D13</f>
        <v>6648</v>
      </c>
      <c r="E166" s="64" t="n">
        <f aca="false">E13</f>
        <v>7120</v>
      </c>
      <c r="F166" s="64" t="n">
        <f aca="false">F13</f>
        <v>21572</v>
      </c>
      <c r="G166" s="64" t="n">
        <f aca="false">G13</f>
        <v>17146</v>
      </c>
      <c r="H166" s="64" t="n">
        <f aca="false">H13</f>
        <v>19651</v>
      </c>
      <c r="I166" s="64" t="n">
        <f aca="false">I13</f>
        <v>8677</v>
      </c>
      <c r="J166" s="64" t="n">
        <f aca="false">J13</f>
        <v>20312</v>
      </c>
      <c r="K166" s="64" t="n">
        <f aca="false">K13</f>
        <v>23367</v>
      </c>
      <c r="L166" s="64" t="n">
        <f aca="false">L13</f>
        <v>22805</v>
      </c>
      <c r="M166" s="64" t="n">
        <f aca="false">M13</f>
        <v>23691</v>
      </c>
      <c r="N166" s="64" t="n">
        <f aca="false">N13</f>
        <v>23054</v>
      </c>
      <c r="O166" s="64" t="n">
        <f aca="false">O13</f>
        <v>23441</v>
      </c>
      <c r="P166" s="64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65" t="s">
        <v>277</v>
      </c>
      <c r="AB166" s="66" t="s">
        <v>390</v>
      </c>
      <c r="AC166" s="64" t="n">
        <f aca="false">AC13</f>
        <v>0</v>
      </c>
      <c r="AD166" s="64" t="n">
        <f aca="false">AD13</f>
        <v>0</v>
      </c>
      <c r="AE166" s="64" t="n">
        <f aca="false">AE13</f>
        <v>0</v>
      </c>
      <c r="AF166" s="64" t="n">
        <f aca="false">AF13</f>
        <v>0</v>
      </c>
      <c r="AG166" s="64" t="n">
        <f aca="false">AG13</f>
        <v>0</v>
      </c>
      <c r="AH166" s="64" t="n">
        <f aca="false">AH13</f>
        <v>0</v>
      </c>
      <c r="AI166" s="64" t="n">
        <f aca="false">AI13</f>
        <v>0</v>
      </c>
      <c r="AJ166" s="64" t="n">
        <f aca="false">AJ13</f>
        <v>0</v>
      </c>
      <c r="AK166" s="64" t="n">
        <f aca="false">AK13</f>
        <v>0</v>
      </c>
      <c r="AL166" s="64" t="n">
        <f aca="false">AL13</f>
        <v>0</v>
      </c>
      <c r="AM166" s="64" t="n">
        <f aca="false">AM13</f>
        <v>0</v>
      </c>
      <c r="AN166" s="64" t="n">
        <f aca="false">AN13</f>
        <v>0</v>
      </c>
      <c r="AO166" s="64" t="n">
        <f aca="false">AO13</f>
        <v>0</v>
      </c>
      <c r="AP166" s="64"/>
      <c r="AQ166" s="47"/>
      <c r="AR166" s="47"/>
    </row>
    <row r="167" customFormat="false" ht="14.65" hidden="false" customHeight="false" outlineLevel="0" collapsed="false">
      <c r="A167" s="65" t="s">
        <v>279</v>
      </c>
      <c r="B167" s="66" t="s">
        <v>391</v>
      </c>
      <c r="C167" s="64" t="n">
        <f aca="false">C14</f>
        <v>524956</v>
      </c>
      <c r="D167" s="64" t="n">
        <f aca="false">D14</f>
        <v>541799</v>
      </c>
      <c r="E167" s="64" t="n">
        <f aca="false">E14</f>
        <v>560015</v>
      </c>
      <c r="F167" s="64" t="n">
        <f aca="false">F14</f>
        <v>579696</v>
      </c>
      <c r="G167" s="64" t="n">
        <f aca="false">G14</f>
        <v>591337</v>
      </c>
      <c r="H167" s="64" t="n">
        <f aca="false">H14</f>
        <v>587311</v>
      </c>
      <c r="I167" s="64" t="n">
        <f aca="false">I14</f>
        <v>460025</v>
      </c>
      <c r="J167" s="64" t="n">
        <f aca="false">J14</f>
        <v>461271</v>
      </c>
      <c r="K167" s="64" t="n">
        <f aca="false">K14</f>
        <v>476871</v>
      </c>
      <c r="L167" s="64" t="n">
        <f aca="false">L14</f>
        <v>478771</v>
      </c>
      <c r="M167" s="64" t="n">
        <f aca="false">M14</f>
        <v>484471</v>
      </c>
      <c r="N167" s="64" t="n">
        <f aca="false">N14</f>
        <v>484271</v>
      </c>
      <c r="O167" s="64" t="n">
        <f aca="false">O14</f>
        <v>484071</v>
      </c>
      <c r="P167" s="64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65"/>
      <c r="AB167" s="66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47"/>
      <c r="AR167" s="47"/>
    </row>
    <row r="168" customFormat="false" ht="14.65" hidden="false" customHeight="false" outlineLevel="0" collapsed="false">
      <c r="A168" s="65" t="s">
        <v>282</v>
      </c>
      <c r="B168" s="66" t="s">
        <v>392</v>
      </c>
      <c r="C168" s="64" t="n">
        <f aca="false">C16+C17</f>
        <v>4134</v>
      </c>
      <c r="D168" s="64" t="n">
        <f aca="false">D16+D17</f>
        <v>4127</v>
      </c>
      <c r="E168" s="64" t="n">
        <f aca="false">E16+E17</f>
        <v>4133</v>
      </c>
      <c r="F168" s="64" t="n">
        <f aca="false">F16+F17</f>
        <v>4106</v>
      </c>
      <c r="G168" s="64" t="n">
        <f aca="false">G16+G17</f>
        <v>4138</v>
      </c>
      <c r="H168" s="64" t="n">
        <f aca="false">H16+H17</f>
        <v>4116</v>
      </c>
      <c r="I168" s="64" t="n">
        <f aca="false">I16+I17</f>
        <v>8592</v>
      </c>
      <c r="J168" s="64" t="n">
        <f aca="false">J16+J17</f>
        <v>9416</v>
      </c>
      <c r="K168" s="64" t="n">
        <f aca="false">K16+K17</f>
        <v>9416</v>
      </c>
      <c r="L168" s="64" t="n">
        <f aca="false">L16+L17</f>
        <v>9416</v>
      </c>
      <c r="M168" s="64" t="n">
        <f aca="false">M16+M17</f>
        <v>9416</v>
      </c>
      <c r="N168" s="64" t="n">
        <f aca="false">N16+N17</f>
        <v>9416</v>
      </c>
      <c r="O168" s="64" t="n">
        <f aca="false">O16+O17</f>
        <v>9416</v>
      </c>
      <c r="P168" s="64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65" t="s">
        <v>282</v>
      </c>
      <c r="AB168" s="66" t="s">
        <v>392</v>
      </c>
      <c r="AC168" s="64" t="n">
        <f aca="false">AC16+AC17</f>
        <v>0</v>
      </c>
      <c r="AD168" s="64" t="n">
        <f aca="false">AD16+AD17</f>
        <v>0</v>
      </c>
      <c r="AE168" s="64" t="n">
        <f aca="false">AE16+AE17</f>
        <v>0</v>
      </c>
      <c r="AF168" s="64" t="n">
        <f aca="false">AF16+AF17</f>
        <v>0</v>
      </c>
      <c r="AG168" s="64" t="n">
        <f aca="false">AG16+AG17</f>
        <v>0</v>
      </c>
      <c r="AH168" s="64" t="n">
        <f aca="false">AH16+AH17</f>
        <v>0</v>
      </c>
      <c r="AI168" s="64" t="n">
        <f aca="false">AI16+AI17</f>
        <v>0</v>
      </c>
      <c r="AJ168" s="64" t="n">
        <f aca="false">AJ16+AJ17</f>
        <v>0</v>
      </c>
      <c r="AK168" s="64" t="n">
        <f aca="false">AK16+AK17</f>
        <v>0</v>
      </c>
      <c r="AL168" s="64" t="n">
        <f aca="false">AL16+AL17</f>
        <v>0</v>
      </c>
      <c r="AM168" s="64" t="n">
        <f aca="false">AM16+AM17</f>
        <v>0</v>
      </c>
      <c r="AN168" s="64" t="n">
        <f aca="false">AN16+AN17</f>
        <v>0</v>
      </c>
      <c r="AO168" s="64" t="n">
        <f aca="false">AO16+AO17</f>
        <v>0</v>
      </c>
      <c r="AP168" s="64"/>
      <c r="AQ168" s="47"/>
      <c r="AR168" s="47"/>
    </row>
    <row r="169" customFormat="false" ht="14.65" hidden="false" customHeight="false" outlineLevel="0" collapsed="false">
      <c r="A169" s="65" t="s">
        <v>285</v>
      </c>
      <c r="B169" s="66" t="s">
        <v>393</v>
      </c>
      <c r="C169" s="64" t="n">
        <f aca="false">C18+C19+C20+C22</f>
        <v>12055</v>
      </c>
      <c r="D169" s="64" t="n">
        <f aca="false">D18+D19+D20+D22</f>
        <v>14064</v>
      </c>
      <c r="E169" s="64" t="n">
        <f aca="false">E18+E19+E20+E22</f>
        <v>13713</v>
      </c>
      <c r="F169" s="64" t="n">
        <f aca="false">F18+F19+F20+F22</f>
        <v>12436</v>
      </c>
      <c r="G169" s="64" t="n">
        <f aca="false">G18+G19+G20+G22</f>
        <v>14206</v>
      </c>
      <c r="H169" s="64" t="n">
        <f aca="false">H18+H19+H20+H22</f>
        <v>15120</v>
      </c>
      <c r="I169" s="64" t="n">
        <f aca="false">I18+I19+I20+I22</f>
        <v>15078</v>
      </c>
      <c r="J169" s="64" t="n">
        <f aca="false">J18+J19+J20+J22</f>
        <v>14544</v>
      </c>
      <c r="K169" s="64" t="n">
        <f aca="false">K18+K19+K20+K22</f>
        <v>14544</v>
      </c>
      <c r="L169" s="64" t="n">
        <f aca="false">L18+L19+L20+L22</f>
        <v>14544</v>
      </c>
      <c r="M169" s="64" t="n">
        <f aca="false">M18+M19+M20+M22</f>
        <v>14544</v>
      </c>
      <c r="N169" s="64" t="n">
        <f aca="false">N18+N19+N20+N22</f>
        <v>14544</v>
      </c>
      <c r="O169" s="64" t="n">
        <f aca="false">O18+O19+O20+O22</f>
        <v>14700</v>
      </c>
      <c r="P169" s="64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65" t="s">
        <v>285</v>
      </c>
      <c r="AB169" s="66" t="s">
        <v>393</v>
      </c>
      <c r="AC169" s="64" t="n">
        <f aca="false">AC18+AC19+AC20+AC22</f>
        <v>0</v>
      </c>
      <c r="AD169" s="64" t="n">
        <f aca="false">AD18+AD19+AD20+AD22</f>
        <v>0</v>
      </c>
      <c r="AE169" s="64" t="n">
        <f aca="false">AE18+AE19+AE20+AE22</f>
        <v>0</v>
      </c>
      <c r="AF169" s="64" t="n">
        <f aca="false">AF18+AF19+AF20+AF22</f>
        <v>0</v>
      </c>
      <c r="AG169" s="64" t="n">
        <f aca="false">AG18+AG19+AG20+AG22</f>
        <v>0</v>
      </c>
      <c r="AH169" s="64" t="n">
        <f aca="false">AH18+AH19+AH20+AH22</f>
        <v>0</v>
      </c>
      <c r="AI169" s="64" t="n">
        <f aca="false">AI18+AI19+AI20+AI22</f>
        <v>0</v>
      </c>
      <c r="AJ169" s="64" t="n">
        <f aca="false">AJ18+AJ19+AJ20+AJ22</f>
        <v>0</v>
      </c>
      <c r="AK169" s="64" t="n">
        <f aca="false">AK18+AK19+AK20+AK22</f>
        <v>0</v>
      </c>
      <c r="AL169" s="64" t="n">
        <f aca="false">AL18+AL19+AL20+AL22</f>
        <v>0</v>
      </c>
      <c r="AM169" s="64" t="n">
        <f aca="false">AM18+AM19+AM20+AM22</f>
        <v>0</v>
      </c>
      <c r="AN169" s="64" t="n">
        <f aca="false">AN18+AN19+AN20+AN22</f>
        <v>0</v>
      </c>
      <c r="AO169" s="64" t="n">
        <f aca="false">AO18+AO19+AO20+AO22</f>
        <v>0</v>
      </c>
      <c r="AP169" s="64"/>
      <c r="AQ169" s="47"/>
      <c r="AR169" s="47"/>
    </row>
    <row r="170" customFormat="false" ht="14.65" hidden="false" customHeight="false" outlineLevel="0" collapsed="false">
      <c r="A170" s="65" t="s">
        <v>293</v>
      </c>
      <c r="B170" s="66" t="s">
        <v>394</v>
      </c>
      <c r="C170" s="64" t="n">
        <f aca="false">C32</f>
        <v>0</v>
      </c>
      <c r="D170" s="64" t="n">
        <f aca="false">D32</f>
        <v>128</v>
      </c>
      <c r="E170" s="64" t="n">
        <f aca="false">E32</f>
        <v>128</v>
      </c>
      <c r="F170" s="64" t="n">
        <f aca="false">F32</f>
        <v>128</v>
      </c>
      <c r="G170" s="64" t="n">
        <f aca="false">G32</f>
        <v>86</v>
      </c>
      <c r="H170" s="64" t="n">
        <f aca="false">H32</f>
        <v>10987</v>
      </c>
      <c r="I170" s="64" t="n">
        <f aca="false">I32</f>
        <v>15539</v>
      </c>
      <c r="J170" s="64" t="n">
        <f aca="false">J32</f>
        <v>14193</v>
      </c>
      <c r="K170" s="64" t="n">
        <f aca="false">K32</f>
        <v>14193</v>
      </c>
      <c r="L170" s="64" t="n">
        <f aca="false">L32</f>
        <v>14193</v>
      </c>
      <c r="M170" s="64" t="n">
        <f aca="false">M32</f>
        <v>14193</v>
      </c>
      <c r="N170" s="64" t="n">
        <f aca="false">N32</f>
        <v>14193</v>
      </c>
      <c r="O170" s="64" t="n">
        <f aca="false">O32</f>
        <v>14193</v>
      </c>
      <c r="P170" s="64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65" t="s">
        <v>293</v>
      </c>
      <c r="AB170" s="66" t="s">
        <v>394</v>
      </c>
      <c r="AC170" s="64" t="n">
        <f aca="false">AC32</f>
        <v>0</v>
      </c>
      <c r="AD170" s="64" t="n">
        <f aca="false">AD32</f>
        <v>0</v>
      </c>
      <c r="AE170" s="64" t="n">
        <f aca="false">AE32</f>
        <v>0</v>
      </c>
      <c r="AF170" s="64" t="n">
        <f aca="false">AF32</f>
        <v>0</v>
      </c>
      <c r="AG170" s="64" t="n">
        <f aca="false">AG32</f>
        <v>0</v>
      </c>
      <c r="AH170" s="64" t="n">
        <f aca="false">AH32</f>
        <v>0</v>
      </c>
      <c r="AI170" s="64" t="n">
        <f aca="false">AI32</f>
        <v>0</v>
      </c>
      <c r="AJ170" s="64" t="n">
        <f aca="false">AJ32</f>
        <v>0</v>
      </c>
      <c r="AK170" s="64" t="n">
        <f aca="false">AK32</f>
        <v>0</v>
      </c>
      <c r="AL170" s="64" t="n">
        <f aca="false">AL32</f>
        <v>0</v>
      </c>
      <c r="AM170" s="64" t="n">
        <f aca="false">AM32</f>
        <v>0</v>
      </c>
      <c r="AN170" s="64" t="n">
        <f aca="false">AN32</f>
        <v>0</v>
      </c>
      <c r="AO170" s="64" t="n">
        <f aca="false">AO32</f>
        <v>0</v>
      </c>
      <c r="AP170" s="64"/>
      <c r="AQ170" s="47"/>
      <c r="AR170" s="47"/>
    </row>
    <row r="171" customFormat="false" ht="14.65" hidden="false" customHeight="false" outlineLevel="0" collapsed="false">
      <c r="A171" s="65" t="s">
        <v>299</v>
      </c>
      <c r="B171" s="66" t="s">
        <v>395</v>
      </c>
      <c r="C171" s="64" t="n">
        <f aca="false">C38</f>
        <v>882743</v>
      </c>
      <c r="D171" s="64" t="n">
        <f aca="false">D38</f>
        <v>881636</v>
      </c>
      <c r="E171" s="64" t="n">
        <f aca="false">E38</f>
        <v>879479</v>
      </c>
      <c r="F171" s="64" t="n">
        <f aca="false">F38</f>
        <v>878728</v>
      </c>
      <c r="G171" s="64" t="n">
        <f aca="false">G38</f>
        <v>879881</v>
      </c>
      <c r="H171" s="64" t="n">
        <f aca="false">H38</f>
        <v>894312</v>
      </c>
      <c r="I171" s="64" t="n">
        <f aca="false">I38</f>
        <v>896096</v>
      </c>
      <c r="J171" s="64" t="n">
        <f aca="false">J38</f>
        <v>895589</v>
      </c>
      <c r="K171" s="64" t="n">
        <f aca="false">K38</f>
        <v>895804</v>
      </c>
      <c r="L171" s="64" t="n">
        <f aca="false">L38</f>
        <v>907161</v>
      </c>
      <c r="M171" s="64" t="n">
        <f aca="false">M38</f>
        <v>911192</v>
      </c>
      <c r="N171" s="64" t="n">
        <f aca="false">N38</f>
        <v>921259</v>
      </c>
      <c r="O171" s="64" t="n">
        <f aca="false">O38</f>
        <v>931022</v>
      </c>
      <c r="P171" s="64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65" t="s">
        <v>299</v>
      </c>
      <c r="AB171" s="66" t="s">
        <v>395</v>
      </c>
      <c r="AC171" s="64" t="n">
        <f aca="false">AC38</f>
        <v>300169</v>
      </c>
      <c r="AD171" s="64" t="n">
        <f aca="false">AD38</f>
        <v>299669</v>
      </c>
      <c r="AE171" s="64" t="n">
        <f aca="false">AE38</f>
        <v>299169</v>
      </c>
      <c r="AF171" s="64" t="n">
        <f aca="false">AF38</f>
        <v>298669</v>
      </c>
      <c r="AG171" s="64" t="n">
        <f aca="false">AG38</f>
        <v>298169</v>
      </c>
      <c r="AH171" s="64" t="n">
        <f aca="false">AH38</f>
        <v>297669</v>
      </c>
      <c r="AI171" s="64" t="n">
        <f aca="false">AI38</f>
        <v>297169</v>
      </c>
      <c r="AJ171" s="64" t="n">
        <f aca="false">AJ38</f>
        <v>296669</v>
      </c>
      <c r="AK171" s="64" t="n">
        <f aca="false">AK38</f>
        <v>296169</v>
      </c>
      <c r="AL171" s="64" t="n">
        <f aca="false">AL38</f>
        <v>295669</v>
      </c>
      <c r="AM171" s="64" t="n">
        <f aca="false">AM38</f>
        <v>295169</v>
      </c>
      <c r="AN171" s="64" t="n">
        <f aca="false">AN38</f>
        <v>294669</v>
      </c>
      <c r="AO171" s="64" t="n">
        <f aca="false">AO38</f>
        <v>294169</v>
      </c>
      <c r="AP171" s="64"/>
      <c r="AQ171" s="47"/>
      <c r="AR171" s="47"/>
    </row>
    <row r="172" customFormat="false" ht="14.65" hidden="false" customHeight="false" outlineLevel="0" collapsed="false">
      <c r="A172" s="47"/>
      <c r="B172" s="66" t="s">
        <v>396</v>
      </c>
      <c r="C172" s="67" t="n">
        <v>0</v>
      </c>
      <c r="D172" s="67" t="n">
        <v>0</v>
      </c>
      <c r="E172" s="67" t="n">
        <v>0</v>
      </c>
      <c r="F172" s="67" t="n">
        <v>0</v>
      </c>
      <c r="G172" s="67" t="n">
        <v>0</v>
      </c>
      <c r="H172" s="67" t="n">
        <v>0</v>
      </c>
      <c r="I172" s="67" t="n">
        <v>0</v>
      </c>
      <c r="J172" s="67" t="n">
        <v>0</v>
      </c>
      <c r="K172" s="67" t="n">
        <v>0</v>
      </c>
      <c r="L172" s="67" t="n">
        <v>0</v>
      </c>
      <c r="M172" s="67" t="n">
        <v>0</v>
      </c>
      <c r="N172" s="67" t="n">
        <v>0</v>
      </c>
      <c r="O172" s="67" t="n">
        <v>0</v>
      </c>
      <c r="P172" s="64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66" t="s">
        <v>396</v>
      </c>
      <c r="AC172" s="67" t="n">
        <v>0</v>
      </c>
      <c r="AD172" s="67" t="n">
        <v>0</v>
      </c>
      <c r="AE172" s="67" t="n">
        <v>0</v>
      </c>
      <c r="AF172" s="67" t="n">
        <v>0</v>
      </c>
      <c r="AG172" s="67" t="n">
        <v>0</v>
      </c>
      <c r="AH172" s="67" t="n">
        <v>0</v>
      </c>
      <c r="AI172" s="67" t="n">
        <v>0</v>
      </c>
      <c r="AJ172" s="67" t="n">
        <v>0</v>
      </c>
      <c r="AK172" s="67" t="n">
        <v>0</v>
      </c>
      <c r="AL172" s="67" t="n">
        <v>0</v>
      </c>
      <c r="AM172" s="67" t="n">
        <v>0</v>
      </c>
      <c r="AN172" s="67" t="n">
        <v>0</v>
      </c>
      <c r="AO172" s="67" t="n">
        <v>0</v>
      </c>
      <c r="AP172" s="64"/>
      <c r="AQ172" s="47"/>
      <c r="AR172" s="47"/>
    </row>
    <row r="173" customFormat="false" ht="14.65" hidden="false" customHeight="false" outlineLevel="0" collapsed="false">
      <c r="A173" s="65" t="s">
        <v>303</v>
      </c>
      <c r="B173" s="66" t="s">
        <v>397</v>
      </c>
      <c r="C173" s="64" t="n">
        <f aca="false">C43</f>
        <v>79054</v>
      </c>
      <c r="D173" s="64" t="n">
        <f aca="false">D43</f>
        <v>78591</v>
      </c>
      <c r="E173" s="64" t="n">
        <f aca="false">E43</f>
        <v>78162</v>
      </c>
      <c r="F173" s="64" t="n">
        <f aca="false">F43</f>
        <v>77693</v>
      </c>
      <c r="G173" s="64" t="n">
        <f aca="false">G43</f>
        <v>77224</v>
      </c>
      <c r="H173" s="64" t="n">
        <f aca="false">H43</f>
        <v>76755</v>
      </c>
      <c r="I173" s="64" t="n">
        <f aca="false">I43</f>
        <v>76288</v>
      </c>
      <c r="J173" s="64" t="n">
        <f aca="false">J43</f>
        <v>75840</v>
      </c>
      <c r="K173" s="64" t="n">
        <f aca="false">K43</f>
        <v>75377</v>
      </c>
      <c r="L173" s="64" t="n">
        <f aca="false">L43</f>
        <v>74916</v>
      </c>
      <c r="M173" s="64" t="n">
        <f aca="false">M43</f>
        <v>74448</v>
      </c>
      <c r="N173" s="64" t="n">
        <f aca="false">N43</f>
        <v>73986</v>
      </c>
      <c r="O173" s="64" t="n">
        <f aca="false">O43</f>
        <v>74022</v>
      </c>
      <c r="P173" s="64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65" t="s">
        <v>303</v>
      </c>
      <c r="AB173" s="66" t="s">
        <v>397</v>
      </c>
      <c r="AC173" s="64" t="n">
        <f aca="false">AC43</f>
        <v>0</v>
      </c>
      <c r="AD173" s="64" t="n">
        <f aca="false">AD43</f>
        <v>0</v>
      </c>
      <c r="AE173" s="64" t="n">
        <f aca="false">AE43</f>
        <v>0</v>
      </c>
      <c r="AF173" s="64" t="n">
        <f aca="false">AF43</f>
        <v>0</v>
      </c>
      <c r="AG173" s="64" t="n">
        <f aca="false">AG43</f>
        <v>0</v>
      </c>
      <c r="AH173" s="64" t="n">
        <f aca="false">AH43</f>
        <v>0</v>
      </c>
      <c r="AI173" s="64" t="n">
        <f aca="false">AI43</f>
        <v>0</v>
      </c>
      <c r="AJ173" s="64" t="n">
        <f aca="false">AJ43</f>
        <v>0</v>
      </c>
      <c r="AK173" s="64" t="n">
        <f aca="false">AK43</f>
        <v>0</v>
      </c>
      <c r="AL173" s="64" t="n">
        <f aca="false">AL43</f>
        <v>0</v>
      </c>
      <c r="AM173" s="64" t="n">
        <f aca="false">AM43</f>
        <v>0</v>
      </c>
      <c r="AN173" s="64" t="n">
        <f aca="false">AN43</f>
        <v>0</v>
      </c>
      <c r="AO173" s="64" t="n">
        <f aca="false">AO43</f>
        <v>0</v>
      </c>
      <c r="AP173" s="64"/>
      <c r="AQ173" s="47"/>
      <c r="AR173" s="47"/>
    </row>
    <row r="174" customFormat="false" ht="14.65" hidden="false" customHeight="false" outlineLevel="0" collapsed="false">
      <c r="A174" s="65" t="s">
        <v>289</v>
      </c>
      <c r="B174" s="66" t="s">
        <v>398</v>
      </c>
      <c r="C174" s="64" t="n">
        <f aca="false">C21+C42</f>
        <v>6553</v>
      </c>
      <c r="D174" s="64" t="n">
        <f aca="false">D21+D42</f>
        <v>6456</v>
      </c>
      <c r="E174" s="64" t="n">
        <f aca="false">E21+E42</f>
        <v>6359</v>
      </c>
      <c r="F174" s="64" t="n">
        <f aca="false">F21+F42</f>
        <v>5681</v>
      </c>
      <c r="G174" s="64" t="n">
        <f aca="false">G21+G42</f>
        <v>5681</v>
      </c>
      <c r="H174" s="64" t="n">
        <f aca="false">H21+H42</f>
        <v>5681</v>
      </c>
      <c r="I174" s="64" t="n">
        <f aca="false">I21+I42</f>
        <v>5681</v>
      </c>
      <c r="J174" s="64" t="n">
        <f aca="false">J21+J42</f>
        <v>5660</v>
      </c>
      <c r="K174" s="64" t="n">
        <f aca="false">K21+K42</f>
        <v>5660</v>
      </c>
      <c r="L174" s="64" t="n">
        <f aca="false">L21+L42</f>
        <v>6860</v>
      </c>
      <c r="M174" s="64" t="n">
        <f aca="false">M21+M42</f>
        <v>6760</v>
      </c>
      <c r="N174" s="64" t="n">
        <f aca="false">N21+N42</f>
        <v>6660</v>
      </c>
      <c r="O174" s="64" t="n">
        <f aca="false">O21+O42</f>
        <v>6560</v>
      </c>
      <c r="P174" s="64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65" t="s">
        <v>289</v>
      </c>
      <c r="AB174" s="66" t="s">
        <v>398</v>
      </c>
      <c r="AC174" s="64" t="n">
        <f aca="false">AC21+AC42</f>
        <v>0</v>
      </c>
      <c r="AD174" s="64" t="n">
        <f aca="false">AD21+AD42</f>
        <v>0</v>
      </c>
      <c r="AE174" s="64" t="n">
        <f aca="false">AE21+AE42</f>
        <v>0</v>
      </c>
      <c r="AF174" s="64" t="n">
        <f aca="false">AF21+AF42</f>
        <v>0</v>
      </c>
      <c r="AG174" s="64" t="n">
        <f aca="false">AG21+AG42</f>
        <v>0</v>
      </c>
      <c r="AH174" s="64" t="n">
        <f aca="false">AH21+AH42</f>
        <v>0</v>
      </c>
      <c r="AI174" s="64" t="n">
        <f aca="false">AI21+AI42</f>
        <v>0</v>
      </c>
      <c r="AJ174" s="64" t="n">
        <f aca="false">AJ21+AJ42</f>
        <v>0</v>
      </c>
      <c r="AK174" s="64" t="n">
        <f aca="false">AK21+AK42</f>
        <v>0</v>
      </c>
      <c r="AL174" s="64" t="n">
        <f aca="false">AL21+AL42</f>
        <v>0</v>
      </c>
      <c r="AM174" s="64" t="n">
        <f aca="false">AM21+AM42</f>
        <v>0</v>
      </c>
      <c r="AN174" s="64" t="n">
        <f aca="false">AN21+AN42</f>
        <v>0</v>
      </c>
      <c r="AO174" s="64" t="n">
        <f aca="false">AO21+AO42</f>
        <v>0</v>
      </c>
      <c r="AP174" s="64"/>
      <c r="AQ174" s="47"/>
      <c r="AR174" s="47"/>
    </row>
    <row r="175" customFormat="false" ht="14.65" hidden="false" customHeight="false" outlineLevel="0" collapsed="false">
      <c r="A175" s="47"/>
      <c r="B175" s="66" t="s">
        <v>399</v>
      </c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4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66" t="s">
        <v>399</v>
      </c>
      <c r="AC175" s="67" t="n">
        <v>0</v>
      </c>
      <c r="AD175" s="67" t="n">
        <v>0</v>
      </c>
      <c r="AE175" s="67" t="n">
        <v>0</v>
      </c>
      <c r="AF175" s="67" t="n">
        <v>0</v>
      </c>
      <c r="AG175" s="67" t="n">
        <v>0</v>
      </c>
      <c r="AH175" s="67" t="n">
        <v>0</v>
      </c>
      <c r="AI175" s="67" t="n">
        <v>0</v>
      </c>
      <c r="AJ175" s="67" t="n">
        <v>0</v>
      </c>
      <c r="AK175" s="67" t="n">
        <v>0</v>
      </c>
      <c r="AL175" s="67" t="n">
        <v>0</v>
      </c>
      <c r="AM175" s="67" t="n">
        <v>0</v>
      </c>
      <c r="AN175" s="67" t="n">
        <v>0</v>
      </c>
      <c r="AO175" s="67" t="n">
        <v>0</v>
      </c>
      <c r="AP175" s="64"/>
      <c r="AQ175" s="47"/>
      <c r="AR175" s="47"/>
    </row>
    <row r="176" customFormat="false" ht="14.65" hidden="false" customHeight="false" outlineLevel="0" collapsed="false">
      <c r="A176" s="65" t="s">
        <v>295</v>
      </c>
      <c r="B176" s="66" t="s">
        <v>400</v>
      </c>
      <c r="C176" s="70" t="n">
        <f aca="false">C29+C44</f>
        <v>2254</v>
      </c>
      <c r="D176" s="70" t="n">
        <f aca="false">D29+D44</f>
        <v>2333</v>
      </c>
      <c r="E176" s="70" t="n">
        <f aca="false">E29+E44</f>
        <v>3056</v>
      </c>
      <c r="F176" s="70" t="n">
        <f aca="false">F29+F44</f>
        <v>2688</v>
      </c>
      <c r="G176" s="70" t="n">
        <f aca="false">G29+G44</f>
        <v>2914</v>
      </c>
      <c r="H176" s="70" t="n">
        <f aca="false">H29+H44</f>
        <v>14388</v>
      </c>
      <c r="I176" s="70" t="n">
        <f aca="false">I29+I44</f>
        <v>19325</v>
      </c>
      <c r="J176" s="70" t="n">
        <f aca="false">J29+J44</f>
        <v>18219</v>
      </c>
      <c r="K176" s="70" t="n">
        <f aca="false">K29+K44</f>
        <v>18206</v>
      </c>
      <c r="L176" s="70" t="n">
        <f aca="false">L29+L44</f>
        <v>18194</v>
      </c>
      <c r="M176" s="70" t="n">
        <f aca="false">M29+M44</f>
        <v>18181</v>
      </c>
      <c r="N176" s="70" t="n">
        <f aca="false">N29+N44</f>
        <v>18169</v>
      </c>
      <c r="O176" s="70" t="n">
        <f aca="false">O29+O44</f>
        <v>18156</v>
      </c>
      <c r="P176" s="70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65" t="s">
        <v>295</v>
      </c>
      <c r="AB176" s="66" t="s">
        <v>400</v>
      </c>
      <c r="AC176" s="70" t="n">
        <f aca="false">AC29+AC44</f>
        <v>0</v>
      </c>
      <c r="AD176" s="70" t="n">
        <f aca="false">AD29+AD44</f>
        <v>0</v>
      </c>
      <c r="AE176" s="70" t="n">
        <f aca="false">AE29+AE44</f>
        <v>0</v>
      </c>
      <c r="AF176" s="70" t="n">
        <f aca="false">AF29+AF44</f>
        <v>0</v>
      </c>
      <c r="AG176" s="70" t="n">
        <f aca="false">AG29+AG44</f>
        <v>0</v>
      </c>
      <c r="AH176" s="70" t="n">
        <f aca="false">AH29+AH44</f>
        <v>0</v>
      </c>
      <c r="AI176" s="70" t="n">
        <f aca="false">AI29+AI44</f>
        <v>0</v>
      </c>
      <c r="AJ176" s="70" t="n">
        <f aca="false">AJ29+AJ44</f>
        <v>0</v>
      </c>
      <c r="AK176" s="70" t="n">
        <f aca="false">AK29+AK44</f>
        <v>0</v>
      </c>
      <c r="AL176" s="70" t="n">
        <f aca="false">AL29+AL44</f>
        <v>0</v>
      </c>
      <c r="AM176" s="70" t="n">
        <f aca="false">AM29+AM44</f>
        <v>0</v>
      </c>
      <c r="AN176" s="70" t="n">
        <f aca="false">AN29+AN44</f>
        <v>0</v>
      </c>
      <c r="AO176" s="70" t="n">
        <f aca="false">AO29+AO44</f>
        <v>0</v>
      </c>
      <c r="AP176" s="70"/>
      <c r="AQ176" s="47"/>
      <c r="AR176" s="47"/>
    </row>
    <row r="177" customFormat="false" ht="3.95" hidden="false" customHeight="true" outlineLevel="0" collapsed="false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</row>
    <row r="178" customFormat="false" ht="14.65" hidden="false" customHeight="false" outlineLevel="0" collapsed="false">
      <c r="A178" s="44"/>
      <c r="B178" s="63" t="s">
        <v>401</v>
      </c>
      <c r="C178" s="75" t="n">
        <f aca="false">SUM(C165:C177)</f>
        <v>1519334</v>
      </c>
      <c r="D178" s="75" t="n">
        <f aca="false">SUM(D165:D177)</f>
        <v>1535786</v>
      </c>
      <c r="E178" s="75" t="n">
        <f aca="false">SUM(E165:E177)</f>
        <v>1552169</v>
      </c>
      <c r="F178" s="75" t="n">
        <f aca="false">SUM(F165:F177)</f>
        <v>1582732</v>
      </c>
      <c r="G178" s="75" t="n">
        <f aca="false">SUM(G165:G177)</f>
        <v>1592617</v>
      </c>
      <c r="H178" s="75" t="n">
        <f aca="false">SUM(H165:H177)</f>
        <v>1628325</v>
      </c>
      <c r="I178" s="75" t="n">
        <f aca="false">SUM(I165:I177)</f>
        <v>1505305</v>
      </c>
      <c r="J178" s="75" t="n">
        <f aca="false">SUM(J165:J177)</f>
        <v>1515047</v>
      </c>
      <c r="K178" s="75" t="n">
        <f aca="false">SUM(K165:K177)</f>
        <v>1533441</v>
      </c>
      <c r="L178" s="75" t="n">
        <f aca="false">SUM(L165:L177)</f>
        <v>1546863</v>
      </c>
      <c r="M178" s="75" t="n">
        <f aca="false">SUM(M165:M177)</f>
        <v>1556899</v>
      </c>
      <c r="N178" s="75" t="n">
        <f aca="false">SUM(N165:N177)</f>
        <v>1565555</v>
      </c>
      <c r="O178" s="75" t="n">
        <f aca="false">SUM(O165:O177)</f>
        <v>1575584</v>
      </c>
      <c r="P178" s="70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4"/>
      <c r="AB178" s="63" t="s">
        <v>401</v>
      </c>
      <c r="AC178" s="75" t="n">
        <f aca="false">SUM(AC165:AC177)</f>
        <v>300169</v>
      </c>
      <c r="AD178" s="75" t="n">
        <f aca="false">SUM(AD165:AD177)</f>
        <v>299669</v>
      </c>
      <c r="AE178" s="75" t="n">
        <f aca="false">SUM(AE165:AE177)</f>
        <v>299169</v>
      </c>
      <c r="AF178" s="75" t="n">
        <f aca="false">SUM(AF165:AF177)</f>
        <v>298669</v>
      </c>
      <c r="AG178" s="75" t="n">
        <f aca="false">SUM(AG165:AG177)</f>
        <v>298169</v>
      </c>
      <c r="AH178" s="75" t="n">
        <f aca="false">SUM(AH165:AH177)</f>
        <v>297669</v>
      </c>
      <c r="AI178" s="75" t="n">
        <f aca="false">SUM(AI165:AI177)</f>
        <v>297169</v>
      </c>
      <c r="AJ178" s="75" t="n">
        <f aca="false">SUM(AJ165:AJ177)</f>
        <v>296669</v>
      </c>
      <c r="AK178" s="75" t="n">
        <f aca="false">SUM(AK165:AK177)</f>
        <v>296169</v>
      </c>
      <c r="AL178" s="75" t="n">
        <f aca="false">SUM(AL165:AL177)</f>
        <v>295669</v>
      </c>
      <c r="AM178" s="75" t="n">
        <f aca="false">SUM(AM165:AM177)</f>
        <v>295169</v>
      </c>
      <c r="AN178" s="75" t="n">
        <f aca="false">SUM(AN165:AN177)</f>
        <v>294669</v>
      </c>
      <c r="AO178" s="75" t="n">
        <f aca="false">SUM(AO165:AO177)</f>
        <v>294169</v>
      </c>
      <c r="AP178" s="70"/>
      <c r="AQ178" s="47"/>
      <c r="AR178" s="47"/>
    </row>
    <row r="179" customFormat="false" ht="14.65" hidden="false" customHeight="false" outlineLevel="0" collapsed="false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</row>
    <row r="180" customFormat="false" ht="14.65" hidden="false" customHeight="false" outlineLevel="0" collapsed="false">
      <c r="A180" s="44"/>
      <c r="B180" s="44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4"/>
      <c r="AB180" s="44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</row>
    <row r="181" customFormat="false" ht="14.65" hidden="false" customHeight="false" outlineLevel="0" collapsed="false">
      <c r="A181" s="44"/>
      <c r="B181" s="63" t="s">
        <v>402</v>
      </c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4"/>
      <c r="AB181" s="63" t="s">
        <v>402</v>
      </c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47"/>
      <c r="AQ181" s="47"/>
      <c r="AR181" s="47"/>
    </row>
    <row r="182" customFormat="false" ht="14.65" hidden="false" customHeight="false" outlineLevel="0" collapsed="false">
      <c r="A182" s="65" t="s">
        <v>308</v>
      </c>
      <c r="B182" s="66" t="s">
        <v>403</v>
      </c>
      <c r="C182" s="64" t="n">
        <f aca="false">C56+C15+C57</f>
        <v>-139200</v>
      </c>
      <c r="D182" s="64" t="n">
        <f aca="false">D56+D15+D57</f>
        <v>-142986</v>
      </c>
      <c r="E182" s="64" t="n">
        <f aca="false">E56+E15+E57</f>
        <v>-151808</v>
      </c>
      <c r="F182" s="64" t="n">
        <f aca="false">F56+F15+F57</f>
        <v>-145484</v>
      </c>
      <c r="G182" s="64" t="n">
        <f aca="false">G56+G15+G57</f>
        <v>-174863</v>
      </c>
      <c r="H182" s="64" t="n">
        <f aca="false">H56+H15+H57</f>
        <v>-180649</v>
      </c>
      <c r="I182" s="64" t="n">
        <f aca="false">I56+I15+I57</f>
        <v>-183823</v>
      </c>
      <c r="J182" s="64" t="n">
        <f aca="false">J56+J15+J57</f>
        <v>-192063</v>
      </c>
      <c r="K182" s="64" t="n">
        <f aca="false">K56+K15+K57</f>
        <v>-194892</v>
      </c>
      <c r="L182" s="64" t="n">
        <f aca="false">L56+L15+L57</f>
        <v>-195598</v>
      </c>
      <c r="M182" s="64" t="n">
        <f aca="false">M56+M15+M57</f>
        <v>-197287</v>
      </c>
      <c r="N182" s="64" t="n">
        <f aca="false">N56+N15+N57</f>
        <v>-201395</v>
      </c>
      <c r="O182" s="64" t="n">
        <f aca="false">O56+O15+O57</f>
        <v>-207829</v>
      </c>
      <c r="P182" s="64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65" t="s">
        <v>308</v>
      </c>
      <c r="AB182" s="66" t="s">
        <v>403</v>
      </c>
      <c r="AC182" s="64" t="e">
        <f aca="false">AC56+#REF!+AC57</f>
        <v>#REF!</v>
      </c>
      <c r="AD182" s="64" t="e">
        <f aca="false">AD56+#REF!+AD57</f>
        <v>#REF!</v>
      </c>
      <c r="AE182" s="64" t="e">
        <f aca="false">AE56+#REF!+AE57</f>
        <v>#REF!</v>
      </c>
      <c r="AF182" s="64" t="e">
        <f aca="false">AF56+#REF!+AF57</f>
        <v>#REF!</v>
      </c>
      <c r="AG182" s="64" t="e">
        <f aca="false">AG56+#REF!+AG57</f>
        <v>#REF!</v>
      </c>
      <c r="AH182" s="64" t="e">
        <f aca="false">AH56+#REF!+AH57</f>
        <v>#REF!</v>
      </c>
      <c r="AI182" s="64" t="e">
        <f aca="false">AI56+#REF!+AI57</f>
        <v>#REF!</v>
      </c>
      <c r="AJ182" s="64" t="e">
        <f aca="false">AJ56+#REF!+AJ57</f>
        <v>#REF!</v>
      </c>
      <c r="AK182" s="64" t="e">
        <f aca="false">AK56+#REF!+AK57</f>
        <v>#REF!</v>
      </c>
      <c r="AL182" s="64" t="e">
        <f aca="false">AL56+#REF!+AL57</f>
        <v>#REF!</v>
      </c>
      <c r="AM182" s="64" t="e">
        <f aca="false">AM56+#REF!+AM57</f>
        <v>#REF!</v>
      </c>
      <c r="AN182" s="64" t="e">
        <f aca="false">AN56+#REF!+AN57</f>
        <v>#REF!</v>
      </c>
      <c r="AO182" s="64" t="e">
        <f aca="false">AO56+#REF!+AO57</f>
        <v>#REF!</v>
      </c>
      <c r="AP182" s="64"/>
      <c r="AQ182" s="47"/>
      <c r="AR182" s="47"/>
    </row>
    <row r="183" customFormat="false" ht="14.65" hidden="false" customHeight="false" outlineLevel="0" collapsed="false">
      <c r="A183" s="65" t="s">
        <v>311</v>
      </c>
      <c r="B183" s="66" t="s">
        <v>404</v>
      </c>
      <c r="C183" s="64" t="n">
        <f aca="false">C59+C60+C62</f>
        <v>16469</v>
      </c>
      <c r="D183" s="64" t="n">
        <f aca="false">D59+D60+D62</f>
        <v>18018</v>
      </c>
      <c r="E183" s="64" t="n">
        <f aca="false">E59+E60+E62</f>
        <v>18236</v>
      </c>
      <c r="F183" s="64" t="n">
        <f aca="false">F59+F60+F62</f>
        <v>22281</v>
      </c>
      <c r="G183" s="64" t="n">
        <f aca="false">G59+G60+G62</f>
        <v>16981</v>
      </c>
      <c r="H183" s="64" t="n">
        <f aca="false">H59+H60+H62</f>
        <v>17979</v>
      </c>
      <c r="I183" s="64" t="n">
        <f aca="false">I59+I60+I62</f>
        <v>17912</v>
      </c>
      <c r="J183" s="64" t="n">
        <f aca="false">J59+J60+J62</f>
        <v>19980</v>
      </c>
      <c r="K183" s="64" t="n">
        <f aca="false">K59+K60+K62</f>
        <v>20708</v>
      </c>
      <c r="L183" s="64" t="n">
        <f aca="false">L59+L60+L62</f>
        <v>21652</v>
      </c>
      <c r="M183" s="64" t="n">
        <f aca="false">M59+M60+M62</f>
        <v>19268</v>
      </c>
      <c r="N183" s="64" t="n">
        <f aca="false">N59+N60+N62</f>
        <v>19302</v>
      </c>
      <c r="O183" s="64" t="n">
        <f aca="false">O59+O60+O62</f>
        <v>19010</v>
      </c>
      <c r="P183" s="64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65" t="s">
        <v>311</v>
      </c>
      <c r="AB183" s="66" t="s">
        <v>404</v>
      </c>
      <c r="AC183" s="64" t="n">
        <f aca="false">AC59+AC60+AC62</f>
        <v>0</v>
      </c>
      <c r="AD183" s="64" t="n">
        <f aca="false">AD59+AD60+AD62</f>
        <v>0</v>
      </c>
      <c r="AE183" s="64" t="n">
        <f aca="false">AE59+AE60+AE62</f>
        <v>0</v>
      </c>
      <c r="AF183" s="64" t="n">
        <f aca="false">AF59+AF60+AF62</f>
        <v>0</v>
      </c>
      <c r="AG183" s="64" t="n">
        <f aca="false">AG59+AG60+AG62</f>
        <v>0</v>
      </c>
      <c r="AH183" s="64" t="n">
        <f aca="false">AH59+AH60+AH62</f>
        <v>0</v>
      </c>
      <c r="AI183" s="64" t="n">
        <f aca="false">AI59+AI60+AI62</f>
        <v>0</v>
      </c>
      <c r="AJ183" s="64" t="n">
        <f aca="false">AJ59+AJ60+AJ62</f>
        <v>0</v>
      </c>
      <c r="AK183" s="64" t="n">
        <f aca="false">AK59+AK60+AK62</f>
        <v>0</v>
      </c>
      <c r="AL183" s="64" t="n">
        <f aca="false">AL59+AL60+AL62</f>
        <v>0</v>
      </c>
      <c r="AM183" s="64" t="n">
        <f aca="false">AM59+AM60+AM62</f>
        <v>0</v>
      </c>
      <c r="AN183" s="64" t="n">
        <f aca="false">AN59+AN60+AN62</f>
        <v>0</v>
      </c>
      <c r="AO183" s="64" t="n">
        <f aca="false">AO59+AO60+AO62</f>
        <v>0</v>
      </c>
      <c r="AP183" s="64"/>
      <c r="AQ183" s="47"/>
      <c r="AR183" s="47"/>
    </row>
    <row r="184" customFormat="false" ht="14.65" hidden="false" customHeight="false" outlineLevel="0" collapsed="false">
      <c r="A184" s="47"/>
      <c r="B184" s="66" t="s">
        <v>405</v>
      </c>
      <c r="C184" s="67" t="n">
        <v>0</v>
      </c>
      <c r="D184" s="67" t="n">
        <v>0</v>
      </c>
      <c r="E184" s="67" t="n">
        <v>0</v>
      </c>
      <c r="F184" s="67" t="n">
        <v>0</v>
      </c>
      <c r="G184" s="67" t="n">
        <v>0</v>
      </c>
      <c r="H184" s="67" t="n">
        <v>0</v>
      </c>
      <c r="I184" s="67" t="n">
        <v>0</v>
      </c>
      <c r="J184" s="67" t="n">
        <v>0</v>
      </c>
      <c r="K184" s="67" t="n">
        <v>0</v>
      </c>
      <c r="L184" s="67" t="n">
        <v>0</v>
      </c>
      <c r="M184" s="67" t="n">
        <v>0</v>
      </c>
      <c r="N184" s="67" t="n">
        <v>0</v>
      </c>
      <c r="O184" s="67" t="n">
        <v>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66" t="s">
        <v>405</v>
      </c>
      <c r="AC184" s="67" t="n">
        <v>0</v>
      </c>
      <c r="AD184" s="67" t="n">
        <v>0</v>
      </c>
      <c r="AE184" s="67" t="n">
        <v>0</v>
      </c>
      <c r="AF184" s="67" t="n">
        <v>0</v>
      </c>
      <c r="AG184" s="67" t="n">
        <v>0</v>
      </c>
      <c r="AH184" s="67" t="n">
        <v>0</v>
      </c>
      <c r="AI184" s="67" t="n">
        <v>0</v>
      </c>
      <c r="AJ184" s="67" t="n">
        <v>0</v>
      </c>
      <c r="AK184" s="67" t="n">
        <v>0</v>
      </c>
      <c r="AL184" s="67" t="n">
        <v>0</v>
      </c>
      <c r="AM184" s="67" t="n">
        <v>0</v>
      </c>
      <c r="AN184" s="67" t="n">
        <v>0</v>
      </c>
      <c r="AO184" s="67" t="n">
        <v>0</v>
      </c>
      <c r="AP184" s="47"/>
      <c r="AQ184" s="47"/>
      <c r="AR184" s="47"/>
    </row>
    <row r="185" customFormat="false" ht="14.65" hidden="false" customHeight="false" outlineLevel="0" collapsed="false">
      <c r="A185" s="65" t="s">
        <v>315</v>
      </c>
      <c r="B185" s="66" t="s">
        <v>406</v>
      </c>
      <c r="C185" s="64" t="n">
        <f aca="false">C61</f>
        <v>2129</v>
      </c>
      <c r="D185" s="64" t="n">
        <f aca="false">D61</f>
        <v>2129</v>
      </c>
      <c r="E185" s="64" t="n">
        <f aca="false">E61</f>
        <v>2129</v>
      </c>
      <c r="F185" s="64" t="n">
        <f aca="false">F61</f>
        <v>2129</v>
      </c>
      <c r="G185" s="64" t="n">
        <f aca="false">G61</f>
        <v>879</v>
      </c>
      <c r="H185" s="64" t="n">
        <f aca="false">H61</f>
        <v>6632</v>
      </c>
      <c r="I185" s="64" t="n">
        <f aca="false">I61</f>
        <v>2129</v>
      </c>
      <c r="J185" s="64" t="n">
        <f aca="false">J61</f>
        <v>2119</v>
      </c>
      <c r="K185" s="64" t="n">
        <f aca="false">K61</f>
        <v>2119</v>
      </c>
      <c r="L185" s="64" t="n">
        <f aca="false">L61</f>
        <v>2119</v>
      </c>
      <c r="M185" s="64" t="n">
        <f aca="false">M61</f>
        <v>2119</v>
      </c>
      <c r="N185" s="64" t="n">
        <f aca="false">N61</f>
        <v>2119</v>
      </c>
      <c r="O185" s="64" t="n">
        <f aca="false">O61</f>
        <v>2119</v>
      </c>
      <c r="P185" s="64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65" t="s">
        <v>315</v>
      </c>
      <c r="AB185" s="66" t="s">
        <v>406</v>
      </c>
      <c r="AC185" s="64" t="n">
        <f aca="false">AC61</f>
        <v>0</v>
      </c>
      <c r="AD185" s="64" t="n">
        <f aca="false">AD61</f>
        <v>0</v>
      </c>
      <c r="AE185" s="64" t="n">
        <f aca="false">AE61</f>
        <v>0</v>
      </c>
      <c r="AF185" s="64" t="n">
        <f aca="false">AF61</f>
        <v>0</v>
      </c>
      <c r="AG185" s="64" t="n">
        <f aca="false">AG61</f>
        <v>0</v>
      </c>
      <c r="AH185" s="64" t="n">
        <f aca="false">AH61</f>
        <v>0</v>
      </c>
      <c r="AI185" s="64" t="n">
        <f aca="false">AI61</f>
        <v>0</v>
      </c>
      <c r="AJ185" s="64" t="n">
        <f aca="false">AJ61</f>
        <v>0</v>
      </c>
      <c r="AK185" s="64" t="n">
        <f aca="false">AK61</f>
        <v>0</v>
      </c>
      <c r="AL185" s="64" t="n">
        <f aca="false">AL61</f>
        <v>0</v>
      </c>
      <c r="AM185" s="64" t="n">
        <f aca="false">AM61</f>
        <v>0</v>
      </c>
      <c r="AN185" s="64" t="n">
        <f aca="false">AN61</f>
        <v>0</v>
      </c>
      <c r="AO185" s="64" t="n">
        <f aca="false">AO61</f>
        <v>0</v>
      </c>
      <c r="AP185" s="64"/>
      <c r="AQ185" s="47"/>
      <c r="AR185" s="47"/>
    </row>
    <row r="186" customFormat="false" ht="14.65" hidden="false" customHeight="false" outlineLevel="0" collapsed="false">
      <c r="A186" s="65" t="s">
        <v>323</v>
      </c>
      <c r="B186" s="66" t="s">
        <v>407</v>
      </c>
      <c r="C186" s="64" t="n">
        <f aca="false">C69</f>
        <v>238702</v>
      </c>
      <c r="D186" s="64" t="n">
        <f aca="false">D69</f>
        <v>238852</v>
      </c>
      <c r="E186" s="64" t="n">
        <f aca="false">E69</f>
        <v>238944</v>
      </c>
      <c r="F186" s="64" t="n">
        <f aca="false">F69</f>
        <v>220220</v>
      </c>
      <c r="G186" s="64" t="n">
        <f aca="false">G69</f>
        <v>226075</v>
      </c>
      <c r="H186" s="64" t="n">
        <f aca="false">H69</f>
        <v>232744</v>
      </c>
      <c r="I186" s="64" t="n">
        <f aca="false">I69</f>
        <v>235318</v>
      </c>
      <c r="J186" s="64" t="n">
        <f aca="false">J69</f>
        <v>235463</v>
      </c>
      <c r="K186" s="64" t="n">
        <f aca="false">K69</f>
        <v>235590</v>
      </c>
      <c r="L186" s="64" t="n">
        <f aca="false">L69</f>
        <v>240955</v>
      </c>
      <c r="M186" s="64" t="n">
        <f aca="false">M69</f>
        <v>244196</v>
      </c>
      <c r="N186" s="64" t="n">
        <f aca="false">N69</f>
        <v>243466</v>
      </c>
      <c r="O186" s="64" t="n">
        <f aca="false">O69</f>
        <v>243511</v>
      </c>
      <c r="P186" s="64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65" t="s">
        <v>323</v>
      </c>
      <c r="AB186" s="66" t="s">
        <v>407</v>
      </c>
      <c r="AC186" s="64" t="n">
        <f aca="false">AC69</f>
        <v>105054</v>
      </c>
      <c r="AD186" s="64" t="n">
        <f aca="false">AD69</f>
        <v>104879</v>
      </c>
      <c r="AE186" s="64" t="n">
        <f aca="false">AE69</f>
        <v>104704</v>
      </c>
      <c r="AF186" s="64" t="n">
        <f aca="false">AF69</f>
        <v>104529</v>
      </c>
      <c r="AG186" s="64" t="n">
        <f aca="false">AG69</f>
        <v>104354</v>
      </c>
      <c r="AH186" s="64" t="n">
        <f aca="false">AH69</f>
        <v>104179</v>
      </c>
      <c r="AI186" s="64" t="n">
        <f aca="false">AI69</f>
        <v>104004</v>
      </c>
      <c r="AJ186" s="64" t="n">
        <f aca="false">AJ69</f>
        <v>103829</v>
      </c>
      <c r="AK186" s="64" t="n">
        <f aca="false">AK69</f>
        <v>103654</v>
      </c>
      <c r="AL186" s="64" t="n">
        <f aca="false">AL69</f>
        <v>103479</v>
      </c>
      <c r="AM186" s="64" t="n">
        <f aca="false">AM69</f>
        <v>103304</v>
      </c>
      <c r="AN186" s="64" t="n">
        <f aca="false">AN69</f>
        <v>103129</v>
      </c>
      <c r="AO186" s="64" t="n">
        <f aca="false">AO69</f>
        <v>102954</v>
      </c>
      <c r="AP186" s="64"/>
      <c r="AQ186" s="47"/>
      <c r="AR186" s="47"/>
    </row>
    <row r="187" customFormat="false" ht="14.65" hidden="false" customHeight="false" outlineLevel="0" collapsed="false">
      <c r="A187" s="47"/>
      <c r="B187" s="66" t="s">
        <v>408</v>
      </c>
      <c r="C187" s="67" t="n">
        <v>0</v>
      </c>
      <c r="D187" s="67" t="n">
        <v>0</v>
      </c>
      <c r="E187" s="67" t="n">
        <v>0</v>
      </c>
      <c r="F187" s="67" t="n">
        <v>0</v>
      </c>
      <c r="G187" s="67" t="n">
        <v>0</v>
      </c>
      <c r="H187" s="67" t="n">
        <v>0</v>
      </c>
      <c r="I187" s="67" t="n">
        <v>0</v>
      </c>
      <c r="J187" s="67" t="n">
        <v>0</v>
      </c>
      <c r="K187" s="67" t="n">
        <v>0</v>
      </c>
      <c r="L187" s="67" t="n">
        <v>0</v>
      </c>
      <c r="M187" s="67" t="n">
        <v>0</v>
      </c>
      <c r="N187" s="67" t="n">
        <v>0</v>
      </c>
      <c r="O187" s="67" t="n">
        <v>0</v>
      </c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66" t="s">
        <v>408</v>
      </c>
      <c r="AC187" s="67" t="n">
        <v>0</v>
      </c>
      <c r="AD187" s="67" t="n">
        <v>0</v>
      </c>
      <c r="AE187" s="67" t="n">
        <v>0</v>
      </c>
      <c r="AF187" s="67" t="n">
        <v>0</v>
      </c>
      <c r="AG187" s="67" t="n">
        <v>0</v>
      </c>
      <c r="AH187" s="67" t="n">
        <v>0</v>
      </c>
      <c r="AI187" s="67" t="n">
        <v>0</v>
      </c>
      <c r="AJ187" s="67" t="n">
        <v>0</v>
      </c>
      <c r="AK187" s="67" t="n">
        <v>0</v>
      </c>
      <c r="AL187" s="67" t="n">
        <v>0</v>
      </c>
      <c r="AM187" s="67" t="n">
        <v>0</v>
      </c>
      <c r="AN187" s="67" t="n">
        <v>0</v>
      </c>
      <c r="AO187" s="67" t="n">
        <v>0</v>
      </c>
      <c r="AP187" s="47"/>
      <c r="AQ187" s="47"/>
      <c r="AR187" s="47"/>
    </row>
    <row r="188" customFormat="false" ht="14.65" hidden="false" customHeight="false" outlineLevel="0" collapsed="false">
      <c r="A188" s="65" t="s">
        <v>409</v>
      </c>
      <c r="B188" s="66" t="s">
        <v>410</v>
      </c>
      <c r="C188" s="64" t="e">
        <f aca="false">#REF!+#REF!</f>
        <v>#REF!</v>
      </c>
      <c r="D188" s="64" t="e">
        <f aca="false">#REF!+#REF!</f>
        <v>#REF!</v>
      </c>
      <c r="E188" s="64" t="e">
        <f aca="false">#REF!+#REF!</f>
        <v>#REF!</v>
      </c>
      <c r="F188" s="64" t="e">
        <f aca="false">#REF!+#REF!</f>
        <v>#REF!</v>
      </c>
      <c r="G188" s="64" t="e">
        <f aca="false">#REF!+#REF!</f>
        <v>#REF!</v>
      </c>
      <c r="H188" s="64" t="e">
        <f aca="false">#REF!+#REF!</f>
        <v>#REF!</v>
      </c>
      <c r="I188" s="64" t="e">
        <f aca="false">#REF!+#REF!</f>
        <v>#REF!</v>
      </c>
      <c r="J188" s="64" t="e">
        <f aca="false">#REF!+#REF!</f>
        <v>#REF!</v>
      </c>
      <c r="K188" s="64" t="e">
        <f aca="false">#REF!+#REF!</f>
        <v>#REF!</v>
      </c>
      <c r="L188" s="64" t="e">
        <f aca="false">#REF!+#REF!</f>
        <v>#REF!</v>
      </c>
      <c r="M188" s="64" t="e">
        <f aca="false">#REF!+#REF!</f>
        <v>#REF!</v>
      </c>
      <c r="N188" s="64" t="e">
        <f aca="false">#REF!+#REF!</f>
        <v>#REF!</v>
      </c>
      <c r="O188" s="64" t="e">
        <f aca="false">#REF!+#REF!</f>
        <v>#REF!</v>
      </c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65" t="s">
        <v>409</v>
      </c>
      <c r="AB188" s="66" t="s">
        <v>411</v>
      </c>
      <c r="AC188" s="64" t="e">
        <f aca="false">#REF!+#REF!</f>
        <v>#REF!</v>
      </c>
      <c r="AD188" s="64" t="e">
        <f aca="false">#REF!+#REF!</f>
        <v>#REF!</v>
      </c>
      <c r="AE188" s="64" t="e">
        <f aca="false">#REF!+#REF!</f>
        <v>#REF!</v>
      </c>
      <c r="AF188" s="64" t="e">
        <f aca="false">#REF!+#REF!</f>
        <v>#REF!</v>
      </c>
      <c r="AG188" s="64" t="e">
        <f aca="false">#REF!+#REF!</f>
        <v>#REF!</v>
      </c>
      <c r="AH188" s="64" t="e">
        <f aca="false">#REF!+#REF!</f>
        <v>#REF!</v>
      </c>
      <c r="AI188" s="64" t="e">
        <f aca="false">#REF!+#REF!</f>
        <v>#REF!</v>
      </c>
      <c r="AJ188" s="64" t="e">
        <f aca="false">#REF!+#REF!</f>
        <v>#REF!</v>
      </c>
      <c r="AK188" s="64" t="e">
        <f aca="false">#REF!+#REF!</f>
        <v>#REF!</v>
      </c>
      <c r="AL188" s="64" t="e">
        <f aca="false">#REF!+#REF!</f>
        <v>#REF!</v>
      </c>
      <c r="AM188" s="64" t="e">
        <f aca="false">#REF!+#REF!</f>
        <v>#REF!</v>
      </c>
      <c r="AN188" s="64" t="e">
        <f aca="false">#REF!+#REF!</f>
        <v>#REF!</v>
      </c>
      <c r="AO188" s="64" t="e">
        <f aca="false">#REF!+#REF!</f>
        <v>#REF!</v>
      </c>
      <c r="AP188" s="47"/>
      <c r="AQ188" s="47"/>
      <c r="AR188" s="47"/>
    </row>
    <row r="189" customFormat="false" ht="14.65" hidden="false" customHeight="false" outlineLevel="0" collapsed="false">
      <c r="A189" s="65" t="s">
        <v>318</v>
      </c>
      <c r="B189" s="66" t="s">
        <v>412</v>
      </c>
      <c r="C189" s="64" t="n">
        <f aca="false">C71+C63</f>
        <v>0</v>
      </c>
      <c r="D189" s="64" t="n">
        <f aca="false">D71+D63</f>
        <v>26217</v>
      </c>
      <c r="E189" s="64" t="n">
        <f aca="false">E71+E63</f>
        <v>17748</v>
      </c>
      <c r="F189" s="64" t="n">
        <f aca="false">F71+F63</f>
        <v>36081</v>
      </c>
      <c r="G189" s="64" t="n">
        <f aca="false">G71+G63</f>
        <v>3332</v>
      </c>
      <c r="H189" s="64" t="n">
        <f aca="false">H71+H63</f>
        <v>0</v>
      </c>
      <c r="I189" s="64" t="n">
        <f aca="false">I71+I63</f>
        <v>0</v>
      </c>
      <c r="J189" s="64" t="n">
        <f aca="false">J71+J63</f>
        <v>0</v>
      </c>
      <c r="K189" s="64" t="n">
        <f aca="false">K71+K63</f>
        <v>0</v>
      </c>
      <c r="L189" s="64" t="n">
        <f aca="false">L71+L63</f>
        <v>0</v>
      </c>
      <c r="M189" s="64" t="n">
        <f aca="false">M71+M63</f>
        <v>0</v>
      </c>
      <c r="N189" s="64" t="n">
        <f aca="false">N71+N63</f>
        <v>0</v>
      </c>
      <c r="O189" s="64" t="n">
        <f aca="false">O71+O63</f>
        <v>0</v>
      </c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65" t="s">
        <v>318</v>
      </c>
      <c r="AB189" s="66" t="s">
        <v>412</v>
      </c>
      <c r="AC189" s="64" t="n">
        <f aca="false">AC71+AC63</f>
        <v>0</v>
      </c>
      <c r="AD189" s="64" t="n">
        <f aca="false">AD71+AD63</f>
        <v>0</v>
      </c>
      <c r="AE189" s="64" t="n">
        <f aca="false">AE71+AE63</f>
        <v>0</v>
      </c>
      <c r="AF189" s="64" t="n">
        <f aca="false">AF71+AF63</f>
        <v>0</v>
      </c>
      <c r="AG189" s="64" t="n">
        <f aca="false">AG71+AG63</f>
        <v>0</v>
      </c>
      <c r="AH189" s="64" t="n">
        <f aca="false">AH71+AH63</f>
        <v>0</v>
      </c>
      <c r="AI189" s="64" t="n">
        <f aca="false">AI71+AI63</f>
        <v>0</v>
      </c>
      <c r="AJ189" s="64" t="n">
        <f aca="false">AJ71+AJ63</f>
        <v>0</v>
      </c>
      <c r="AK189" s="64" t="n">
        <f aca="false">AK71+AK63</f>
        <v>0</v>
      </c>
      <c r="AL189" s="64" t="n">
        <f aca="false">AL71+AL63</f>
        <v>0</v>
      </c>
      <c r="AM189" s="64" t="n">
        <f aca="false">AM71+AM63</f>
        <v>0</v>
      </c>
      <c r="AN189" s="64" t="n">
        <f aca="false">AN71+AN63</f>
        <v>0</v>
      </c>
      <c r="AO189" s="64" t="n">
        <f aca="false">AO71+AO63</f>
        <v>0</v>
      </c>
      <c r="AP189" s="47"/>
      <c r="AQ189" s="47"/>
      <c r="AR189" s="47"/>
    </row>
    <row r="190" customFormat="false" ht="14.65" hidden="false" customHeight="false" outlineLevel="0" collapsed="false">
      <c r="A190" s="65" t="s">
        <v>325</v>
      </c>
      <c r="B190" s="66" t="s">
        <v>413</v>
      </c>
      <c r="C190" s="64" t="n">
        <f aca="false">C70</f>
        <v>0</v>
      </c>
      <c r="D190" s="64" t="n">
        <f aca="false">D70</f>
        <v>0</v>
      </c>
      <c r="E190" s="64" t="n">
        <f aca="false">E70</f>
        <v>0</v>
      </c>
      <c r="F190" s="64" t="n">
        <f aca="false">F70</f>
        <v>0</v>
      </c>
      <c r="G190" s="64" t="n">
        <f aca="false">G70</f>
        <v>0</v>
      </c>
      <c r="H190" s="64" t="n">
        <f aca="false">H70</f>
        <v>0</v>
      </c>
      <c r="I190" s="64" t="n">
        <f aca="false">I70</f>
        <v>0</v>
      </c>
      <c r="J190" s="64" t="n">
        <f aca="false">J70</f>
        <v>0</v>
      </c>
      <c r="K190" s="64" t="n">
        <f aca="false">K70</f>
        <v>0</v>
      </c>
      <c r="L190" s="64" t="n">
        <f aca="false">L70</f>
        <v>0</v>
      </c>
      <c r="M190" s="64" t="n">
        <f aca="false">M70</f>
        <v>0</v>
      </c>
      <c r="N190" s="64" t="n">
        <f aca="false">N70</f>
        <v>0</v>
      </c>
      <c r="O190" s="64" t="n">
        <f aca="false">O70</f>
        <v>0</v>
      </c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65" t="s">
        <v>325</v>
      </c>
      <c r="AB190" s="66" t="s">
        <v>413</v>
      </c>
      <c r="AC190" s="64" t="n">
        <f aca="false">AC70</f>
        <v>0</v>
      </c>
      <c r="AD190" s="64" t="n">
        <f aca="false">AD70</f>
        <v>0</v>
      </c>
      <c r="AE190" s="64" t="n">
        <f aca="false">AE70</f>
        <v>0</v>
      </c>
      <c r="AF190" s="64" t="n">
        <f aca="false">AF70</f>
        <v>0</v>
      </c>
      <c r="AG190" s="64" t="n">
        <f aca="false">AG70</f>
        <v>0</v>
      </c>
      <c r="AH190" s="64" t="n">
        <f aca="false">AH70</f>
        <v>0</v>
      </c>
      <c r="AI190" s="64" t="n">
        <f aca="false">AI70</f>
        <v>0</v>
      </c>
      <c r="AJ190" s="64" t="n">
        <f aca="false">AJ70</f>
        <v>0</v>
      </c>
      <c r="AK190" s="64" t="n">
        <f aca="false">AK70</f>
        <v>0</v>
      </c>
      <c r="AL190" s="64" t="n">
        <f aca="false">AL70</f>
        <v>0</v>
      </c>
      <c r="AM190" s="64" t="n">
        <f aca="false">AM70</f>
        <v>0</v>
      </c>
      <c r="AN190" s="64" t="n">
        <f aca="false">AN70</f>
        <v>0</v>
      </c>
      <c r="AO190" s="64" t="n">
        <f aca="false">AO70</f>
        <v>0</v>
      </c>
      <c r="AP190" s="47"/>
      <c r="AQ190" s="47"/>
      <c r="AR190" s="47"/>
    </row>
    <row r="191" customFormat="false" ht="14.65" hidden="false" customHeight="false" outlineLevel="0" collapsed="false">
      <c r="A191" s="65" t="s">
        <v>320</v>
      </c>
      <c r="B191" s="66" t="s">
        <v>414</v>
      </c>
      <c r="C191" s="70" t="n">
        <f aca="false">C64+C72</f>
        <v>2937</v>
      </c>
      <c r="D191" s="70" t="n">
        <f aca="false">D64+D72</f>
        <v>2250</v>
      </c>
      <c r="E191" s="70" t="n">
        <f aca="false">E64+E72</f>
        <v>2885</v>
      </c>
      <c r="F191" s="70" t="n">
        <f aca="false">F64+F72</f>
        <v>14414</v>
      </c>
      <c r="G191" s="70" t="n">
        <f aca="false">G64+G72</f>
        <v>14811</v>
      </c>
      <c r="H191" s="70" t="n">
        <f aca="false">H64+H72</f>
        <v>14790</v>
      </c>
      <c r="I191" s="70" t="n">
        <f aca="false">I64+I72</f>
        <v>15119</v>
      </c>
      <c r="J191" s="70" t="n">
        <f aca="false">J64+J72</f>
        <v>15134</v>
      </c>
      <c r="K191" s="70" t="n">
        <f aca="false">K64+K72</f>
        <v>15110</v>
      </c>
      <c r="L191" s="70" t="n">
        <f aca="false">L64+L72</f>
        <v>2806</v>
      </c>
      <c r="M191" s="70" t="n">
        <f aca="false">M64+M72</f>
        <v>2782</v>
      </c>
      <c r="N191" s="70" t="n">
        <f aca="false">N64+N72</f>
        <v>2758</v>
      </c>
      <c r="O191" s="70" t="n">
        <f aca="false">O64+O72</f>
        <v>2734</v>
      </c>
      <c r="P191" s="70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65" t="s">
        <v>320</v>
      </c>
      <c r="AB191" s="66" t="s">
        <v>414</v>
      </c>
      <c r="AC191" s="70" t="n">
        <f aca="false">AC64+AC72</f>
        <v>0</v>
      </c>
      <c r="AD191" s="70" t="n">
        <f aca="false">AD64+AD72</f>
        <v>0</v>
      </c>
      <c r="AE191" s="70" t="n">
        <f aca="false">AE64+AE72</f>
        <v>0</v>
      </c>
      <c r="AF191" s="70" t="n">
        <f aca="false">AF64+AF72</f>
        <v>0</v>
      </c>
      <c r="AG191" s="70" t="n">
        <f aca="false">AG64+AG72</f>
        <v>0</v>
      </c>
      <c r="AH191" s="70" t="n">
        <f aca="false">AH64+AH72</f>
        <v>0</v>
      </c>
      <c r="AI191" s="70" t="n">
        <f aca="false">AI64+AI72</f>
        <v>0</v>
      </c>
      <c r="AJ191" s="70" t="n">
        <f aca="false">AJ64+AJ72</f>
        <v>0</v>
      </c>
      <c r="AK191" s="70" t="n">
        <f aca="false">AK64+AK72</f>
        <v>0</v>
      </c>
      <c r="AL191" s="70" t="n">
        <f aca="false">AL64+AL72</f>
        <v>0</v>
      </c>
      <c r="AM191" s="70" t="n">
        <f aca="false">AM64+AM72</f>
        <v>0</v>
      </c>
      <c r="AN191" s="70" t="n">
        <f aca="false">AN64+AN72</f>
        <v>0</v>
      </c>
      <c r="AO191" s="70" t="n">
        <f aca="false">AO64+AO72</f>
        <v>0</v>
      </c>
      <c r="AP191" s="70"/>
      <c r="AQ191" s="47"/>
      <c r="AR191" s="47"/>
    </row>
    <row r="192" customFormat="false" ht="3.95" hidden="false" customHeight="true" outlineLevel="0" collapsed="false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</row>
    <row r="193" customFormat="false" ht="14.65" hidden="false" customHeight="false" outlineLevel="0" collapsed="false">
      <c r="A193" s="44"/>
      <c r="B193" s="63" t="s">
        <v>415</v>
      </c>
      <c r="C193" s="70" t="e">
        <f aca="false">SUM(C182:C192)</f>
        <v>#REF!</v>
      </c>
      <c r="D193" s="70" t="e">
        <f aca="false">SUM(D182:D192)</f>
        <v>#REF!</v>
      </c>
      <c r="E193" s="70" t="e">
        <f aca="false">SUM(E182:E192)</f>
        <v>#REF!</v>
      </c>
      <c r="F193" s="70" t="e">
        <f aca="false">SUM(F182:F192)</f>
        <v>#REF!</v>
      </c>
      <c r="G193" s="70" t="e">
        <f aca="false">SUM(G182:G192)</f>
        <v>#REF!</v>
      </c>
      <c r="H193" s="70" t="e">
        <f aca="false">SUM(H182:H192)</f>
        <v>#REF!</v>
      </c>
      <c r="I193" s="70" t="e">
        <f aca="false">SUM(I182:I192)</f>
        <v>#REF!</v>
      </c>
      <c r="J193" s="70" t="e">
        <f aca="false">SUM(J182:J192)</f>
        <v>#REF!</v>
      </c>
      <c r="K193" s="70" t="e">
        <f aca="false">SUM(K182:K192)</f>
        <v>#REF!</v>
      </c>
      <c r="L193" s="70" t="e">
        <f aca="false">SUM(L182:L192)</f>
        <v>#REF!</v>
      </c>
      <c r="M193" s="70" t="e">
        <f aca="false">SUM(M182:M192)</f>
        <v>#REF!</v>
      </c>
      <c r="N193" s="70" t="e">
        <f aca="false">SUM(N182:N192)</f>
        <v>#REF!</v>
      </c>
      <c r="O193" s="70" t="e">
        <f aca="false">SUM(O182:O192)</f>
        <v>#REF!</v>
      </c>
      <c r="P193" s="70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4"/>
      <c r="AB193" s="63" t="s">
        <v>415</v>
      </c>
      <c r="AC193" s="70" t="e">
        <f aca="false">SUM(AC182:AC192)</f>
        <v>#REF!</v>
      </c>
      <c r="AD193" s="70" t="e">
        <f aca="false">SUM(AD182:AD192)</f>
        <v>#REF!</v>
      </c>
      <c r="AE193" s="70" t="e">
        <f aca="false">SUM(AE182:AE192)</f>
        <v>#REF!</v>
      </c>
      <c r="AF193" s="70" t="e">
        <f aca="false">SUM(AF182:AF192)</f>
        <v>#REF!</v>
      </c>
      <c r="AG193" s="70" t="e">
        <f aca="false">SUM(AG182:AG192)</f>
        <v>#REF!</v>
      </c>
      <c r="AH193" s="70" t="e">
        <f aca="false">SUM(AH182:AH192)</f>
        <v>#REF!</v>
      </c>
      <c r="AI193" s="70" t="e">
        <f aca="false">SUM(AI182:AI192)</f>
        <v>#REF!</v>
      </c>
      <c r="AJ193" s="70" t="e">
        <f aca="false">SUM(AJ182:AJ192)</f>
        <v>#REF!</v>
      </c>
      <c r="AK193" s="70" t="e">
        <f aca="false">SUM(AK182:AK192)</f>
        <v>#REF!</v>
      </c>
      <c r="AL193" s="70" t="e">
        <f aca="false">SUM(AL182:AL192)</f>
        <v>#REF!</v>
      </c>
      <c r="AM193" s="70" t="e">
        <f aca="false">SUM(AM182:AM192)</f>
        <v>#REF!</v>
      </c>
      <c r="AN193" s="70" t="e">
        <f aca="false">SUM(AN182:AN192)</f>
        <v>#REF!</v>
      </c>
      <c r="AO193" s="70" t="e">
        <f aca="false">SUM(AO182:AO192)</f>
        <v>#REF!</v>
      </c>
      <c r="AP193" s="70"/>
      <c r="AQ193" s="47"/>
      <c r="AR193" s="47"/>
    </row>
    <row r="194" customFormat="false" ht="14.65" hidden="false" customHeight="false" outlineLevel="0" collapsed="false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</row>
    <row r="195" customFormat="false" ht="14.65" hidden="false" customHeight="false" outlineLevel="0" collapsed="false">
      <c r="A195" s="44"/>
      <c r="B195" s="63" t="s">
        <v>416</v>
      </c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4"/>
      <c r="AB195" s="63" t="s">
        <v>416</v>
      </c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47"/>
      <c r="AQ195" s="47"/>
      <c r="AR195" s="47"/>
    </row>
    <row r="196" customFormat="false" ht="14.65" hidden="false" customHeight="false" outlineLevel="0" collapsed="false">
      <c r="A196" s="65" t="s">
        <v>279</v>
      </c>
      <c r="B196" s="66" t="s">
        <v>417</v>
      </c>
      <c r="C196" s="64" t="n">
        <f aca="false">C77</f>
        <v>0</v>
      </c>
      <c r="D196" s="64" t="n">
        <f aca="false">D77</f>
        <v>0</v>
      </c>
      <c r="E196" s="64" t="n">
        <f aca="false">E77</f>
        <v>0</v>
      </c>
      <c r="F196" s="64" t="n">
        <f aca="false">F77</f>
        <v>0</v>
      </c>
      <c r="G196" s="64" t="n">
        <f aca="false">G77</f>
        <v>0</v>
      </c>
      <c r="H196" s="64" t="n">
        <f aca="false">H77</f>
        <v>0</v>
      </c>
      <c r="I196" s="64" t="n">
        <f aca="false">I77</f>
        <v>0</v>
      </c>
      <c r="J196" s="64" t="n">
        <f aca="false">J77</f>
        <v>0</v>
      </c>
      <c r="K196" s="64" t="n">
        <f aca="false">K77</f>
        <v>0</v>
      </c>
      <c r="L196" s="64" t="n">
        <f aca="false">L77</f>
        <v>0</v>
      </c>
      <c r="M196" s="64" t="n">
        <f aca="false">M77</f>
        <v>0</v>
      </c>
      <c r="N196" s="64" t="n">
        <f aca="false">N77</f>
        <v>0</v>
      </c>
      <c r="O196" s="64" t="n">
        <f aca="false">O77</f>
        <v>0</v>
      </c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65" t="s">
        <v>279</v>
      </c>
      <c r="AB196" s="66" t="s">
        <v>418</v>
      </c>
      <c r="AC196" s="64" t="n">
        <f aca="false">AC77</f>
        <v>0</v>
      </c>
      <c r="AD196" s="64" t="n">
        <f aca="false">AD77</f>
        <v>0</v>
      </c>
      <c r="AE196" s="64" t="n">
        <f aca="false">AE77</f>
        <v>0</v>
      </c>
      <c r="AF196" s="64" t="n">
        <f aca="false">AF77</f>
        <v>0</v>
      </c>
      <c r="AG196" s="64" t="n">
        <f aca="false">AG77</f>
        <v>0</v>
      </c>
      <c r="AH196" s="64" t="n">
        <f aca="false">AH77</f>
        <v>0</v>
      </c>
      <c r="AI196" s="64" t="n">
        <f aca="false">AI77</f>
        <v>0</v>
      </c>
      <c r="AJ196" s="64" t="n">
        <f aca="false">AJ77</f>
        <v>0</v>
      </c>
      <c r="AK196" s="64" t="n">
        <f aca="false">AK77</f>
        <v>0</v>
      </c>
      <c r="AL196" s="64" t="n">
        <f aca="false">AL77</f>
        <v>0</v>
      </c>
      <c r="AM196" s="64" t="n">
        <f aca="false">AM77</f>
        <v>0</v>
      </c>
      <c r="AN196" s="64" t="n">
        <f aca="false">AN77</f>
        <v>0</v>
      </c>
      <c r="AO196" s="64" t="n">
        <f aca="false">AO77</f>
        <v>0</v>
      </c>
      <c r="AP196" s="47"/>
      <c r="AQ196" s="47"/>
      <c r="AR196" s="47"/>
    </row>
    <row r="197" customFormat="false" ht="14.65" hidden="false" customHeight="false" outlineLevel="0" collapsed="false">
      <c r="A197" s="65" t="s">
        <v>330</v>
      </c>
      <c r="B197" s="66" t="s">
        <v>419</v>
      </c>
      <c r="C197" s="64" t="n">
        <f aca="false">C78+C79</f>
        <v>161600</v>
      </c>
      <c r="D197" s="64" t="n">
        <f aca="false">D78+D79</f>
        <v>161600</v>
      </c>
      <c r="E197" s="64" t="n">
        <f aca="false">E78+E79</f>
        <v>161600</v>
      </c>
      <c r="F197" s="64" t="n">
        <f aca="false">F78+F79</f>
        <v>161600</v>
      </c>
      <c r="G197" s="64" t="n">
        <f aca="false">G78+G79</f>
        <v>161600</v>
      </c>
      <c r="H197" s="64" t="n">
        <f aca="false">H78+H79</f>
        <v>161600</v>
      </c>
      <c r="I197" s="64" t="n">
        <f aca="false">I78+I79</f>
        <v>11600</v>
      </c>
      <c r="J197" s="64" t="n">
        <f aca="false">J78+J79</f>
        <v>11600</v>
      </c>
      <c r="K197" s="64" t="n">
        <f aca="false">K78+K79</f>
        <v>11600</v>
      </c>
      <c r="L197" s="64" t="n">
        <f aca="false">L78+L79</f>
        <v>11600</v>
      </c>
      <c r="M197" s="64" t="n">
        <f aca="false">M78+M79</f>
        <v>11600</v>
      </c>
      <c r="N197" s="64" t="n">
        <f aca="false">N78+N79</f>
        <v>7750</v>
      </c>
      <c r="O197" s="64" t="n">
        <f aca="false">O78+O79</f>
        <v>7750</v>
      </c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65" t="s">
        <v>330</v>
      </c>
      <c r="AB197" s="66" t="s">
        <v>419</v>
      </c>
      <c r="AC197" s="64" t="n">
        <f aca="false">AC78+AC79</f>
        <v>0</v>
      </c>
      <c r="AD197" s="64" t="n">
        <f aca="false">AD78+AD79</f>
        <v>0</v>
      </c>
      <c r="AE197" s="64" t="n">
        <f aca="false">AE78+AE79</f>
        <v>0</v>
      </c>
      <c r="AF197" s="64" t="n">
        <f aca="false">AF78+AF79</f>
        <v>0</v>
      </c>
      <c r="AG197" s="64" t="n">
        <f aca="false">AG78+AG79</f>
        <v>0</v>
      </c>
      <c r="AH197" s="64" t="n">
        <f aca="false">AH78+AH79</f>
        <v>0</v>
      </c>
      <c r="AI197" s="64" t="n">
        <f aca="false">AI78+AI79</f>
        <v>0</v>
      </c>
      <c r="AJ197" s="64" t="n">
        <f aca="false">AJ78+AJ79</f>
        <v>0</v>
      </c>
      <c r="AK197" s="64" t="n">
        <f aca="false">AK78+AK79</f>
        <v>0</v>
      </c>
      <c r="AL197" s="64" t="n">
        <f aca="false">AL78+AL79</f>
        <v>0</v>
      </c>
      <c r="AM197" s="64" t="n">
        <f aca="false">AM78+AM79</f>
        <v>0</v>
      </c>
      <c r="AN197" s="64" t="n">
        <f aca="false">AN78+AN79</f>
        <v>0</v>
      </c>
      <c r="AO197" s="64" t="n">
        <f aca="false">AO78+AO79</f>
        <v>0</v>
      </c>
      <c r="AP197" s="47"/>
      <c r="AQ197" s="47"/>
      <c r="AR197" s="47"/>
    </row>
    <row r="198" customFormat="false" ht="14.65" hidden="false" customHeight="false" outlineLevel="0" collapsed="false">
      <c r="A198" s="65" t="s">
        <v>339</v>
      </c>
      <c r="B198" s="66" t="s">
        <v>420</v>
      </c>
      <c r="C198" s="70" t="n">
        <f aca="false">C89</f>
        <v>942827</v>
      </c>
      <c r="D198" s="70" t="n">
        <f aca="false">D89</f>
        <v>923268</v>
      </c>
      <c r="E198" s="70" t="n">
        <f aca="false">E89</f>
        <v>940277</v>
      </c>
      <c r="F198" s="70" t="n">
        <f aca="false">F89</f>
        <v>939317</v>
      </c>
      <c r="G198" s="70" t="n">
        <f aca="false">G89</f>
        <v>953449</v>
      </c>
      <c r="H198" s="70" t="n">
        <f aca="false">H89</f>
        <v>980136</v>
      </c>
      <c r="I198" s="70" t="n">
        <f aca="false">I89</f>
        <v>1003347</v>
      </c>
      <c r="J198" s="70" t="n">
        <f aca="false">J89</f>
        <v>1009575</v>
      </c>
      <c r="K198" s="70" t="n">
        <f aca="false">K89</f>
        <v>1015897</v>
      </c>
      <c r="L198" s="70" t="n">
        <f aca="false">L89</f>
        <v>1027808</v>
      </c>
      <c r="M198" s="70" t="n">
        <f aca="false">M89</f>
        <v>1034122</v>
      </c>
      <c r="N198" s="70" t="n">
        <f aca="false">N89</f>
        <v>1040169</v>
      </c>
      <c r="O198" s="70" t="n">
        <f aca="false">O89</f>
        <v>1046555</v>
      </c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65" t="s">
        <v>339</v>
      </c>
      <c r="AB198" s="66" t="s">
        <v>420</v>
      </c>
      <c r="AC198" s="70" t="n">
        <f aca="false">AC89</f>
        <v>195110</v>
      </c>
      <c r="AD198" s="70" t="n">
        <f aca="false">AD89</f>
        <v>194785</v>
      </c>
      <c r="AE198" s="70" t="n">
        <f aca="false">AE89</f>
        <v>194460</v>
      </c>
      <c r="AF198" s="70" t="n">
        <f aca="false">AF89</f>
        <v>194135</v>
      </c>
      <c r="AG198" s="70" t="n">
        <f aca="false">AG89</f>
        <v>193810</v>
      </c>
      <c r="AH198" s="70" t="n">
        <f aca="false">AH89</f>
        <v>193485</v>
      </c>
      <c r="AI198" s="70" t="n">
        <f aca="false">AI89</f>
        <v>193160</v>
      </c>
      <c r="AJ198" s="70" t="n">
        <f aca="false">AJ89</f>
        <v>192835</v>
      </c>
      <c r="AK198" s="70" t="n">
        <f aca="false">AK89</f>
        <v>192510</v>
      </c>
      <c r="AL198" s="70" t="n">
        <f aca="false">AL89</f>
        <v>192185</v>
      </c>
      <c r="AM198" s="70" t="n">
        <f aca="false">AM89</f>
        <v>191860</v>
      </c>
      <c r="AN198" s="70" t="n">
        <f aca="false">AN89</f>
        <v>191535</v>
      </c>
      <c r="AO198" s="70" t="n">
        <f aca="false">AO89</f>
        <v>191210</v>
      </c>
      <c r="AP198" s="47"/>
      <c r="AQ198" s="47"/>
      <c r="AR198" s="47"/>
    </row>
    <row r="199" customFormat="false" ht="3.95" hidden="false" customHeight="true" outlineLevel="0" collapsed="false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</row>
    <row r="200" customFormat="false" ht="14.65" hidden="false" customHeight="false" outlineLevel="0" collapsed="false">
      <c r="A200" s="44"/>
      <c r="B200" s="63" t="s">
        <v>421</v>
      </c>
      <c r="C200" s="70" t="n">
        <f aca="false">SUM(C196:C199)</f>
        <v>1104427</v>
      </c>
      <c r="D200" s="70" t="n">
        <f aca="false">SUM(D196:D199)</f>
        <v>1084868</v>
      </c>
      <c r="E200" s="70" t="n">
        <f aca="false">SUM(E196:E199)</f>
        <v>1101877</v>
      </c>
      <c r="F200" s="70" t="n">
        <f aca="false">SUM(F196:F199)</f>
        <v>1100917</v>
      </c>
      <c r="G200" s="70" t="n">
        <f aca="false">SUM(G196:G199)</f>
        <v>1115049</v>
      </c>
      <c r="H200" s="70" t="n">
        <f aca="false">SUM(H196:H199)</f>
        <v>1141736</v>
      </c>
      <c r="I200" s="70" t="n">
        <f aca="false">SUM(I196:I199)</f>
        <v>1014947</v>
      </c>
      <c r="J200" s="70" t="n">
        <f aca="false">SUM(J196:J199)</f>
        <v>1021175</v>
      </c>
      <c r="K200" s="70" t="n">
        <f aca="false">SUM(K196:K199)</f>
        <v>1027497</v>
      </c>
      <c r="L200" s="70" t="n">
        <f aca="false">SUM(L196:L199)</f>
        <v>1039408</v>
      </c>
      <c r="M200" s="70" t="n">
        <f aca="false">SUM(M196:M199)</f>
        <v>1045722</v>
      </c>
      <c r="N200" s="70" t="n">
        <f aca="false">SUM(N196:N199)</f>
        <v>1047919</v>
      </c>
      <c r="O200" s="70" t="n">
        <f aca="false">SUM(O196:O199)</f>
        <v>1054305</v>
      </c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4"/>
      <c r="AB200" s="63" t="s">
        <v>421</v>
      </c>
      <c r="AC200" s="70" t="n">
        <f aca="false">SUM(AC196:AC199)</f>
        <v>195110</v>
      </c>
      <c r="AD200" s="70" t="n">
        <f aca="false">SUM(AD196:AD199)</f>
        <v>194785</v>
      </c>
      <c r="AE200" s="70" t="n">
        <f aca="false">SUM(AE196:AE199)</f>
        <v>194460</v>
      </c>
      <c r="AF200" s="70" t="n">
        <f aca="false">SUM(AF196:AF199)</f>
        <v>194135</v>
      </c>
      <c r="AG200" s="70" t="n">
        <f aca="false">SUM(AG196:AG199)</f>
        <v>193810</v>
      </c>
      <c r="AH200" s="70" t="n">
        <f aca="false">SUM(AH196:AH199)</f>
        <v>193485</v>
      </c>
      <c r="AI200" s="70" t="n">
        <f aca="false">SUM(AI196:AI199)</f>
        <v>193160</v>
      </c>
      <c r="AJ200" s="70" t="n">
        <f aca="false">SUM(AJ196:AJ199)</f>
        <v>192835</v>
      </c>
      <c r="AK200" s="70" t="n">
        <f aca="false">SUM(AK196:AK199)</f>
        <v>192510</v>
      </c>
      <c r="AL200" s="70" t="n">
        <f aca="false">SUM(AL196:AL199)</f>
        <v>192185</v>
      </c>
      <c r="AM200" s="70" t="n">
        <f aca="false">SUM(AM196:AM199)</f>
        <v>191860</v>
      </c>
      <c r="AN200" s="70" t="n">
        <f aca="false">SUM(AN196:AN199)</f>
        <v>191535</v>
      </c>
      <c r="AO200" s="70" t="n">
        <f aca="false">SUM(AO196:AO199)</f>
        <v>191210</v>
      </c>
      <c r="AP200" s="47"/>
      <c r="AQ200" s="47"/>
      <c r="AR200" s="47"/>
    </row>
    <row r="201" customFormat="false" ht="14.65" hidden="false" customHeight="false" outlineLevel="0" collapsed="false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</row>
    <row r="202" customFormat="false" ht="14.65" hidden="false" customHeight="false" outlineLevel="0" collapsed="false">
      <c r="A202" s="44"/>
      <c r="B202" s="63" t="s">
        <v>422</v>
      </c>
      <c r="C202" s="75" t="e">
        <f aca="false">C193+C200</f>
        <v>#REF!</v>
      </c>
      <c r="D202" s="75" t="e">
        <f aca="false">D193+D200</f>
        <v>#REF!</v>
      </c>
      <c r="E202" s="75" t="e">
        <f aca="false">E193+E200</f>
        <v>#REF!</v>
      </c>
      <c r="F202" s="75" t="e">
        <f aca="false">F193+F200</f>
        <v>#REF!</v>
      </c>
      <c r="G202" s="75" t="e">
        <f aca="false">G193+G200</f>
        <v>#REF!</v>
      </c>
      <c r="H202" s="75" t="e">
        <f aca="false">H193+H200</f>
        <v>#REF!</v>
      </c>
      <c r="I202" s="75" t="e">
        <f aca="false">I193+I200</f>
        <v>#REF!</v>
      </c>
      <c r="J202" s="75" t="e">
        <f aca="false">J193+J200</f>
        <v>#REF!</v>
      </c>
      <c r="K202" s="75" t="e">
        <f aca="false">K193+K200</f>
        <v>#REF!</v>
      </c>
      <c r="L202" s="75" t="e">
        <f aca="false">L193+L200</f>
        <v>#REF!</v>
      </c>
      <c r="M202" s="75" t="e">
        <f aca="false">M193+M200</f>
        <v>#REF!</v>
      </c>
      <c r="N202" s="75" t="e">
        <f aca="false">N193+N200</f>
        <v>#REF!</v>
      </c>
      <c r="O202" s="75" t="e">
        <f aca="false">O193+O200</f>
        <v>#REF!</v>
      </c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4"/>
      <c r="AB202" s="63" t="s">
        <v>422</v>
      </c>
      <c r="AC202" s="75" t="e">
        <f aca="false">AC193+AC200</f>
        <v>#REF!</v>
      </c>
      <c r="AD202" s="75" t="e">
        <f aca="false">AD193+AD200</f>
        <v>#REF!</v>
      </c>
      <c r="AE202" s="75" t="e">
        <f aca="false">AE193+AE200</f>
        <v>#REF!</v>
      </c>
      <c r="AF202" s="75" t="e">
        <f aca="false">AF193+AF200</f>
        <v>#REF!</v>
      </c>
      <c r="AG202" s="75" t="e">
        <f aca="false">AG193+AG200</f>
        <v>#REF!</v>
      </c>
      <c r="AH202" s="75" t="e">
        <f aca="false">AH193+AH200</f>
        <v>#REF!</v>
      </c>
      <c r="AI202" s="75" t="e">
        <f aca="false">AI193+AI200</f>
        <v>#REF!</v>
      </c>
      <c r="AJ202" s="75" t="e">
        <f aca="false">AJ193+AJ200</f>
        <v>#REF!</v>
      </c>
      <c r="AK202" s="75" t="e">
        <f aca="false">AK193+AK200</f>
        <v>#REF!</v>
      </c>
      <c r="AL202" s="75" t="e">
        <f aca="false">AL193+AL200</f>
        <v>#REF!</v>
      </c>
      <c r="AM202" s="75" t="e">
        <f aca="false">AM193+AM200</f>
        <v>#REF!</v>
      </c>
      <c r="AN202" s="75" t="e">
        <f aca="false">AN193+AN200</f>
        <v>#REF!</v>
      </c>
      <c r="AO202" s="75" t="e">
        <f aca="false">AO193+AO200</f>
        <v>#REF!</v>
      </c>
      <c r="AP202" s="47"/>
      <c r="AQ202" s="47"/>
      <c r="AR202" s="47"/>
    </row>
    <row r="203" customFormat="false" ht="14.65" hidden="false" customHeight="false" outlineLevel="0" collapsed="false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</row>
    <row r="204" customFormat="false" ht="14.65" hidden="false" customHeight="false" outlineLevel="0" collapsed="false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</row>
    <row r="205" customFormat="false" ht="14.65" hidden="false" customHeight="false" outlineLevel="0" collapsed="false">
      <c r="A205" s="47"/>
      <c r="B205" s="66" t="s">
        <v>342</v>
      </c>
      <c r="C205" s="64" t="e">
        <f aca="false">C178-C202</f>
        <v>#REF!</v>
      </c>
      <c r="D205" s="64" t="e">
        <f aca="false">D178-D202</f>
        <v>#REF!</v>
      </c>
      <c r="E205" s="64" t="e">
        <f aca="false">E178-E202</f>
        <v>#REF!</v>
      </c>
      <c r="F205" s="64" t="e">
        <f aca="false">F178-F202</f>
        <v>#REF!</v>
      </c>
      <c r="G205" s="64" t="e">
        <f aca="false">G178-G202</f>
        <v>#REF!</v>
      </c>
      <c r="H205" s="64" t="e">
        <f aca="false">H178-H202</f>
        <v>#REF!</v>
      </c>
      <c r="I205" s="64" t="e">
        <f aca="false">I178-I202</f>
        <v>#REF!</v>
      </c>
      <c r="J205" s="64" t="e">
        <f aca="false">J178-J202</f>
        <v>#REF!</v>
      </c>
      <c r="K205" s="64" t="e">
        <f aca="false">K178-K202</f>
        <v>#REF!</v>
      </c>
      <c r="L205" s="64" t="e">
        <f aca="false">L178-L202</f>
        <v>#REF!</v>
      </c>
      <c r="M205" s="64" t="e">
        <f aca="false">M178-M202</f>
        <v>#REF!</v>
      </c>
      <c r="N205" s="64" t="e">
        <f aca="false">N178-N202</f>
        <v>#REF!</v>
      </c>
      <c r="O205" s="64" t="e">
        <f aca="false">O178-O202</f>
        <v>#REF!</v>
      </c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66" t="s">
        <v>342</v>
      </c>
      <c r="AC205" s="64" t="e">
        <f aca="false">AC178-AC202</f>
        <v>#REF!</v>
      </c>
      <c r="AD205" s="64" t="e">
        <f aca="false">AD178-AD202</f>
        <v>#REF!</v>
      </c>
      <c r="AE205" s="64" t="e">
        <f aca="false">AE178-AE202</f>
        <v>#REF!</v>
      </c>
      <c r="AF205" s="64" t="e">
        <f aca="false">AF178-AF202</f>
        <v>#REF!</v>
      </c>
      <c r="AG205" s="64" t="e">
        <f aca="false">AG178-AG202</f>
        <v>#REF!</v>
      </c>
      <c r="AH205" s="64" t="e">
        <f aca="false">AH178-AH202</f>
        <v>#REF!</v>
      </c>
      <c r="AI205" s="64" t="e">
        <f aca="false">AI178-AI202</f>
        <v>#REF!</v>
      </c>
      <c r="AJ205" s="64" t="e">
        <f aca="false">AJ178-AJ202</f>
        <v>#REF!</v>
      </c>
      <c r="AK205" s="64" t="e">
        <f aca="false">AK178-AK202</f>
        <v>#REF!</v>
      </c>
      <c r="AL205" s="64" t="e">
        <f aca="false">AL178-AL202</f>
        <v>#REF!</v>
      </c>
      <c r="AM205" s="64" t="e">
        <f aca="false">AM178-AM202</f>
        <v>#REF!</v>
      </c>
      <c r="AN205" s="64" t="e">
        <f aca="false">AN178-AN202</f>
        <v>#REF!</v>
      </c>
      <c r="AO205" s="64" t="e">
        <f aca="false">AO178-AO202</f>
        <v>#REF!</v>
      </c>
      <c r="AP205" s="47"/>
      <c r="AQ205" s="47"/>
      <c r="AR205" s="47"/>
    </row>
    <row r="206" customFormat="false" ht="14.65" hidden="false" customHeight="false" outlineLevel="0" collapsed="false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</row>
    <row r="208" customFormat="false" ht="8.1" hidden="false" customHeight="true" outlineLevel="0" collapsed="false"/>
    <row r="229" customFormat="false" ht="14.65" hidden="false" customHeight="false" outlineLevel="0" collapsed="false">
      <c r="C229" s="90" t="s">
        <v>423</v>
      </c>
      <c r="D229" s="90" t="s">
        <v>424</v>
      </c>
    </row>
    <row r="230" customFormat="false" ht="14.65" hidden="false" customHeight="false" outlineLevel="0" collapsed="false">
      <c r="D230" s="90" t="s">
        <v>425</v>
      </c>
    </row>
    <row r="235" customFormat="false" ht="14.65" hidden="false" customHeight="false" outlineLevel="0" collapsed="false">
      <c r="C235" s="90" t="s">
        <v>426</v>
      </c>
      <c r="D235" s="90" t="s">
        <v>427</v>
      </c>
    </row>
    <row r="236" customFormat="false" ht="14.65" hidden="false" customHeight="false" outlineLevel="0" collapsed="false">
      <c r="D236" s="90" t="s">
        <v>428</v>
      </c>
    </row>
  </sheetData>
  <mergeCells count="20">
    <mergeCell ref="F1:I1"/>
    <mergeCell ref="AF1:AI1"/>
    <mergeCell ref="BF1:BI1"/>
    <mergeCell ref="F2:I2"/>
    <mergeCell ref="AF2:AI2"/>
    <mergeCell ref="BF2:BI2"/>
    <mergeCell ref="F3:I3"/>
    <mergeCell ref="AF3:AI3"/>
    <mergeCell ref="BF3:BI3"/>
    <mergeCell ref="F4:I4"/>
    <mergeCell ref="AF4:AI4"/>
    <mergeCell ref="BF4:BI4"/>
    <mergeCell ref="F99:I99"/>
    <mergeCell ref="F100:I100"/>
    <mergeCell ref="F101:I101"/>
    <mergeCell ref="F102:I102"/>
    <mergeCell ref="F154:I154"/>
    <mergeCell ref="F155:I155"/>
    <mergeCell ref="F156:I156"/>
    <mergeCell ref="F157:I15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926280</xdr:colOff>
                    <xdr:row>3</xdr:row>
                    <xdr:rowOff>9360</xdr:rowOff>
                  </from>
                  <to>
                    <xdr:col>2</xdr:col>
                    <xdr:colOff>-1064880</xdr:colOff>
                    <xdr:row>6</xdr:row>
                    <xdr:rowOff>85680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92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3" ySplit="3" topLeftCell="J8" activePane="bottomRight" state="frozen"/>
      <selection pane="topLeft" activeCell="A5" activeCellId="0" sqref="A5"/>
      <selection pane="topRight" activeCell="J5" activeCellId="0" sqref="J5"/>
      <selection pane="bottomLeft" activeCell="A8" activeCellId="0" sqref="A8"/>
      <selection pane="bottomRight" activeCell="K9" activeCellId="0" sqref="K9 K9"/>
    </sheetView>
  </sheetViews>
  <sheetFormatPr defaultColWidth="10.70703125" defaultRowHeight="14.65" customHeight="true" zeroHeight="false" outlineLevelRow="0" outlineLevelCol="0"/>
  <cols>
    <col collapsed="false" customWidth="true" hidden="false" outlineLevel="0" max="1" min="1" style="91" width="40.7"/>
    <col collapsed="false" customWidth="true" hidden="false" outlineLevel="0" max="2" min="2" style="91" width="10.85"/>
    <col collapsed="false" customWidth="true" hidden="false" outlineLevel="0" max="3" min="3" style="91" width="8.7"/>
    <col collapsed="false" customWidth="true" hidden="false" outlineLevel="0" max="17" min="4" style="91" width="9.7"/>
    <col collapsed="false" customWidth="false" hidden="false" outlineLevel="0" max="18" min="18" style="91" width="10.71"/>
    <col collapsed="false" customWidth="true" hidden="false" outlineLevel="0" max="19" min="19" style="91" width="3.85"/>
    <col collapsed="false" customWidth="true" hidden="false" outlineLevel="0" max="22" min="20" style="91" width="9.7"/>
    <col collapsed="false" customWidth="true" hidden="false" outlineLevel="0" max="23" min="23" style="91" width="5.71"/>
    <col collapsed="false" customWidth="false" hidden="false" outlineLevel="0" max="26" min="24" style="91" width="10.71"/>
    <col collapsed="false" customWidth="true" hidden="false" outlineLevel="0" max="27" min="27" style="91" width="52.7"/>
    <col collapsed="false" customWidth="true" hidden="false" outlineLevel="0" max="29" min="28" style="91" width="9.7"/>
    <col collapsed="false" customWidth="false" hidden="false" outlineLevel="0" max="30" min="30" style="91" width="10.71"/>
    <col collapsed="false" customWidth="true" hidden="false" outlineLevel="0" max="31" min="31" style="91" width="3.7"/>
    <col collapsed="false" customWidth="true" hidden="false" outlineLevel="0" max="34" min="32" style="91" width="9.7"/>
    <col collapsed="false" customWidth="true" hidden="false" outlineLevel="0" max="35" min="35" style="91" width="5.71"/>
    <col collapsed="false" customWidth="true" hidden="false" outlineLevel="0" max="37" min="36" style="91" width="9.7"/>
    <col collapsed="false" customWidth="true" hidden="false" outlineLevel="0" max="38" min="38" style="91" width="5.71"/>
    <col collapsed="false" customWidth="true" hidden="false" outlineLevel="0" max="40" min="39" style="91" width="9.7"/>
    <col collapsed="false" customWidth="true" hidden="false" outlineLevel="0" max="41" min="41" style="91" width="5.71"/>
    <col collapsed="false" customWidth="true" hidden="false" outlineLevel="0" max="43" min="42" style="91" width="9.7"/>
    <col collapsed="false" customWidth="false" hidden="false" outlineLevel="0" max="257" min="44" style="91" width="10.71"/>
  </cols>
  <sheetData>
    <row r="1" customFormat="false" ht="14.65" hidden="false" customHeight="false" outlineLevel="0" collapsed="false">
      <c r="A1" s="92" t="str">
        <f aca="false">BACKUP!A1</f>
        <v>'file:///mnt/12tb/@roms/datasets/enron/EDRM Enron Email Data Set v2 XML/filtered-attachments/xls/TW3rdCECF.xls'#$BACKUP</v>
      </c>
      <c r="B1" s="93"/>
      <c r="C1" s="93"/>
      <c r="D1" s="93"/>
      <c r="E1" s="93"/>
      <c r="F1" s="93"/>
      <c r="G1" s="93"/>
      <c r="H1" s="93"/>
      <c r="I1" s="94" t="str">
        <f aca="false">BACKUP!G1</f>
        <v>TRANSWESTERN PIPELINE GROUP (Including Co. 92)</v>
      </c>
      <c r="J1" s="94"/>
      <c r="K1" s="94"/>
      <c r="L1" s="94"/>
      <c r="M1" s="93"/>
      <c r="N1" s="93"/>
      <c r="O1" s="93"/>
      <c r="P1" s="93"/>
      <c r="Q1" s="93"/>
      <c r="R1" s="93"/>
      <c r="S1" s="93"/>
      <c r="T1" s="93"/>
      <c r="U1" s="93"/>
      <c r="V1" s="95" t="n">
        <f aca="true">NOW()</f>
        <v>45926.9584325097</v>
      </c>
      <c r="W1" s="96"/>
      <c r="X1" s="96"/>
      <c r="Y1" s="96"/>
      <c r="Z1" s="96"/>
      <c r="AA1" s="97" t="str">
        <f aca="false">A1</f>
        <v>'file:///mnt/12tb/@roms/datasets/enron/EDRM Enron Email Data Set v2 XML/filtered-attachments/xls/TW3rdCECF.xls'#$BACKUP</v>
      </c>
      <c r="AB1" s="93"/>
      <c r="AC1" s="93"/>
      <c r="AD1" s="98" t="str">
        <f aca="false">I1</f>
        <v>TRANSWESTERN PIPELINE GROUP (Including Co. 92)</v>
      </c>
      <c r="AE1" s="98"/>
      <c r="AF1" s="98"/>
      <c r="AG1" s="98"/>
      <c r="AH1" s="93"/>
      <c r="AI1" s="93"/>
      <c r="AJ1" s="93"/>
      <c r="AK1" s="99"/>
      <c r="AL1" s="93"/>
      <c r="AM1" s="93"/>
      <c r="AN1" s="96"/>
      <c r="AO1" s="96"/>
      <c r="AP1" s="96"/>
      <c r="AQ1" s="95" t="n">
        <f aca="true">NOW()</f>
        <v>45926.9584325099</v>
      </c>
      <c r="AR1" s="96"/>
      <c r="AS1" s="96"/>
      <c r="AT1" s="96"/>
      <c r="AU1" s="96"/>
    </row>
    <row r="2" customFormat="false" ht="14.65" hidden="false" customHeight="false" outlineLevel="0" collapsed="false">
      <c r="A2" s="100" t="s">
        <v>429</v>
      </c>
      <c r="B2" s="93"/>
      <c r="C2" s="93"/>
      <c r="D2" s="93"/>
      <c r="E2" s="93"/>
      <c r="F2" s="93"/>
      <c r="G2" s="93"/>
      <c r="H2" s="93"/>
      <c r="I2" s="101" t="s">
        <v>430</v>
      </c>
      <c r="J2" s="101"/>
      <c r="K2" s="101"/>
      <c r="L2" s="101"/>
      <c r="M2" s="93"/>
      <c r="N2" s="93"/>
      <c r="O2" s="93"/>
      <c r="P2" s="93"/>
      <c r="Q2" s="93"/>
      <c r="R2" s="93"/>
      <c r="S2" s="93"/>
      <c r="T2" s="93"/>
      <c r="U2" s="93"/>
      <c r="V2" s="102" t="n">
        <f aca="true">NOW()</f>
        <v>45926.9584325099</v>
      </c>
      <c r="W2" s="96"/>
      <c r="X2" s="96"/>
      <c r="Y2" s="96"/>
      <c r="Z2" s="96"/>
      <c r="AA2" s="100" t="s">
        <v>431</v>
      </c>
      <c r="AB2" s="93"/>
      <c r="AC2" s="93"/>
      <c r="AD2" s="98" t="str">
        <f aca="false">I2</f>
        <v>CASH FLOW STATEMENT</v>
      </c>
      <c r="AE2" s="98"/>
      <c r="AF2" s="98"/>
      <c r="AG2" s="98"/>
      <c r="AH2" s="93"/>
      <c r="AI2" s="93"/>
      <c r="AJ2" s="93"/>
      <c r="AK2" s="103"/>
      <c r="AL2" s="93"/>
      <c r="AM2" s="93"/>
      <c r="AN2" s="96"/>
      <c r="AO2" s="96"/>
      <c r="AP2" s="96"/>
      <c r="AQ2" s="102" t="n">
        <f aca="true">NOW()</f>
        <v>45926.9584325101</v>
      </c>
      <c r="AR2" s="96"/>
      <c r="AS2" s="96"/>
      <c r="AT2" s="96"/>
      <c r="AU2" s="96"/>
    </row>
    <row r="3" customFormat="false" ht="14.65" hidden="false" customHeight="false" outlineLevel="0" collapsed="false">
      <c r="A3" s="103"/>
      <c r="B3" s="93"/>
      <c r="C3" s="93"/>
      <c r="D3" s="93"/>
      <c r="E3" s="93"/>
      <c r="F3" s="93"/>
      <c r="G3" s="93"/>
      <c r="H3" s="93"/>
      <c r="I3" s="94" t="str">
        <f aca="false">BACKUP!G3</f>
        <v>2001 ACTUAL / ESTIMATE</v>
      </c>
      <c r="J3" s="94"/>
      <c r="K3" s="94"/>
      <c r="L3" s="94"/>
      <c r="M3" s="93"/>
      <c r="N3" s="93"/>
      <c r="O3" s="93"/>
      <c r="P3" s="93"/>
      <c r="Q3" s="93"/>
      <c r="R3" s="93"/>
      <c r="S3" s="93"/>
      <c r="T3" s="93"/>
      <c r="U3" s="93"/>
      <c r="V3" s="93"/>
      <c r="W3" s="96"/>
      <c r="X3" s="96"/>
      <c r="Y3" s="96"/>
      <c r="Z3" s="96"/>
      <c r="AA3" s="103"/>
      <c r="AB3" s="93"/>
      <c r="AC3" s="93"/>
      <c r="AD3" s="98" t="str">
        <f aca="false">I3</f>
        <v>2001 ACTUAL / ESTIMATE</v>
      </c>
      <c r="AE3" s="98"/>
      <c r="AF3" s="98"/>
      <c r="AG3" s="98"/>
      <c r="AH3" s="93"/>
      <c r="AI3" s="93"/>
      <c r="AJ3" s="93"/>
      <c r="AK3" s="93"/>
      <c r="AL3" s="93"/>
      <c r="AM3" s="93"/>
      <c r="AN3" s="93"/>
      <c r="AO3" s="96"/>
      <c r="AP3" s="96"/>
      <c r="AQ3" s="96"/>
      <c r="AR3" s="96"/>
      <c r="AS3" s="96"/>
      <c r="AT3" s="96"/>
      <c r="AU3" s="96"/>
    </row>
    <row r="4" customFormat="false" ht="14.65" hidden="false" customHeight="false" outlineLevel="0" collapsed="false">
      <c r="A4" s="93"/>
      <c r="B4" s="93"/>
      <c r="C4" s="93"/>
      <c r="D4" s="93"/>
      <c r="E4" s="93"/>
      <c r="F4" s="93"/>
      <c r="G4" s="93"/>
      <c r="H4" s="93"/>
      <c r="I4" s="94" t="str">
        <f aca="false">BACKUP!G4</f>
        <v>(Thousands of Dollars)</v>
      </c>
      <c r="J4" s="94"/>
      <c r="K4" s="94"/>
      <c r="L4" s="94"/>
      <c r="M4" s="93"/>
      <c r="N4" s="93"/>
      <c r="O4" s="93"/>
      <c r="P4" s="93"/>
      <c r="Q4" s="93"/>
      <c r="R4" s="93"/>
      <c r="S4" s="93"/>
      <c r="T4" s="93"/>
      <c r="U4" s="93"/>
      <c r="V4" s="93"/>
      <c r="W4" s="96"/>
      <c r="X4" s="96"/>
      <c r="Y4" s="96"/>
      <c r="Z4" s="96"/>
      <c r="AA4" s="93"/>
      <c r="AB4" s="93"/>
      <c r="AC4" s="93"/>
      <c r="AD4" s="98" t="str">
        <f aca="false">I4</f>
        <v>(Thousands of Dollars)</v>
      </c>
      <c r="AE4" s="98"/>
      <c r="AF4" s="98"/>
      <c r="AG4" s="98"/>
      <c r="AH4" s="93"/>
      <c r="AI4" s="93"/>
      <c r="AJ4" s="93"/>
      <c r="AK4" s="93"/>
      <c r="AL4" s="93"/>
      <c r="AM4" s="93"/>
      <c r="AN4" s="93"/>
      <c r="AO4" s="96"/>
      <c r="AP4" s="96"/>
      <c r="AQ4" s="96"/>
      <c r="AR4" s="96"/>
      <c r="AS4" s="96"/>
      <c r="AT4" s="96"/>
      <c r="AU4" s="96"/>
    </row>
    <row r="5" customFormat="false" ht="14.65" hidden="false" customHeight="false" outlineLevel="0" collapsed="false">
      <c r="A5" s="93"/>
      <c r="B5" s="93"/>
      <c r="C5" s="93"/>
      <c r="D5" s="104" t="n">
        <f aca="false">BACKUP!D6</f>
        <v>0</v>
      </c>
      <c r="E5" s="104" t="n">
        <f aca="false">BACKUP!E6</f>
        <v>0</v>
      </c>
      <c r="F5" s="104" t="n">
        <f aca="false">BACKUP!F6</f>
        <v>0</v>
      </c>
      <c r="G5" s="104" t="n">
        <f aca="false">BACKUP!G6</f>
        <v>0</v>
      </c>
      <c r="H5" s="104" t="n">
        <f aca="false">BACKUP!H6</f>
        <v>0</v>
      </c>
      <c r="I5" s="104" t="n">
        <f aca="false">BACKUP!I6</f>
        <v>0</v>
      </c>
      <c r="J5" s="104" t="n">
        <f aca="false">BACKUP!J6</f>
        <v>0</v>
      </c>
      <c r="K5" s="104" t="str">
        <f aca="false">BACKUP!K6</f>
        <v>PRE</v>
      </c>
      <c r="L5" s="104" t="n">
        <f aca="false">BACKUP!L6</f>
        <v>0</v>
      </c>
      <c r="M5" s="104" t="n">
        <f aca="false">BACKUP!M6</f>
        <v>0</v>
      </c>
      <c r="N5" s="104" t="n">
        <f aca="false">BACKUP!N6</f>
        <v>0</v>
      </c>
      <c r="O5" s="104" t="n">
        <f aca="false">BACKUP!O6</f>
        <v>0</v>
      </c>
      <c r="P5" s="105"/>
      <c r="Q5" s="93"/>
      <c r="R5" s="105"/>
      <c r="S5" s="93"/>
      <c r="T5" s="106"/>
      <c r="U5" s="93"/>
      <c r="V5" s="107" t="n">
        <f aca="false">T5</f>
        <v>0</v>
      </c>
      <c r="W5" s="96"/>
      <c r="X5" s="96"/>
      <c r="Y5" s="96"/>
      <c r="Z5" s="96"/>
      <c r="AA5" s="93"/>
      <c r="AB5" s="93"/>
      <c r="AC5" s="93"/>
      <c r="AD5" s="93"/>
      <c r="AE5" s="93"/>
      <c r="AF5" s="107" t="n">
        <f aca="false">T5</f>
        <v>0</v>
      </c>
      <c r="AG5" s="93"/>
      <c r="AH5" s="107" t="n">
        <f aca="false">V5</f>
        <v>0</v>
      </c>
      <c r="AI5" s="93"/>
      <c r="AJ5" s="108"/>
      <c r="AK5" s="107" t="n">
        <f aca="false">T5</f>
        <v>0</v>
      </c>
      <c r="AL5" s="93"/>
      <c r="AM5" s="108"/>
      <c r="AN5" s="109"/>
      <c r="AO5" s="96"/>
      <c r="AP5" s="110"/>
      <c r="AQ5" s="111"/>
      <c r="AR5" s="96"/>
      <c r="AS5" s="96"/>
      <c r="AT5" s="96"/>
      <c r="AU5" s="96"/>
    </row>
    <row r="6" customFormat="false" ht="14.65" hidden="false" customHeight="false" outlineLevel="0" collapsed="false">
      <c r="A6" s="93"/>
      <c r="B6" s="93"/>
      <c r="C6" s="93"/>
      <c r="D6" s="104" t="str">
        <f aca="false">BACKUP!D7</f>
        <v>ACT.</v>
      </c>
      <c r="E6" s="104" t="str">
        <f aca="false">BACKUP!E7</f>
        <v>ACT.</v>
      </c>
      <c r="F6" s="104" t="str">
        <f aca="false">BACKUP!F7</f>
        <v>ACT.</v>
      </c>
      <c r="G6" s="104" t="str">
        <f aca="false">BACKUP!G7</f>
        <v>ACT.</v>
      </c>
      <c r="H6" s="104" t="str">
        <f aca="false">BACKUP!H7</f>
        <v>ACT.</v>
      </c>
      <c r="I6" s="104" t="str">
        <f aca="false">BACKUP!I7</f>
        <v>ACT.</v>
      </c>
      <c r="J6" s="104" t="str">
        <f aca="false">BACKUP!J7</f>
        <v>ACT.</v>
      </c>
      <c r="K6" s="104" t="str">
        <f aca="false">BACKUP!K7</f>
        <v>ACT.</v>
      </c>
      <c r="L6" s="104" t="str">
        <f aca="false">BACKUP!L7</f>
        <v>3rd CE</v>
      </c>
      <c r="M6" s="104" t="str">
        <f aca="false">BACKUP!M7</f>
        <v>3rd CE</v>
      </c>
      <c r="N6" s="104" t="str">
        <f aca="false">BACKUP!N7</f>
        <v>3rd CE</v>
      </c>
      <c r="O6" s="104" t="str">
        <f aca="false">BACKUP!O7</f>
        <v>3rd CE</v>
      </c>
      <c r="P6" s="104" t="str">
        <f aca="false">BACKUP!P7</f>
        <v>TOTAL</v>
      </c>
      <c r="Q6" s="112" t="s">
        <v>10</v>
      </c>
      <c r="R6" s="104" t="str">
        <f aca="false">BACKUP!R7</f>
        <v>ESTIMATED</v>
      </c>
      <c r="S6" s="109"/>
      <c r="T6" s="112" t="s">
        <v>432</v>
      </c>
      <c r="U6" s="112" t="s">
        <v>433</v>
      </c>
      <c r="V6" s="107" t="str">
        <f aca="false">T6</f>
        <v>PLAN</v>
      </c>
      <c r="W6" s="96"/>
      <c r="X6" s="96"/>
      <c r="Y6" s="96"/>
      <c r="Z6" s="96"/>
      <c r="AA6" s="93"/>
      <c r="AB6" s="107" t="str">
        <f aca="false">P6</f>
        <v>TOTAL</v>
      </c>
      <c r="AC6" s="112" t="s">
        <v>433</v>
      </c>
      <c r="AD6" s="113" t="str">
        <f aca="false">R6</f>
        <v>ESTIMATED</v>
      </c>
      <c r="AE6" s="93"/>
      <c r="AF6" s="107" t="str">
        <f aca="false">T6</f>
        <v>PLAN</v>
      </c>
      <c r="AG6" s="113" t="str">
        <f aca="false">AC6</f>
        <v>SEPT.</v>
      </c>
      <c r="AH6" s="107" t="str">
        <f aca="false">V6</f>
        <v>PLAN</v>
      </c>
      <c r="AI6" s="93"/>
      <c r="AJ6" s="114" t="s">
        <v>434</v>
      </c>
      <c r="AK6" s="114"/>
      <c r="AL6" s="93"/>
      <c r="AM6" s="115" t="s">
        <v>435</v>
      </c>
      <c r="AN6" s="115"/>
      <c r="AO6" s="96"/>
      <c r="AP6" s="115" t="s">
        <v>436</v>
      </c>
      <c r="AQ6" s="115"/>
      <c r="AR6" s="96"/>
      <c r="AS6" s="96"/>
      <c r="AT6" s="96"/>
      <c r="AU6" s="96"/>
    </row>
    <row r="7" customFormat="false" ht="12.95" hidden="false" customHeight="true" outlineLevel="0" collapsed="false">
      <c r="A7" s="93"/>
      <c r="B7" s="93"/>
      <c r="C7" s="93"/>
      <c r="D7" s="116" t="str">
        <f aca="false">BACKUP!D8</f>
        <v>JAN</v>
      </c>
      <c r="E7" s="116" t="str">
        <f aca="false">BACKUP!E8</f>
        <v>FEB</v>
      </c>
      <c r="F7" s="116" t="str">
        <f aca="false">BACKUP!F8</f>
        <v>MAR</v>
      </c>
      <c r="G7" s="116" t="str">
        <f aca="false">BACKUP!G8</f>
        <v>APR</v>
      </c>
      <c r="H7" s="116" t="str">
        <f aca="false">BACKUP!H8</f>
        <v>MAY</v>
      </c>
      <c r="I7" s="116" t="str">
        <f aca="false">BACKUP!I8</f>
        <v>JUN</v>
      </c>
      <c r="J7" s="116" t="str">
        <f aca="false">BACKUP!J8</f>
        <v>JUL</v>
      </c>
      <c r="K7" s="116" t="str">
        <f aca="false">BACKUP!K8</f>
        <v>AUG</v>
      </c>
      <c r="L7" s="116" t="str">
        <f aca="false">BACKUP!L8</f>
        <v>SEP</v>
      </c>
      <c r="M7" s="116" t="str">
        <f aca="false">BACKUP!M8</f>
        <v>OCT</v>
      </c>
      <c r="N7" s="116" t="str">
        <f aca="false">BACKUP!N8</f>
        <v>NOV</v>
      </c>
      <c r="O7" s="116" t="str">
        <f aca="false">BACKUP!O8</f>
        <v>DEC</v>
      </c>
      <c r="P7" s="116" t="n">
        <f aca="false">BACKUP!P8</f>
        <v>2001</v>
      </c>
      <c r="Q7" s="116" t="str">
        <f aca="false">BACKUP!Q8</f>
        <v>Y-T-D</v>
      </c>
      <c r="R7" s="116" t="str">
        <f aca="false">BACKUP!R8</f>
        <v>R.M.</v>
      </c>
      <c r="S7" s="109"/>
      <c r="T7" s="117" t="n">
        <f aca="false">P7</f>
        <v>2001</v>
      </c>
      <c r="U7" s="117" t="str">
        <f aca="false">Q7</f>
        <v>Y-T-D</v>
      </c>
      <c r="V7" s="117" t="str">
        <f aca="false">R7</f>
        <v>R.M.</v>
      </c>
      <c r="W7" s="96"/>
      <c r="X7" s="96"/>
      <c r="Y7" s="96"/>
      <c r="Z7" s="96"/>
      <c r="AA7" s="93"/>
      <c r="AB7" s="117" t="n">
        <f aca="false">P7</f>
        <v>2001</v>
      </c>
      <c r="AC7" s="118" t="str">
        <f aca="false">Q7</f>
        <v>Y-T-D</v>
      </c>
      <c r="AD7" s="118" t="str">
        <f aca="false">R7</f>
        <v>R.M.</v>
      </c>
      <c r="AE7" s="93"/>
      <c r="AF7" s="117" t="n">
        <f aca="false">T7</f>
        <v>2001</v>
      </c>
      <c r="AG7" s="118" t="str">
        <f aca="false">AC7</f>
        <v>Y-T-D</v>
      </c>
      <c r="AH7" s="117" t="str">
        <f aca="false">V7</f>
        <v>R.M.</v>
      </c>
      <c r="AI7" s="93"/>
      <c r="AJ7" s="118" t="str">
        <f aca="false">AC7</f>
        <v>Y-T-D</v>
      </c>
      <c r="AK7" s="119" t="s">
        <v>437</v>
      </c>
      <c r="AL7" s="109"/>
      <c r="AM7" s="117" t="str">
        <f aca="false">AK7</f>
        <v>ANNUAL</v>
      </c>
      <c r="AN7" s="119" t="s">
        <v>438</v>
      </c>
      <c r="AO7" s="96"/>
      <c r="AP7" s="120" t="s">
        <v>435</v>
      </c>
      <c r="AQ7" s="118" t="str">
        <f aca="false">AN7</f>
        <v>Variance</v>
      </c>
      <c r="AR7" s="96"/>
      <c r="AS7" s="96"/>
      <c r="AT7" s="96"/>
      <c r="AU7" s="96"/>
    </row>
    <row r="8" customFormat="false" ht="12.75" hidden="false" customHeight="true" outlineLevel="0" collapsed="false">
      <c r="A8" s="121" t="s">
        <v>439</v>
      </c>
      <c r="B8" s="96"/>
      <c r="C8" s="96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3" t="str">
        <f aca="false">A8</f>
        <v>CASH FLOW FROM OPERATING ACTIVITIES</v>
      </c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123"/>
      <c r="AN8" s="96"/>
      <c r="AO8" s="96"/>
      <c r="AP8" s="123"/>
      <c r="AQ8" s="96"/>
      <c r="AR8" s="96"/>
      <c r="AS8" s="96"/>
      <c r="AT8" s="96"/>
      <c r="AU8" s="96"/>
    </row>
    <row r="9" customFormat="false" ht="14.65" hidden="false" customHeight="false" outlineLevel="0" collapsed="false">
      <c r="A9" s="124" t="s">
        <v>440</v>
      </c>
      <c r="B9" s="96"/>
      <c r="C9" s="96"/>
      <c r="D9" s="125" t="n">
        <f aca="false">BACKUP!D468+BACKUP!D469+BACKUP!D470</f>
        <v>6658</v>
      </c>
      <c r="E9" s="125" t="n">
        <f aca="false">BACKUP!E468+BACKUP!E469+BACKUP!E470</f>
        <v>8540</v>
      </c>
      <c r="F9" s="125" t="n">
        <f aca="false">BACKUP!F468+BACKUP!F469+BACKUP!F470</f>
        <v>3341</v>
      </c>
      <c r="G9" s="125" t="n">
        <f aca="false">BACKUP!G468+BACKUP!G469+BACKUP!G470</f>
        <v>8154</v>
      </c>
      <c r="H9" s="125" t="n">
        <f aca="false">BACKUP!H468+BACKUP!H469+BACKUP!H470</f>
        <v>7578</v>
      </c>
      <c r="I9" s="125" t="n">
        <f aca="false">BACKUP!I468+BACKUP!I469+BACKUP!I470</f>
        <v>6296</v>
      </c>
      <c r="J9" s="125" t="n">
        <f aca="false">BACKUP!J468+BACKUP!J469+BACKUP!J470</f>
        <v>6729</v>
      </c>
      <c r="K9" s="125" t="n">
        <f aca="false">BACKUP!K468+BACKUP!K469+BACKUP!K470</f>
        <v>6322</v>
      </c>
      <c r="L9" s="122" t="n">
        <f aca="false">BACKUP!L468+BACKUP!L469+BACKUP!L470</f>
        <v>11911</v>
      </c>
      <c r="M9" s="122" t="n">
        <f aca="false">BACKUP!M468+BACKUP!M469+BACKUP!M470</f>
        <v>6314</v>
      </c>
      <c r="N9" s="122" t="n">
        <f aca="false">BACKUP!N468+BACKUP!N469+BACKUP!N470</f>
        <v>6047</v>
      </c>
      <c r="O9" s="122" t="n">
        <f aca="false">BACKUP!O468+BACKUP!O469+BACKUP!O470</f>
        <v>6386</v>
      </c>
      <c r="P9" s="122" t="n">
        <f aca="false">SUM(D9:O9)</f>
        <v>84276</v>
      </c>
      <c r="Q9" s="123" t="n">
        <f aca="false">SUM(D9:J9)</f>
        <v>47296</v>
      </c>
      <c r="R9" s="122" t="n">
        <f aca="false">P9-Q9</f>
        <v>36980</v>
      </c>
      <c r="S9" s="96"/>
      <c r="T9" s="123" t="n">
        <v>72797</v>
      </c>
      <c r="U9" s="123" t="n">
        <v>54234</v>
      </c>
      <c r="V9" s="122" t="n">
        <f aca="false">T9-U9</f>
        <v>18563</v>
      </c>
      <c r="W9" s="96"/>
      <c r="X9" s="122"/>
      <c r="Y9" s="122"/>
      <c r="Z9" s="96"/>
      <c r="AA9" s="96" t="str">
        <f aca="false">A9</f>
        <v>   Net Income </v>
      </c>
      <c r="AB9" s="122" t="n">
        <f aca="false">P9</f>
        <v>84276</v>
      </c>
      <c r="AC9" s="123" t="n">
        <f aca="false">SUM(D9:L9)</f>
        <v>65529</v>
      </c>
      <c r="AD9" s="122" t="n">
        <f aca="false">AB9-AC9</f>
        <v>18747</v>
      </c>
      <c r="AE9" s="96"/>
      <c r="AF9" s="122" t="n">
        <f aca="false">T9</f>
        <v>72797</v>
      </c>
      <c r="AG9" s="122" t="n">
        <f aca="false">U9</f>
        <v>54234</v>
      </c>
      <c r="AH9" s="122" t="n">
        <f aca="false">AF9-AG9</f>
        <v>18563</v>
      </c>
      <c r="AI9" s="96"/>
      <c r="AJ9" s="122" t="n">
        <f aca="false">AC9-AG9</f>
        <v>11295</v>
      </c>
      <c r="AK9" s="122" t="n">
        <f aca="false">AB9-AF9</f>
        <v>11479</v>
      </c>
      <c r="AL9" s="96"/>
      <c r="AM9" s="123" t="n">
        <v>84501</v>
      </c>
      <c r="AN9" s="122" t="n">
        <f aca="false">AB9-AM9</f>
        <v>-225</v>
      </c>
      <c r="AO9" s="96"/>
      <c r="AP9" s="123" t="n">
        <v>65754</v>
      </c>
      <c r="AQ9" s="122" t="n">
        <f aca="false">AC9-AP9</f>
        <v>-225</v>
      </c>
      <c r="AR9" s="96"/>
      <c r="AS9" s="96"/>
      <c r="AT9" s="96"/>
      <c r="AU9" s="96"/>
    </row>
    <row r="10" customFormat="false" ht="14.65" hidden="false" customHeight="false" outlineLevel="0" collapsed="false">
      <c r="A10" s="124" t="s">
        <v>441</v>
      </c>
      <c r="B10" s="96"/>
      <c r="C10" s="96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96"/>
      <c r="Q10" s="126"/>
      <c r="R10" s="96"/>
      <c r="S10" s="96"/>
      <c r="T10" s="123"/>
      <c r="U10" s="123"/>
      <c r="V10" s="96"/>
      <c r="W10" s="96"/>
      <c r="X10" s="96"/>
      <c r="Y10" s="96"/>
      <c r="Z10" s="96"/>
      <c r="AA10" s="96" t="str">
        <f aca="false">A10</f>
        <v>   Items not affecting Working Capital:</v>
      </c>
      <c r="AB10" s="96"/>
      <c r="AC10" s="96"/>
      <c r="AD10" s="96"/>
      <c r="AE10" s="96"/>
      <c r="AF10" s="96"/>
      <c r="AG10" s="123"/>
      <c r="AH10" s="96"/>
      <c r="AI10" s="96"/>
      <c r="AJ10" s="96"/>
      <c r="AK10" s="96"/>
      <c r="AL10" s="96"/>
      <c r="AM10" s="123"/>
      <c r="AN10" s="96"/>
      <c r="AO10" s="96"/>
      <c r="AP10" s="123"/>
      <c r="AQ10" s="96"/>
      <c r="AR10" s="96"/>
      <c r="AS10" s="96"/>
      <c r="AT10" s="96"/>
      <c r="AU10" s="96"/>
    </row>
    <row r="11" customFormat="false" ht="14.65" hidden="false" customHeight="false" outlineLevel="0" collapsed="false">
      <c r="A11" s="124" t="s">
        <v>442</v>
      </c>
      <c r="B11" s="96"/>
      <c r="C11" s="96"/>
      <c r="D11" s="122" t="n">
        <f aca="false">D276+D275+D279</f>
        <v>1621</v>
      </c>
      <c r="E11" s="127" t="n">
        <f aca="false">E276+E275+E279+1</f>
        <v>1587</v>
      </c>
      <c r="F11" s="122" t="n">
        <f aca="false">F276+F275+F279</f>
        <v>1631</v>
      </c>
      <c r="G11" s="127" t="n">
        <f aca="false">G276+G275+G279-1</f>
        <v>1643</v>
      </c>
      <c r="H11" s="122" t="n">
        <f aca="false">H276+H275+H279</f>
        <v>1600</v>
      </c>
      <c r="I11" s="122" t="n">
        <f aca="false">I276+I275+I279</f>
        <v>1710</v>
      </c>
      <c r="J11" s="122" t="n">
        <f aca="false">J276+J275+J279</f>
        <v>1700</v>
      </c>
      <c r="K11" s="122" t="n">
        <f aca="false">K276+K275+K279</f>
        <v>1750</v>
      </c>
      <c r="L11" s="122" t="n">
        <f aca="false">L276+L275+L279</f>
        <v>1750</v>
      </c>
      <c r="M11" s="122" t="n">
        <f aca="false">M276+M275+M279</f>
        <v>1850</v>
      </c>
      <c r="N11" s="122" t="n">
        <f aca="false">N276+N275+N279</f>
        <v>1850</v>
      </c>
      <c r="O11" s="122" t="n">
        <f aca="false">O276+O275+O279</f>
        <v>1850</v>
      </c>
      <c r="P11" s="122" t="n">
        <f aca="false">SUM(D11:O11)</f>
        <v>20542</v>
      </c>
      <c r="Q11" s="123" t="n">
        <f aca="false">SUM(D11:J11)</f>
        <v>11492</v>
      </c>
      <c r="R11" s="122" t="n">
        <f aca="false">P11-Q11</f>
        <v>9050</v>
      </c>
      <c r="S11" s="96"/>
      <c r="T11" s="123" t="n">
        <v>21996</v>
      </c>
      <c r="U11" s="123" t="n">
        <v>16497</v>
      </c>
      <c r="V11" s="122" t="n">
        <f aca="false">T11-U11</f>
        <v>5499</v>
      </c>
      <c r="W11" s="96"/>
      <c r="X11" s="122"/>
      <c r="Y11" s="122"/>
      <c r="Z11" s="96"/>
      <c r="AA11" s="96" t="str">
        <f aca="false">A11</f>
        <v>      Depreciation and Amortization</v>
      </c>
      <c r="AB11" s="122" t="n">
        <f aca="false">P11</f>
        <v>20542</v>
      </c>
      <c r="AC11" s="123" t="n">
        <f aca="false">SUM(D11:L11)</f>
        <v>14992</v>
      </c>
      <c r="AD11" s="122" t="n">
        <f aca="false">AB11-AC11</f>
        <v>5550</v>
      </c>
      <c r="AE11" s="96"/>
      <c r="AF11" s="122" t="n">
        <f aca="false">T11</f>
        <v>21996</v>
      </c>
      <c r="AG11" s="122" t="n">
        <f aca="false">U11</f>
        <v>16497</v>
      </c>
      <c r="AH11" s="122" t="n">
        <f aca="false">AF11-AG11</f>
        <v>5499</v>
      </c>
      <c r="AI11" s="96"/>
      <c r="AJ11" s="122" t="n">
        <f aca="false">AC11-AG11</f>
        <v>-1505</v>
      </c>
      <c r="AK11" s="122" t="n">
        <f aca="false">AB11-AF11</f>
        <v>-1454</v>
      </c>
      <c r="AL11" s="96"/>
      <c r="AM11" s="123" t="n">
        <v>20542</v>
      </c>
      <c r="AN11" s="122" t="n">
        <f aca="false">AB11-AM11</f>
        <v>0</v>
      </c>
      <c r="AO11" s="96"/>
      <c r="AP11" s="123" t="n">
        <v>14992</v>
      </c>
      <c r="AQ11" s="122" t="n">
        <f aca="false">AC11-AP11</f>
        <v>0</v>
      </c>
      <c r="AR11" s="96"/>
      <c r="AS11" s="96"/>
      <c r="AT11" s="96"/>
      <c r="AU11" s="96"/>
    </row>
    <row r="12" customFormat="false" ht="14.65" hidden="false" customHeight="false" outlineLevel="0" collapsed="false">
      <c r="A12" s="124" t="s">
        <v>443</v>
      </c>
      <c r="B12" s="96"/>
      <c r="C12" s="96"/>
      <c r="D12" s="122" t="n">
        <f aca="false">-D288</f>
        <v>-0</v>
      </c>
      <c r="E12" s="122" t="n">
        <f aca="false">-E288</f>
        <v>-0</v>
      </c>
      <c r="F12" s="122" t="n">
        <f aca="false">-F288</f>
        <v>-0</v>
      </c>
      <c r="G12" s="122" t="n">
        <f aca="false">-G288</f>
        <v>-0</v>
      </c>
      <c r="H12" s="122" t="n">
        <f aca="false">-H288</f>
        <v>-0</v>
      </c>
      <c r="I12" s="122" t="n">
        <f aca="false">-I288</f>
        <v>-0</v>
      </c>
      <c r="J12" s="122" t="n">
        <f aca="false">-J288</f>
        <v>-0</v>
      </c>
      <c r="K12" s="122" t="n">
        <f aca="false">-K288</f>
        <v>-0</v>
      </c>
      <c r="L12" s="122" t="n">
        <f aca="false">-L288</f>
        <v>-0</v>
      </c>
      <c r="M12" s="122" t="n">
        <f aca="false">-M288</f>
        <v>-0</v>
      </c>
      <c r="N12" s="122" t="n">
        <f aca="false">-N288</f>
        <v>-0</v>
      </c>
      <c r="O12" s="122" t="n">
        <f aca="false">-O288</f>
        <v>-0</v>
      </c>
      <c r="P12" s="122" t="n">
        <f aca="false">SUM(D12:O12)</f>
        <v>0</v>
      </c>
      <c r="Q12" s="123" t="n">
        <f aca="false">SUM(D12:J12)</f>
        <v>0</v>
      </c>
      <c r="R12" s="122" t="n">
        <f aca="false">P12-Q12</f>
        <v>0</v>
      </c>
      <c r="S12" s="96"/>
      <c r="T12" s="128" t="n">
        <f aca="false">1284-1284</f>
        <v>0</v>
      </c>
      <c r="U12" s="128" t="n">
        <f aca="false">963-963</f>
        <v>0</v>
      </c>
      <c r="V12" s="122" t="n">
        <f aca="false">T12-U12</f>
        <v>0</v>
      </c>
      <c r="W12" s="96"/>
      <c r="X12" s="122"/>
      <c r="Y12" s="122"/>
      <c r="Z12" s="96"/>
      <c r="AA12" s="96" t="str">
        <f aca="false">A12</f>
        <v>      Regulatory Amortization - TCR</v>
      </c>
      <c r="AB12" s="122" t="n">
        <f aca="false">P12</f>
        <v>0</v>
      </c>
      <c r="AC12" s="123" t="n">
        <f aca="false">SUM(D12:L12)</f>
        <v>0</v>
      </c>
      <c r="AD12" s="122" t="n">
        <f aca="false">AB12-AC12</f>
        <v>0</v>
      </c>
      <c r="AE12" s="96"/>
      <c r="AF12" s="122" t="n">
        <f aca="false">T12</f>
        <v>0</v>
      </c>
      <c r="AG12" s="122" t="n">
        <f aca="false">U12</f>
        <v>0</v>
      </c>
      <c r="AH12" s="122" t="n">
        <f aca="false">AF12-AG12</f>
        <v>0</v>
      </c>
      <c r="AI12" s="96"/>
      <c r="AJ12" s="122" t="n">
        <f aca="false">AC12-AG12</f>
        <v>0</v>
      </c>
      <c r="AK12" s="122" t="n">
        <f aca="false">AB12-AF12</f>
        <v>0</v>
      </c>
      <c r="AL12" s="96"/>
      <c r="AM12" s="123" t="n">
        <v>0</v>
      </c>
      <c r="AN12" s="122" t="n">
        <f aca="false">AB12-AM12</f>
        <v>0</v>
      </c>
      <c r="AO12" s="96"/>
      <c r="AP12" s="123" t="n">
        <v>0</v>
      </c>
      <c r="AQ12" s="122" t="n">
        <f aca="false">AC12-AP12</f>
        <v>0</v>
      </c>
      <c r="AR12" s="96"/>
      <c r="AS12" s="96"/>
      <c r="AT12" s="96"/>
      <c r="AU12" s="96"/>
    </row>
    <row r="13" customFormat="false" ht="14.65" hidden="false" customHeight="false" outlineLevel="0" collapsed="false">
      <c r="A13" s="124" t="s">
        <v>444</v>
      </c>
      <c r="B13" s="96"/>
      <c r="C13" s="96"/>
      <c r="D13" s="129" t="n">
        <f aca="false">+BACKUP!D354+BACKUP!D364-BACKUP!D359</f>
        <v>150</v>
      </c>
      <c r="E13" s="129" t="n">
        <f aca="false">+BACKUP!E354+BACKUP!E364-BACKUP!E359</f>
        <v>92</v>
      </c>
      <c r="F13" s="129" t="n">
        <f aca="false">+BACKUP!F354+BACKUP!F364-BACKUP!F359-1</f>
        <v>-4693</v>
      </c>
      <c r="G13" s="129" t="n">
        <f aca="false">+BACKUP!G354+BACKUP!G364-BACKUP!G359+1</f>
        <v>802</v>
      </c>
      <c r="H13" s="129" t="n">
        <f aca="false">+BACKUP!H354+BACKUP!H364-BACKUP!H359</f>
        <v>259</v>
      </c>
      <c r="I13" s="129" t="n">
        <f aca="false">+BACKUP!I354+BACKUP!I364-BACKUP!I359</f>
        <v>6</v>
      </c>
      <c r="J13" s="129" t="n">
        <f aca="false">+BACKUP!J354+BACKUP!J364-BACKUP!J359</f>
        <v>135</v>
      </c>
      <c r="K13" s="129" t="n">
        <f aca="false">+BACKUP!K354+BACKUP!K364-BACKUP!K359</f>
        <v>127</v>
      </c>
      <c r="L13" s="129" t="n">
        <f aca="false">+BACKUP!L354+BACKUP!L364-BACKUP!L359</f>
        <v>5365</v>
      </c>
      <c r="M13" s="129" t="n">
        <f aca="false">+BACKUP!M354+BACKUP!M364-BACKUP!M359</f>
        <v>3241</v>
      </c>
      <c r="N13" s="129" t="n">
        <f aca="false">+BACKUP!N354+BACKUP!N364-BACKUP!N359</f>
        <v>-730</v>
      </c>
      <c r="O13" s="129" t="n">
        <f aca="false">+BACKUP!O354+BACKUP!O364-BACKUP!O359</f>
        <v>45</v>
      </c>
      <c r="P13" s="122" t="n">
        <f aca="false">SUM(D13:O13)</f>
        <v>4799</v>
      </c>
      <c r="Q13" s="123" t="n">
        <f aca="false">SUM(D13:J13)</f>
        <v>-3249</v>
      </c>
      <c r="R13" s="122" t="n">
        <f aca="false">P13-Q13</f>
        <v>8048</v>
      </c>
      <c r="S13" s="96"/>
      <c r="T13" s="123" t="n">
        <v>298</v>
      </c>
      <c r="U13" s="123" t="n">
        <v>921</v>
      </c>
      <c r="V13" s="122" t="n">
        <f aca="false">T13-U13</f>
        <v>-623</v>
      </c>
      <c r="W13" s="96"/>
      <c r="X13" s="122"/>
      <c r="Y13" s="122"/>
      <c r="Z13" s="96"/>
      <c r="AA13" s="96" t="str">
        <f aca="false">A13</f>
        <v>      Deferred Income Taxes - Both Current and Noncurrent</v>
      </c>
      <c r="AB13" s="122" t="n">
        <f aca="false">P13</f>
        <v>4799</v>
      </c>
      <c r="AC13" s="123" t="n">
        <f aca="false">SUM(D13:L13)</f>
        <v>2243</v>
      </c>
      <c r="AD13" s="122" t="n">
        <f aca="false">AB13-AC13</f>
        <v>2556</v>
      </c>
      <c r="AE13" s="96"/>
      <c r="AF13" s="122" t="n">
        <f aca="false">T13</f>
        <v>298</v>
      </c>
      <c r="AG13" s="122" t="n">
        <f aca="false">U13</f>
        <v>921</v>
      </c>
      <c r="AH13" s="122" t="n">
        <f aca="false">AF13-AG13</f>
        <v>-623</v>
      </c>
      <c r="AI13" s="96"/>
      <c r="AJ13" s="122" t="n">
        <f aca="false">AC13-AG13</f>
        <v>1322</v>
      </c>
      <c r="AK13" s="122" t="n">
        <f aca="false">AB13-AF13</f>
        <v>4501</v>
      </c>
      <c r="AL13" s="96"/>
      <c r="AM13" s="123" t="n">
        <v>4799</v>
      </c>
      <c r="AN13" s="122" t="n">
        <f aca="false">AB13-AM13</f>
        <v>0</v>
      </c>
      <c r="AO13" s="96"/>
      <c r="AP13" s="123" t="n">
        <v>2243</v>
      </c>
      <c r="AQ13" s="122" t="n">
        <f aca="false">AC13-AP13</f>
        <v>0</v>
      </c>
      <c r="AR13" s="96"/>
      <c r="AS13" s="96"/>
      <c r="AT13" s="96"/>
      <c r="AU13" s="96"/>
    </row>
    <row r="14" customFormat="false" ht="3.95" hidden="false" customHeight="true" outlineLevel="0" collapsed="false">
      <c r="A14" s="108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</row>
    <row r="15" customFormat="false" ht="14.65" hidden="false" customHeight="false" outlineLevel="0" collapsed="false">
      <c r="A15" s="124" t="s">
        <v>445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123"/>
      <c r="R15" s="96"/>
      <c r="S15" s="96"/>
      <c r="T15" s="123"/>
      <c r="U15" s="123"/>
      <c r="V15" s="96"/>
      <c r="W15" s="96"/>
      <c r="X15" s="96"/>
      <c r="Y15" s="96"/>
      <c r="Z15" s="96"/>
      <c r="AA15" s="96" t="str">
        <f aca="false">A15</f>
        <v>   Working Capital Changes:</v>
      </c>
      <c r="AB15" s="96"/>
      <c r="AC15" s="96"/>
      <c r="AD15" s="96"/>
      <c r="AE15" s="96"/>
      <c r="AF15" s="96"/>
      <c r="AG15" s="123"/>
      <c r="AH15" s="96"/>
      <c r="AI15" s="96"/>
      <c r="AJ15" s="96"/>
      <c r="AK15" s="96"/>
      <c r="AL15" s="96"/>
      <c r="AM15" s="123"/>
      <c r="AN15" s="96"/>
      <c r="AO15" s="96"/>
      <c r="AP15" s="123"/>
      <c r="AQ15" s="96"/>
      <c r="AR15" s="96"/>
      <c r="AS15" s="96"/>
      <c r="AT15" s="96"/>
      <c r="AU15" s="96"/>
    </row>
    <row r="16" customFormat="false" ht="14.65" hidden="false" customHeight="false" outlineLevel="0" collapsed="false">
      <c r="A16" s="124" t="s">
        <v>446</v>
      </c>
      <c r="B16" s="96"/>
      <c r="C16" s="96"/>
      <c r="D16" s="127" t="n">
        <f aca="false">-BACKUP!D36+1</f>
        <v>934</v>
      </c>
      <c r="E16" s="125" t="n">
        <f aca="false">-BACKUP!E36</f>
        <v>-472</v>
      </c>
      <c r="F16" s="127" t="n">
        <f aca="false">-BACKUP!F36+1</f>
        <v>-14451</v>
      </c>
      <c r="G16" s="127" t="n">
        <f aca="false">-BACKUP!G36-1</f>
        <v>4425</v>
      </c>
      <c r="H16" s="127" t="n">
        <f aca="false">-BACKUP!H36-1</f>
        <v>-2506</v>
      </c>
      <c r="I16" s="130" t="n">
        <f aca="false">-BACKUP!I36+269</f>
        <v>11243</v>
      </c>
      <c r="J16" s="130" t="n">
        <f aca="false">-BACKUP!J36+228-1</f>
        <v>-11408</v>
      </c>
      <c r="K16" s="122" t="n">
        <f aca="false">-BACKUP!K36</f>
        <v>-3055</v>
      </c>
      <c r="L16" s="122" t="n">
        <f aca="false">-BACKUP!L36</f>
        <v>562</v>
      </c>
      <c r="M16" s="122" t="n">
        <f aca="false">-BACKUP!M36</f>
        <v>-886</v>
      </c>
      <c r="N16" s="122" t="n">
        <f aca="false">-BACKUP!N36</f>
        <v>637</v>
      </c>
      <c r="O16" s="122" t="n">
        <f aca="false">-BACKUP!O36</f>
        <v>-387</v>
      </c>
      <c r="P16" s="122" t="n">
        <f aca="false">SUM(D16:O16)</f>
        <v>-15364</v>
      </c>
      <c r="Q16" s="123" t="n">
        <f aca="false">SUM(D16:J16)</f>
        <v>-12235</v>
      </c>
      <c r="R16" s="122" t="n">
        <f aca="false">P16-Q16</f>
        <v>-3129</v>
      </c>
      <c r="S16" s="96"/>
      <c r="T16" s="123" t="n">
        <v>829</v>
      </c>
      <c r="U16" s="123" t="n">
        <v>482</v>
      </c>
      <c r="V16" s="122" t="n">
        <f aca="false">T16-U16</f>
        <v>347</v>
      </c>
      <c r="W16" s="96"/>
      <c r="X16" s="122"/>
      <c r="Y16" s="122"/>
      <c r="Z16" s="96"/>
      <c r="AA16" s="96" t="str">
        <f aca="false">A16</f>
        <v>      Accounts and Notes Receivable</v>
      </c>
      <c r="AB16" s="122" t="n">
        <f aca="false">P16</f>
        <v>-15364</v>
      </c>
      <c r="AC16" s="123" t="n">
        <f aca="false">SUM(D16:L16)</f>
        <v>-14728</v>
      </c>
      <c r="AD16" s="122" t="n">
        <f aca="false">AB16-AC16</f>
        <v>-636</v>
      </c>
      <c r="AE16" s="96"/>
      <c r="AF16" s="122" t="n">
        <f aca="false">T16</f>
        <v>829</v>
      </c>
      <c r="AG16" s="122" t="n">
        <f aca="false">U16</f>
        <v>482</v>
      </c>
      <c r="AH16" s="122" t="n">
        <f aca="false">AF16-AG16</f>
        <v>347</v>
      </c>
      <c r="AI16" s="96"/>
      <c r="AJ16" s="122" t="n">
        <f aca="false">AC16-AG16</f>
        <v>-15210</v>
      </c>
      <c r="AK16" s="122" t="n">
        <f aca="false">AB16-AF16</f>
        <v>-16193</v>
      </c>
      <c r="AL16" s="96"/>
      <c r="AM16" s="123" t="n">
        <v>-3094</v>
      </c>
      <c r="AN16" s="122" t="n">
        <f aca="false">AB16-AM16</f>
        <v>-12270</v>
      </c>
      <c r="AO16" s="96"/>
      <c r="AP16" s="123" t="n">
        <v>-2458</v>
      </c>
      <c r="AQ16" s="122" t="n">
        <f aca="false">AC16-AP16</f>
        <v>-12270</v>
      </c>
      <c r="AR16" s="96"/>
      <c r="AS16" s="96"/>
      <c r="AT16" s="96"/>
      <c r="AU16" s="96"/>
    </row>
    <row r="17" customFormat="false" ht="14.65" hidden="false" customHeight="false" outlineLevel="0" collapsed="false">
      <c r="A17" s="124" t="s">
        <v>447</v>
      </c>
      <c r="B17" s="96"/>
      <c r="C17" s="96"/>
      <c r="D17" s="122" t="n">
        <f aca="false">-BACKUP!D62</f>
        <v>7</v>
      </c>
      <c r="E17" s="122" t="n">
        <f aca="false">-BACKUP!E62</f>
        <v>-6</v>
      </c>
      <c r="F17" s="122" t="n">
        <f aca="false">-BACKUP!F62</f>
        <v>27</v>
      </c>
      <c r="G17" s="122" t="n">
        <f aca="false">-BACKUP!G62</f>
        <v>10</v>
      </c>
      <c r="H17" s="122" t="n">
        <f aca="false">-BACKUP!H62</f>
        <v>33</v>
      </c>
      <c r="I17" s="122" t="n">
        <f aca="false">-BACKUP!I62</f>
        <v>12</v>
      </c>
      <c r="J17" s="122" t="n">
        <f aca="false">-BACKUP!J62</f>
        <v>18</v>
      </c>
      <c r="K17" s="122" t="n">
        <f aca="false">-BACKUP!K62</f>
        <v>-0</v>
      </c>
      <c r="L17" s="122" t="n">
        <f aca="false">-BACKUP!L62</f>
        <v>-0</v>
      </c>
      <c r="M17" s="122" t="n">
        <f aca="false">-BACKUP!M62</f>
        <v>-0</v>
      </c>
      <c r="N17" s="122" t="n">
        <f aca="false">-BACKUP!N62</f>
        <v>-0</v>
      </c>
      <c r="O17" s="122" t="n">
        <f aca="false">-BACKUP!O62</f>
        <v>-0</v>
      </c>
      <c r="P17" s="122" t="n">
        <f aca="false">SUM(D17:O17)</f>
        <v>101</v>
      </c>
      <c r="Q17" s="123" t="n">
        <f aca="false">SUM(D17:J17)</f>
        <v>101</v>
      </c>
      <c r="R17" s="122" t="n">
        <f aca="false">P17-Q17</f>
        <v>0</v>
      </c>
      <c r="S17" s="96"/>
      <c r="T17" s="123" t="n">
        <v>0</v>
      </c>
      <c r="U17" s="123" t="n">
        <v>0</v>
      </c>
      <c r="V17" s="122" t="n">
        <f aca="false">T17-U17</f>
        <v>0</v>
      </c>
      <c r="W17" s="96"/>
      <c r="X17" s="122"/>
      <c r="Y17" s="122"/>
      <c r="Z17" s="96"/>
      <c r="AA17" s="96" t="str">
        <f aca="false">A17</f>
        <v>      Inventories (Materials &amp; Supplies)</v>
      </c>
      <c r="AB17" s="122" t="n">
        <f aca="false">P17</f>
        <v>101</v>
      </c>
      <c r="AC17" s="123" t="n">
        <f aca="false">SUM(D17:L17)</f>
        <v>101</v>
      </c>
      <c r="AD17" s="122" t="n">
        <f aca="false">AB17-AC17</f>
        <v>0</v>
      </c>
      <c r="AE17" s="96"/>
      <c r="AF17" s="122" t="n">
        <f aca="false">T17</f>
        <v>0</v>
      </c>
      <c r="AG17" s="122" t="n">
        <f aca="false">U17</f>
        <v>0</v>
      </c>
      <c r="AH17" s="122" t="n">
        <f aca="false">AF17-AG17</f>
        <v>0</v>
      </c>
      <c r="AI17" s="96"/>
      <c r="AJ17" s="122" t="n">
        <f aca="false">AC17-AG17</f>
        <v>101</v>
      </c>
      <c r="AK17" s="122" t="n">
        <f aca="false">AB17-AF17</f>
        <v>101</v>
      </c>
      <c r="AL17" s="96"/>
      <c r="AM17" s="123" t="n">
        <v>83</v>
      </c>
      <c r="AN17" s="122" t="n">
        <f aca="false">AB17-AM17</f>
        <v>18</v>
      </c>
      <c r="AO17" s="96"/>
      <c r="AP17" s="123" t="n">
        <v>83</v>
      </c>
      <c r="AQ17" s="122" t="n">
        <f aca="false">AC17-AP17</f>
        <v>18</v>
      </c>
      <c r="AR17" s="96"/>
      <c r="AS17" s="96"/>
      <c r="AT17" s="96"/>
      <c r="AU17" s="96"/>
    </row>
    <row r="18" customFormat="false" ht="14.65" hidden="false" customHeight="false" outlineLevel="0" collapsed="false">
      <c r="A18" s="124" t="s">
        <v>448</v>
      </c>
      <c r="B18" s="96"/>
      <c r="C18" s="96"/>
      <c r="D18" s="122" t="n">
        <f aca="false">BACKUP!D277</f>
        <v>2434</v>
      </c>
      <c r="E18" s="122" t="n">
        <f aca="false">BACKUP!E277</f>
        <v>-962</v>
      </c>
      <c r="F18" s="122" t="n">
        <f aca="false">BACKUP!F277</f>
        <v>11332</v>
      </c>
      <c r="G18" s="122" t="n">
        <f aca="false">BACKUP!G277</f>
        <v>-11752</v>
      </c>
      <c r="H18" s="122" t="n">
        <f aca="false">BACKUP!H277</f>
        <v>-353</v>
      </c>
      <c r="I18" s="130" t="n">
        <f aca="false">BACKUP!I277+492</f>
        <v>2317</v>
      </c>
      <c r="J18" s="130" t="n">
        <f aca="false">BACKUP!J277+52</f>
        <v>-2880</v>
      </c>
      <c r="K18" s="122" t="n">
        <f aca="false">BACKUP!K277</f>
        <v>0</v>
      </c>
      <c r="L18" s="122" t="n">
        <f aca="false">BACKUP!L277</f>
        <v>0</v>
      </c>
      <c r="M18" s="122" t="n">
        <f aca="false">BACKUP!M277</f>
        <v>0</v>
      </c>
      <c r="N18" s="122" t="n">
        <f aca="false">BACKUP!N277</f>
        <v>0</v>
      </c>
      <c r="O18" s="122" t="n">
        <f aca="false">BACKUP!O277</f>
        <v>0</v>
      </c>
      <c r="P18" s="122" t="n">
        <f aca="false">SUM(D18:O18)</f>
        <v>136</v>
      </c>
      <c r="Q18" s="123" t="n">
        <f aca="false">SUM(D18:J18)</f>
        <v>136</v>
      </c>
      <c r="R18" s="122" t="n">
        <f aca="false">P18-Q18</f>
        <v>0</v>
      </c>
      <c r="S18" s="96"/>
      <c r="T18" s="123" t="n">
        <v>0</v>
      </c>
      <c r="U18" s="123" t="n">
        <v>-3000</v>
      </c>
      <c r="V18" s="122" t="n">
        <f aca="false">T18-U18</f>
        <v>3000</v>
      </c>
      <c r="W18" s="96"/>
      <c r="X18" s="122"/>
      <c r="Y18" s="122"/>
      <c r="Z18" s="96"/>
      <c r="AA18" s="96" t="str">
        <f aca="false">A18</f>
        <v>      Accounts Payable - Assoc. Companies / Trade</v>
      </c>
      <c r="AB18" s="122" t="n">
        <f aca="false">P18</f>
        <v>136</v>
      </c>
      <c r="AC18" s="123" t="n">
        <f aca="false">SUM(D18:L18)</f>
        <v>136</v>
      </c>
      <c r="AD18" s="122" t="n">
        <f aca="false">AB18-AC18</f>
        <v>0</v>
      </c>
      <c r="AE18" s="96"/>
      <c r="AF18" s="122" t="n">
        <f aca="false">T18</f>
        <v>0</v>
      </c>
      <c r="AG18" s="122" t="n">
        <f aca="false">U18</f>
        <v>-3000</v>
      </c>
      <c r="AH18" s="122" t="n">
        <f aca="false">AF18-AG18</f>
        <v>3000</v>
      </c>
      <c r="AI18" s="96"/>
      <c r="AJ18" s="122" t="n">
        <f aca="false">AC18-AG18</f>
        <v>3136</v>
      </c>
      <c r="AK18" s="122" t="n">
        <f aca="false">AB18-AF18</f>
        <v>136</v>
      </c>
      <c r="AL18" s="96"/>
      <c r="AM18" s="123" t="n">
        <v>2524</v>
      </c>
      <c r="AN18" s="122" t="n">
        <f aca="false">AB18-AM18</f>
        <v>-2388</v>
      </c>
      <c r="AO18" s="96"/>
      <c r="AP18" s="123" t="n">
        <v>2524</v>
      </c>
      <c r="AQ18" s="122" t="n">
        <f aca="false">AC18-AP18</f>
        <v>-2388</v>
      </c>
      <c r="AR18" s="96"/>
      <c r="AS18" s="96"/>
      <c r="AT18" s="96"/>
      <c r="AU18" s="96"/>
    </row>
    <row r="19" customFormat="false" ht="14.65" hidden="false" customHeight="false" outlineLevel="0" collapsed="false">
      <c r="A19" s="124" t="s">
        <v>449</v>
      </c>
      <c r="B19" s="96"/>
      <c r="C19" s="96"/>
      <c r="D19" s="131" t="n">
        <f aca="false">BACKUP!D295</f>
        <v>0</v>
      </c>
      <c r="E19" s="131" t="n">
        <f aca="false">BACKUP!E295</f>
        <v>0</v>
      </c>
      <c r="F19" s="122" t="n">
        <f aca="false">BACKUP!F295</f>
        <v>0</v>
      </c>
      <c r="G19" s="122" t="n">
        <f aca="false">BACKUP!G295</f>
        <v>0</v>
      </c>
      <c r="H19" s="122" t="n">
        <f aca="false">BACKUP!H295</f>
        <v>0</v>
      </c>
      <c r="I19" s="122" t="n">
        <f aca="false">BACKUP!I295</f>
        <v>0</v>
      </c>
      <c r="J19" s="122" t="n">
        <f aca="false">BACKUP!J295</f>
        <v>0</v>
      </c>
      <c r="K19" s="122" t="n">
        <f aca="false">BACKUP!K295</f>
        <v>2571</v>
      </c>
      <c r="L19" s="122" t="n">
        <f aca="false">BACKUP!L295</f>
        <v>4194</v>
      </c>
      <c r="M19" s="122" t="n">
        <f aca="false">BACKUP!M295</f>
        <v>311</v>
      </c>
      <c r="N19" s="122" t="n">
        <f aca="false">BACKUP!N295</f>
        <v>1692</v>
      </c>
      <c r="O19" s="122" t="n">
        <f aca="false">BACKUP!O295</f>
        <v>-1034</v>
      </c>
      <c r="P19" s="122" t="n">
        <f aca="false">SUM(D19:O19)</f>
        <v>7734</v>
      </c>
      <c r="Q19" s="123" t="n">
        <f aca="false">SUM(D19:J19)</f>
        <v>0</v>
      </c>
      <c r="R19" s="122" t="n">
        <f aca="false">P19-Q19</f>
        <v>7734</v>
      </c>
      <c r="S19" s="96"/>
      <c r="T19" s="123" t="n">
        <v>-8475</v>
      </c>
      <c r="U19" s="123" t="n">
        <v>-6645</v>
      </c>
      <c r="V19" s="122" t="n">
        <f aca="false">T19-U19</f>
        <v>-1830</v>
      </c>
      <c r="W19" s="96"/>
      <c r="X19" s="122"/>
      <c r="Y19" s="122"/>
      <c r="Z19" s="96"/>
      <c r="AA19" s="96" t="str">
        <f aca="false">A19</f>
        <v>                    - Other</v>
      </c>
      <c r="AB19" s="122" t="n">
        <f aca="false">P19</f>
        <v>7734</v>
      </c>
      <c r="AC19" s="123" t="n">
        <f aca="false">SUM(D19:L19)</f>
        <v>6765</v>
      </c>
      <c r="AD19" s="122" t="n">
        <f aca="false">AB19-AC19</f>
        <v>969</v>
      </c>
      <c r="AE19" s="96"/>
      <c r="AF19" s="122" t="n">
        <f aca="false">T19</f>
        <v>-8475</v>
      </c>
      <c r="AG19" s="122" t="n">
        <f aca="false">U19</f>
        <v>-6645</v>
      </c>
      <c r="AH19" s="122" t="n">
        <f aca="false">AF19-AG19</f>
        <v>-1830</v>
      </c>
      <c r="AI19" s="96"/>
      <c r="AJ19" s="122" t="n">
        <f aca="false">AC19-AG19</f>
        <v>13410</v>
      </c>
      <c r="AK19" s="122" t="n">
        <f aca="false">AB19-AF19</f>
        <v>16209</v>
      </c>
      <c r="AL19" s="96"/>
      <c r="AM19" s="123" t="n">
        <v>-9332</v>
      </c>
      <c r="AN19" s="122" t="n">
        <f aca="false">AB19-AM19</f>
        <v>17066</v>
      </c>
      <c r="AO19" s="96"/>
      <c r="AP19" s="123" t="n">
        <v>-7822</v>
      </c>
      <c r="AQ19" s="122" t="n">
        <f aca="false">AC19-AP19</f>
        <v>14587</v>
      </c>
      <c r="AR19" s="96"/>
      <c r="AS19" s="96"/>
      <c r="AT19" s="96"/>
      <c r="AU19" s="96"/>
    </row>
    <row r="20" customFormat="false" ht="14.65" hidden="false" customHeight="false" outlineLevel="0" collapsed="false">
      <c r="A20" s="124" t="s">
        <v>450</v>
      </c>
      <c r="B20" s="96"/>
      <c r="C20" s="96"/>
      <c r="D20" s="122" t="n">
        <f aca="false">-BACKUP!D69</f>
        <v>-2105</v>
      </c>
      <c r="E20" s="122" t="n">
        <f aca="false">-BACKUP!E69</f>
        <v>1439</v>
      </c>
      <c r="F20" s="122" t="n">
        <f aca="false">-BACKUP!F69</f>
        <v>224</v>
      </c>
      <c r="G20" s="122" t="n">
        <f aca="false">-BACKUP!G69</f>
        <v>-1770</v>
      </c>
      <c r="H20" s="122" t="n">
        <f aca="false">-BACKUP!H69</f>
        <v>-915</v>
      </c>
      <c r="I20" s="122" t="n">
        <f aca="false">-BACKUP!I69</f>
        <v>41</v>
      </c>
      <c r="J20" s="122" t="n">
        <f aca="false">-BACKUP!J69</f>
        <v>534</v>
      </c>
      <c r="K20" s="122" t="n">
        <f aca="false">-BACKUP!K69</f>
        <v>-0</v>
      </c>
      <c r="L20" s="122" t="n">
        <f aca="false">-BACKUP!L69</f>
        <v>-0</v>
      </c>
      <c r="M20" s="122" t="n">
        <f aca="false">-BACKUP!M69</f>
        <v>-0</v>
      </c>
      <c r="N20" s="122" t="n">
        <f aca="false">-BACKUP!N69</f>
        <v>-0</v>
      </c>
      <c r="O20" s="122" t="n">
        <f aca="false">-BACKUP!O69</f>
        <v>-0</v>
      </c>
      <c r="P20" s="122" t="n">
        <f aca="false">SUM(D20:O20)</f>
        <v>-2552</v>
      </c>
      <c r="Q20" s="123" t="n">
        <f aca="false">SUM(D20:J20)</f>
        <v>-2552</v>
      </c>
      <c r="R20" s="122" t="n">
        <f aca="false">P20-Q20</f>
        <v>0</v>
      </c>
      <c r="S20" s="96"/>
      <c r="T20" s="123" t="n">
        <v>0</v>
      </c>
      <c r="U20" s="123" t="n">
        <v>0</v>
      </c>
      <c r="V20" s="122" t="n">
        <f aca="false">T20-U20</f>
        <v>0</v>
      </c>
      <c r="W20" s="96"/>
      <c r="X20" s="122"/>
      <c r="Y20" s="122"/>
      <c r="Z20" s="96"/>
      <c r="AA20" s="96" t="str">
        <f aca="false">A20</f>
        <v>      Exchange Gas - Receivable</v>
      </c>
      <c r="AB20" s="122" t="n">
        <f aca="false">P20</f>
        <v>-2552</v>
      </c>
      <c r="AC20" s="123" t="n">
        <f aca="false">SUM(D20:L20)</f>
        <v>-2552</v>
      </c>
      <c r="AD20" s="122" t="n">
        <f aca="false">AB20-AC20</f>
        <v>0</v>
      </c>
      <c r="AE20" s="96"/>
      <c r="AF20" s="122" t="n">
        <f aca="false">T20</f>
        <v>0</v>
      </c>
      <c r="AG20" s="122" t="n">
        <f aca="false">U20</f>
        <v>0</v>
      </c>
      <c r="AH20" s="122" t="n">
        <f aca="false">AF20-AG20</f>
        <v>0</v>
      </c>
      <c r="AI20" s="96"/>
      <c r="AJ20" s="122" t="n">
        <f aca="false">AC20-AG20</f>
        <v>-2552</v>
      </c>
      <c r="AK20" s="122" t="n">
        <f aca="false">AB20-AF20</f>
        <v>-2552</v>
      </c>
      <c r="AL20" s="96"/>
      <c r="AM20" s="123" t="n">
        <v>-3086</v>
      </c>
      <c r="AN20" s="122" t="n">
        <f aca="false">AB20-AM20</f>
        <v>534</v>
      </c>
      <c r="AO20" s="96"/>
      <c r="AP20" s="123" t="n">
        <v>-3086</v>
      </c>
      <c r="AQ20" s="122" t="n">
        <f aca="false">AC20-AP20</f>
        <v>534</v>
      </c>
      <c r="AR20" s="96"/>
      <c r="AS20" s="96"/>
      <c r="AT20" s="96"/>
      <c r="AU20" s="96"/>
    </row>
    <row r="21" customFormat="false" ht="14.65" hidden="false" customHeight="false" outlineLevel="0" collapsed="false">
      <c r="A21" s="124" t="s">
        <v>451</v>
      </c>
      <c r="B21" s="96"/>
      <c r="C21" s="96"/>
      <c r="D21" s="122" t="n">
        <f aca="false">+BACKUP!D319</f>
        <v>1239</v>
      </c>
      <c r="E21" s="122" t="n">
        <f aca="false">+BACKUP!E319</f>
        <v>-1887</v>
      </c>
      <c r="F21" s="122" t="n">
        <f aca="false">+BACKUP!F319</f>
        <v>1953</v>
      </c>
      <c r="G21" s="122" t="n">
        <f aca="false">+BACKUP!G319</f>
        <v>1957</v>
      </c>
      <c r="H21" s="122" t="n">
        <f aca="false">+BACKUP!H319</f>
        <v>838</v>
      </c>
      <c r="I21" s="122" t="n">
        <f aca="false">+BACKUP!I319</f>
        <v>576</v>
      </c>
      <c r="J21" s="122" t="n">
        <f aca="false">+BACKUP!J319</f>
        <v>1184</v>
      </c>
      <c r="K21" s="122" t="n">
        <f aca="false">+BACKUP!K319</f>
        <v>0</v>
      </c>
      <c r="L21" s="122" t="n">
        <f aca="false">+BACKUP!L319</f>
        <v>0</v>
      </c>
      <c r="M21" s="122" t="n">
        <f aca="false">+BACKUP!M319</f>
        <v>0</v>
      </c>
      <c r="N21" s="122" t="n">
        <f aca="false">+BACKUP!N319</f>
        <v>0</v>
      </c>
      <c r="O21" s="122" t="n">
        <f aca="false">+BACKUP!O319</f>
        <v>0</v>
      </c>
      <c r="P21" s="122" t="n">
        <f aca="false">SUM(D21:O21)</f>
        <v>5860</v>
      </c>
      <c r="Q21" s="123" t="n">
        <f aca="false">SUM(D21:J21)</f>
        <v>5860</v>
      </c>
      <c r="R21" s="122" t="n">
        <f aca="false">P21-Q21</f>
        <v>0</v>
      </c>
      <c r="S21" s="96"/>
      <c r="T21" s="123" t="n">
        <v>0</v>
      </c>
      <c r="U21" s="123" t="n">
        <v>0</v>
      </c>
      <c r="V21" s="122" t="n">
        <f aca="false">T21-U21</f>
        <v>0</v>
      </c>
      <c r="W21" s="96"/>
      <c r="X21" s="122"/>
      <c r="Y21" s="122"/>
      <c r="Z21" s="96"/>
      <c r="AA21" s="96" t="str">
        <f aca="false">A21</f>
        <v>                    - Payable</v>
      </c>
      <c r="AB21" s="122" t="n">
        <f aca="false">P21</f>
        <v>5860</v>
      </c>
      <c r="AC21" s="123" t="n">
        <f aca="false">SUM(D21:L21)</f>
        <v>5860</v>
      </c>
      <c r="AD21" s="122" t="n">
        <f aca="false">AB21-AC21</f>
        <v>0</v>
      </c>
      <c r="AE21" s="96"/>
      <c r="AF21" s="122" t="n">
        <f aca="false">T21</f>
        <v>0</v>
      </c>
      <c r="AG21" s="122" t="n">
        <f aca="false">U21</f>
        <v>0</v>
      </c>
      <c r="AH21" s="122" t="n">
        <f aca="false">AF21-AG21</f>
        <v>0</v>
      </c>
      <c r="AI21" s="96"/>
      <c r="AJ21" s="122" t="n">
        <f aca="false">AC21-AG21</f>
        <v>5860</v>
      </c>
      <c r="AK21" s="122" t="n">
        <f aca="false">AB21-AF21</f>
        <v>5860</v>
      </c>
      <c r="AL21" s="96"/>
      <c r="AM21" s="123" t="n">
        <v>4676</v>
      </c>
      <c r="AN21" s="122" t="n">
        <f aca="false">AB21-AM21</f>
        <v>1184</v>
      </c>
      <c r="AO21" s="96"/>
      <c r="AP21" s="123" t="n">
        <v>4676</v>
      </c>
      <c r="AQ21" s="122" t="n">
        <f aca="false">AC21-AP21</f>
        <v>1184</v>
      </c>
      <c r="AR21" s="96"/>
      <c r="AS21" s="96"/>
      <c r="AT21" s="96"/>
      <c r="AU21" s="96"/>
    </row>
    <row r="22" customFormat="false" ht="14.65" hidden="false" customHeight="false" outlineLevel="0" collapsed="false">
      <c r="A22" s="124" t="s">
        <v>452</v>
      </c>
      <c r="B22" s="96"/>
      <c r="C22" s="96"/>
      <c r="D22" s="122" t="n">
        <f aca="false">-BACKUP!D55</f>
        <v>1</v>
      </c>
      <c r="E22" s="122" t="n">
        <f aca="false">-BACKUP!E55</f>
        <v>1</v>
      </c>
      <c r="F22" s="122" t="n">
        <f aca="false">-BACKUP!F55</f>
        <v>1</v>
      </c>
      <c r="G22" s="122" t="n">
        <f aca="false">-BACKUP!G55</f>
        <v>-0</v>
      </c>
      <c r="H22" s="122" t="n">
        <f aca="false">-BACKUP!H55</f>
        <v>1</v>
      </c>
      <c r="I22" s="122" t="n">
        <f aca="false">-BACKUP!I55</f>
        <v>1</v>
      </c>
      <c r="J22" s="122" t="n">
        <f aca="false">-BACKUP!J55</f>
        <v>1</v>
      </c>
      <c r="K22" s="122" t="n">
        <f aca="false">-BACKUP!K55</f>
        <v>-0</v>
      </c>
      <c r="L22" s="122" t="n">
        <f aca="false">-BACKUP!L55</f>
        <v>-0</v>
      </c>
      <c r="M22" s="122" t="n">
        <f aca="false">-BACKUP!M55</f>
        <v>-0</v>
      </c>
      <c r="N22" s="122" t="n">
        <f aca="false">-BACKUP!N55</f>
        <v>-0</v>
      </c>
      <c r="O22" s="122" t="n">
        <f aca="false">-BACKUP!O55</f>
        <v>-156</v>
      </c>
      <c r="P22" s="122" t="n">
        <f aca="false">SUM(D22:O22)</f>
        <v>-150</v>
      </c>
      <c r="Q22" s="123" t="n">
        <f aca="false">SUM(D22:J22)</f>
        <v>6</v>
      </c>
      <c r="R22" s="122" t="n">
        <f aca="false">P22-Q22</f>
        <v>-156</v>
      </c>
      <c r="S22" s="96"/>
      <c r="T22" s="123" t="n">
        <v>7</v>
      </c>
      <c r="U22" s="123" t="n">
        <v>124</v>
      </c>
      <c r="V22" s="122" t="n">
        <f aca="false">T22-U22</f>
        <v>-117</v>
      </c>
      <c r="W22" s="96"/>
      <c r="X22" s="122"/>
      <c r="Y22" s="122"/>
      <c r="Z22" s="96"/>
      <c r="AA22" s="96" t="str">
        <f aca="false">A22</f>
        <v>      Prepayments</v>
      </c>
      <c r="AB22" s="122" t="n">
        <f aca="false">P22</f>
        <v>-150</v>
      </c>
      <c r="AC22" s="123" t="n">
        <f aca="false">SUM(D22:L22)</f>
        <v>6</v>
      </c>
      <c r="AD22" s="122" t="n">
        <f aca="false">AB22-AC22</f>
        <v>-156</v>
      </c>
      <c r="AE22" s="96"/>
      <c r="AF22" s="122" t="n">
        <f aca="false">T22</f>
        <v>7</v>
      </c>
      <c r="AG22" s="122" t="n">
        <f aca="false">U22</f>
        <v>124</v>
      </c>
      <c r="AH22" s="122" t="n">
        <f aca="false">AF22-AG22</f>
        <v>-117</v>
      </c>
      <c r="AI22" s="96"/>
      <c r="AJ22" s="122" t="n">
        <f aca="false">AC22-AG22</f>
        <v>-118</v>
      </c>
      <c r="AK22" s="122" t="n">
        <f aca="false">AB22-AF22</f>
        <v>-157</v>
      </c>
      <c r="AL22" s="96"/>
      <c r="AM22" s="123" t="n">
        <v>-150</v>
      </c>
      <c r="AN22" s="122" t="n">
        <f aca="false">AB22-AM22</f>
        <v>0</v>
      </c>
      <c r="AO22" s="96"/>
      <c r="AP22" s="123" t="n">
        <v>6</v>
      </c>
      <c r="AQ22" s="122" t="n">
        <f aca="false">AC22-AP22</f>
        <v>0</v>
      </c>
      <c r="AR22" s="96"/>
      <c r="AS22" s="96"/>
      <c r="AT22" s="96"/>
      <c r="AU22" s="96"/>
    </row>
    <row r="23" customFormat="false" ht="14.65" hidden="false" customHeight="false" outlineLevel="0" collapsed="false">
      <c r="A23" s="124" t="s">
        <v>453</v>
      </c>
      <c r="B23" s="96"/>
      <c r="C23" s="96"/>
      <c r="D23" s="122" t="n">
        <f aca="false">BACKUP!D374</f>
        <v>1043</v>
      </c>
      <c r="E23" s="122" t="n">
        <f aca="false">BACKUP!E374</f>
        <v>1044</v>
      </c>
      <c r="F23" s="122" t="n">
        <f aca="false">BACKUP!F374</f>
        <v>1043</v>
      </c>
      <c r="G23" s="122" t="n">
        <f aca="false">BACKUP!G374</f>
        <v>-4775</v>
      </c>
      <c r="H23" s="122" t="n">
        <f aca="false">BACKUP!H374</f>
        <v>86</v>
      </c>
      <c r="I23" s="122" t="n">
        <f aca="false">BACKUP!I374</f>
        <v>-1216</v>
      </c>
      <c r="J23" s="122" t="n">
        <f aca="false">BACKUP!J374</f>
        <v>118</v>
      </c>
      <c r="K23" s="122" t="n">
        <f aca="false">BACKUP!K374</f>
        <v>118</v>
      </c>
      <c r="L23" s="122" t="n">
        <f aca="false">BACKUP!L374</f>
        <v>119</v>
      </c>
      <c r="M23" s="122" t="n">
        <f aca="false">BACKUP!M374</f>
        <v>118</v>
      </c>
      <c r="N23" s="122" t="n">
        <f aca="false">BACKUP!N374</f>
        <v>-591</v>
      </c>
      <c r="O23" s="122" t="n">
        <f aca="false">BACKUP!O374</f>
        <v>89</v>
      </c>
      <c r="P23" s="122" t="n">
        <f aca="false">SUM(D23:O23)</f>
        <v>-2804</v>
      </c>
      <c r="Q23" s="123" t="n">
        <f aca="false">SUM(D23:J23)</f>
        <v>-2657</v>
      </c>
      <c r="R23" s="122" t="n">
        <f aca="false">P23-Q23</f>
        <v>-147</v>
      </c>
      <c r="S23" s="96"/>
      <c r="T23" s="123" t="n">
        <v>50</v>
      </c>
      <c r="U23" s="123" t="n">
        <v>3159</v>
      </c>
      <c r="V23" s="122" t="n">
        <f aca="false">T23-U23</f>
        <v>-3109</v>
      </c>
      <c r="W23" s="96"/>
      <c r="X23" s="96"/>
      <c r="Y23" s="96"/>
      <c r="Z23" s="96"/>
      <c r="AA23" s="96" t="str">
        <f aca="false">A23</f>
        <v>      Accrued Interest - Third Party</v>
      </c>
      <c r="AB23" s="122" t="n">
        <f aca="false">P23</f>
        <v>-2804</v>
      </c>
      <c r="AC23" s="123" t="n">
        <f aca="false">SUM(D23:L23)</f>
        <v>-2420</v>
      </c>
      <c r="AD23" s="122" t="n">
        <f aca="false">AB23-AC23</f>
        <v>-384</v>
      </c>
      <c r="AE23" s="96"/>
      <c r="AF23" s="122" t="n">
        <f aca="false">T23</f>
        <v>50</v>
      </c>
      <c r="AG23" s="122" t="n">
        <f aca="false">U23</f>
        <v>3159</v>
      </c>
      <c r="AH23" s="122" t="n">
        <f aca="false">AF23-AG23</f>
        <v>-3109</v>
      </c>
      <c r="AI23" s="96"/>
      <c r="AJ23" s="122" t="n">
        <f aca="false">AC23-AG23</f>
        <v>-5579</v>
      </c>
      <c r="AK23" s="122" t="n">
        <f aca="false">AB23-AF23</f>
        <v>-2854</v>
      </c>
      <c r="AL23" s="96"/>
      <c r="AM23" s="123" t="n">
        <v>-2804</v>
      </c>
      <c r="AN23" s="122" t="n">
        <f aca="false">AB23-AM23</f>
        <v>0</v>
      </c>
      <c r="AO23" s="96"/>
      <c r="AP23" s="123" t="n">
        <v>-2420</v>
      </c>
      <c r="AQ23" s="122" t="n">
        <f aca="false">AC23-AP23</f>
        <v>0</v>
      </c>
      <c r="AR23" s="96"/>
      <c r="AS23" s="96"/>
      <c r="AT23" s="96"/>
      <c r="AU23" s="96"/>
    </row>
    <row r="24" customFormat="false" ht="14.65" hidden="false" customHeight="false" outlineLevel="0" collapsed="false">
      <c r="A24" s="124" t="s">
        <v>454</v>
      </c>
      <c r="B24" s="96"/>
      <c r="C24" s="96"/>
      <c r="D24" s="127" t="n">
        <f aca="false">BACKUP!D344+1</f>
        <v>-732</v>
      </c>
      <c r="E24" s="127" t="n">
        <f aca="false">BACKUP!E344-1</f>
        <v>1060</v>
      </c>
      <c r="F24" s="122" t="n">
        <f aca="false">BACKUP!F344</f>
        <v>1049</v>
      </c>
      <c r="G24" s="122" t="n">
        <f aca="false">BACKUP!G344</f>
        <v>-2482</v>
      </c>
      <c r="H24" s="122" t="n">
        <f aca="false">BACKUP!H344</f>
        <v>74</v>
      </c>
      <c r="I24" s="127" t="n">
        <f aca="false">BACKUP!I344+1</f>
        <v>574</v>
      </c>
      <c r="J24" s="127" t="n">
        <f aca="false">BACKUP!J344-1</f>
        <v>765</v>
      </c>
      <c r="K24" s="122" t="n">
        <f aca="false">BACKUP!K344</f>
        <v>610</v>
      </c>
      <c r="L24" s="122" t="n">
        <f aca="false">BACKUP!L344</f>
        <v>825</v>
      </c>
      <c r="M24" s="122" t="n">
        <f aca="false">BACKUP!M344</f>
        <v>-2502</v>
      </c>
      <c r="N24" s="122" t="n">
        <f aca="false">BACKUP!N344</f>
        <v>625</v>
      </c>
      <c r="O24" s="122" t="n">
        <f aca="false">BACKUP!O344</f>
        <v>-381</v>
      </c>
      <c r="P24" s="122" t="n">
        <f aca="false">SUM(D24:O24)</f>
        <v>-515</v>
      </c>
      <c r="Q24" s="123" t="n">
        <f aca="false">SUM(D24:J24)</f>
        <v>308</v>
      </c>
      <c r="R24" s="122" t="n">
        <f aca="false">P24-Q24</f>
        <v>-823</v>
      </c>
      <c r="S24" s="96"/>
      <c r="T24" s="123" t="n">
        <v>422</v>
      </c>
      <c r="U24" s="123" t="n">
        <v>2602</v>
      </c>
      <c r="V24" s="122" t="n">
        <f aca="false">T24-U24</f>
        <v>-2180</v>
      </c>
      <c r="W24" s="96"/>
      <c r="X24" s="122"/>
      <c r="Y24" s="122"/>
      <c r="Z24" s="96"/>
      <c r="AA24" s="96" t="str">
        <f aca="false">A24</f>
        <v>      Accrued Taxes, Other Than Income</v>
      </c>
      <c r="AB24" s="122" t="n">
        <f aca="false">P24</f>
        <v>-515</v>
      </c>
      <c r="AC24" s="123" t="n">
        <f aca="false">SUM(D24:L24)</f>
        <v>1743</v>
      </c>
      <c r="AD24" s="122" t="n">
        <f aca="false">AB24-AC24</f>
        <v>-2258</v>
      </c>
      <c r="AE24" s="96"/>
      <c r="AF24" s="122" t="n">
        <f aca="false">T24</f>
        <v>422</v>
      </c>
      <c r="AG24" s="122" t="n">
        <f aca="false">U24</f>
        <v>2602</v>
      </c>
      <c r="AH24" s="122" t="n">
        <f aca="false">AF24-AG24</f>
        <v>-2180</v>
      </c>
      <c r="AI24" s="96"/>
      <c r="AJ24" s="122" t="n">
        <f aca="false">AC24-AG24</f>
        <v>-859</v>
      </c>
      <c r="AK24" s="122" t="n">
        <f aca="false">AB24-AF24</f>
        <v>-937</v>
      </c>
      <c r="AL24" s="96"/>
      <c r="AM24" s="123" t="n">
        <v>-441</v>
      </c>
      <c r="AN24" s="122" t="n">
        <f aca="false">AB24-AM24</f>
        <v>-74</v>
      </c>
      <c r="AO24" s="96"/>
      <c r="AP24" s="123" t="n">
        <v>1817</v>
      </c>
      <c r="AQ24" s="122" t="n">
        <f aca="false">AC24-AP24</f>
        <v>-74</v>
      </c>
      <c r="AR24" s="96"/>
      <c r="AS24" s="96"/>
      <c r="AT24" s="96"/>
      <c r="AU24" s="96"/>
    </row>
    <row r="25" customFormat="false" ht="14.65" hidden="false" customHeight="false" outlineLevel="0" collapsed="false">
      <c r="A25" s="124" t="s">
        <v>455</v>
      </c>
      <c r="B25" s="96"/>
      <c r="C25" s="96"/>
      <c r="D25" s="125" t="n">
        <f aca="false">-BACKUP!D109-BACKUP!D100+BACKUP!D395+BACKUP!D404-D313</f>
        <v>-480</v>
      </c>
      <c r="E25" s="125" t="n">
        <f aca="false">-BACKUP!E109-BACKUP!E100+BACKUP!E395+BACKUP!E404-E313</f>
        <v>-534</v>
      </c>
      <c r="F25" s="127" t="n">
        <f aca="false">-BACKUP!F109-BACKUP!F100+BACKUP!F395+BACKUP!F404-F313+200</f>
        <v>1929</v>
      </c>
      <c r="G25" s="127" t="n">
        <f aca="false">-BACKUP!G109-BACKUP!G100+BACKUP!G395+BACKUP!G404-G313+2</f>
        <v>-334</v>
      </c>
      <c r="H25" s="127" t="n">
        <f aca="false">-BACKUP!H109-BACKUP!H100+BACKUP!H395+BACKUP!H404-H313-4</f>
        <v>329</v>
      </c>
      <c r="I25" s="127" t="n">
        <f aca="false">-BACKUP!I109-BACKUP!I100+BACKUP!I395+BACKUP!I404-I313-2</f>
        <v>24</v>
      </c>
      <c r="J25" s="127" t="n">
        <f aca="false">-BACKUP!J109-BACKUP!J100+BACKUP!J395+BACKUP!J404-J313+3</f>
        <v>25</v>
      </c>
      <c r="K25" s="125" t="n">
        <f aca="false">-BACKUP!K109-BACKUP!K100+BACKUP!K395+BACKUP!K404-K313</f>
        <v>0</v>
      </c>
      <c r="L25" s="125" t="n">
        <f aca="false">-BACKUP!L109-BACKUP!L100+BACKUP!L395+BACKUP!L404-L313</f>
        <v>-1200</v>
      </c>
      <c r="M25" s="125" t="n">
        <f aca="false">-BACKUP!M109-BACKUP!M100+BACKUP!M395+BACKUP!M404-M313</f>
        <v>100</v>
      </c>
      <c r="N25" s="125" t="n">
        <f aca="false">-BACKUP!N109-BACKUP!N100+BACKUP!N395+BACKUP!N404-N313</f>
        <v>100</v>
      </c>
      <c r="O25" s="125" t="n">
        <f aca="false">-BACKUP!O109-BACKUP!O100+BACKUP!O395+BACKUP!O404-O313</f>
        <v>100</v>
      </c>
      <c r="P25" s="122" t="n">
        <f aca="false">SUM(D25:O25)</f>
        <v>59</v>
      </c>
      <c r="Q25" s="123" t="n">
        <f aca="false">SUM(D25:J25)</f>
        <v>959</v>
      </c>
      <c r="R25" s="122" t="n">
        <f aca="false">P25-Q25</f>
        <v>-900</v>
      </c>
      <c r="S25" s="96"/>
      <c r="T25" s="123" t="n">
        <v>-29</v>
      </c>
      <c r="U25" s="123" t="n">
        <v>-594</v>
      </c>
      <c r="V25" s="122" t="n">
        <f aca="false">T25-U25</f>
        <v>565</v>
      </c>
      <c r="W25" s="96"/>
      <c r="X25" s="122"/>
      <c r="Y25" s="122"/>
      <c r="Z25" s="96"/>
      <c r="AA25" s="96" t="str">
        <f aca="false">A25</f>
        <v>      Other Current Assets or Liabilities (W/O Reserve Activity)</v>
      </c>
      <c r="AB25" s="122" t="n">
        <f aca="false">P25</f>
        <v>59</v>
      </c>
      <c r="AC25" s="123" t="n">
        <f aca="false">SUM(D25:L25)</f>
        <v>-241</v>
      </c>
      <c r="AD25" s="122" t="n">
        <f aca="false">AB25-AC25</f>
        <v>300</v>
      </c>
      <c r="AE25" s="96"/>
      <c r="AF25" s="122" t="n">
        <f aca="false">T25</f>
        <v>-29</v>
      </c>
      <c r="AG25" s="122" t="n">
        <f aca="false">U25</f>
        <v>-594</v>
      </c>
      <c r="AH25" s="122" t="n">
        <f aca="false">AF25-AG25</f>
        <v>565</v>
      </c>
      <c r="AI25" s="96"/>
      <c r="AJ25" s="122" t="n">
        <f aca="false">AC25-AG25</f>
        <v>353</v>
      </c>
      <c r="AK25" s="122" t="n">
        <f aca="false">AB25-AF25</f>
        <v>88</v>
      </c>
      <c r="AL25" s="96"/>
      <c r="AM25" s="123" t="n">
        <v>36</v>
      </c>
      <c r="AN25" s="122" t="n">
        <f aca="false">AB25-AM25</f>
        <v>23</v>
      </c>
      <c r="AO25" s="96"/>
      <c r="AP25" s="123" t="n">
        <v>-264</v>
      </c>
      <c r="AQ25" s="122" t="n">
        <f aca="false">AC25-AP25</f>
        <v>23</v>
      </c>
      <c r="AR25" s="96"/>
      <c r="AS25" s="96"/>
      <c r="AT25" s="96"/>
      <c r="AU25" s="96"/>
    </row>
    <row r="26" customFormat="false" ht="6" hidden="false" customHeight="true" outlineLevel="0" collapsed="false">
      <c r="A26" s="108"/>
      <c r="B26" s="96"/>
      <c r="C26" s="9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96"/>
      <c r="Q26" s="123"/>
      <c r="R26" s="96"/>
      <c r="S26" s="96"/>
      <c r="T26" s="123"/>
      <c r="U26" s="123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123"/>
      <c r="AH26" s="96"/>
      <c r="AI26" s="96"/>
      <c r="AJ26" s="96"/>
      <c r="AK26" s="96"/>
      <c r="AL26" s="96"/>
      <c r="AM26" s="123"/>
      <c r="AN26" s="122"/>
      <c r="AO26" s="96"/>
      <c r="AP26" s="123"/>
      <c r="AQ26" s="122"/>
      <c r="AR26" s="96"/>
      <c r="AS26" s="96"/>
      <c r="AT26" s="96"/>
      <c r="AU26" s="96"/>
    </row>
    <row r="27" customFormat="false" ht="12.75" hidden="false" customHeight="true" outlineLevel="0" collapsed="false">
      <c r="A27" s="108" t="s">
        <v>456</v>
      </c>
      <c r="B27" s="96"/>
      <c r="C27" s="96"/>
      <c r="D27" s="122" t="n">
        <f aca="false">-BACKUP!D44-BACKUP!D179+BACKUP!D311+BACKUP!D436+BACKUP!D472</f>
        <v>-128</v>
      </c>
      <c r="E27" s="122" t="n">
        <f aca="false">-BACKUP!E44-BACKUP!E179+BACKUP!E311+BACKUP!E436+BACKUP!E472</f>
        <v>0</v>
      </c>
      <c r="F27" s="122" t="n">
        <f aca="false">-BACKUP!F44-BACKUP!F179+BACKUP!F311+BACKUP!F436+BACKUP!F472</f>
        <v>0</v>
      </c>
      <c r="G27" s="122" t="n">
        <f aca="false">-BACKUP!G44-BACKUP!G179+BACKUP!G311+BACKUP!G436+BACKUP!G472</f>
        <v>0</v>
      </c>
      <c r="H27" s="127" t="n">
        <f aca="false">-BACKUP!H44-BACKUP!H179+BACKUP!H311+BACKUP!H436+BACKUP!H472-1</f>
        <v>0</v>
      </c>
      <c r="I27" s="127" t="n">
        <f aca="false">-BACKUP!I44-BACKUP!I179+BACKUP!I311+BACKUP!I436+BACKUP!I472+1</f>
        <v>1</v>
      </c>
      <c r="J27" s="122" t="n">
        <f aca="false">-BACKUP!J44-BACKUP!J179+BACKUP!J311+BACKUP!J436+BACKUP!J472</f>
        <v>-7</v>
      </c>
      <c r="K27" s="122" t="n">
        <f aca="false">-BACKUP!K44-BACKUP!K179+BACKUP!K311+BACKUP!K436+BACKUP!K472</f>
        <v>0</v>
      </c>
      <c r="L27" s="122" t="n">
        <f aca="false">-BACKUP!L44-BACKUP!L179+BACKUP!L311+BACKUP!L436+BACKUP!L472</f>
        <v>0</v>
      </c>
      <c r="M27" s="122" t="n">
        <f aca="false">-BACKUP!M44-BACKUP!M179+BACKUP!M311+BACKUP!M436+BACKUP!M472</f>
        <v>0</v>
      </c>
      <c r="N27" s="122" t="n">
        <f aca="false">-BACKUP!N44-BACKUP!N179+BACKUP!N311+BACKUP!N436+BACKUP!N472</f>
        <v>0</v>
      </c>
      <c r="O27" s="122" t="n">
        <f aca="false">-BACKUP!O44-BACKUP!O179+BACKUP!O311+BACKUP!O436+BACKUP!O472</f>
        <v>0</v>
      </c>
      <c r="P27" s="122" t="n">
        <f aca="false">SUM(D27:O27)</f>
        <v>-134</v>
      </c>
      <c r="Q27" s="123" t="n">
        <f aca="false">SUM(D27:J27)</f>
        <v>-134</v>
      </c>
      <c r="R27" s="122" t="n">
        <f aca="false">P27-Q27</f>
        <v>0</v>
      </c>
      <c r="S27" s="96"/>
      <c r="T27" s="123" t="n">
        <v>0</v>
      </c>
      <c r="U27" s="123" t="n">
        <v>0</v>
      </c>
      <c r="V27" s="122" t="n">
        <f aca="false">T27-U27</f>
        <v>0</v>
      </c>
      <c r="W27" s="96"/>
      <c r="X27" s="96"/>
      <c r="Y27" s="96"/>
      <c r="Z27" s="96"/>
      <c r="AA27" s="96" t="str">
        <f aca="false">A27</f>
        <v>   Price Risk Management Activities (Net)</v>
      </c>
      <c r="AB27" s="122" t="n">
        <f aca="false">P27</f>
        <v>-134</v>
      </c>
      <c r="AC27" s="123" t="n">
        <f aca="false">SUM(D27:L27)</f>
        <v>-134</v>
      </c>
      <c r="AD27" s="122" t="n">
        <f aca="false">AB27-AC27</f>
        <v>0</v>
      </c>
      <c r="AE27" s="96"/>
      <c r="AF27" s="122" t="n">
        <f aca="false">T27</f>
        <v>0</v>
      </c>
      <c r="AG27" s="122" t="n">
        <f aca="false">U27</f>
        <v>0</v>
      </c>
      <c r="AH27" s="122" t="n">
        <f aca="false">AF27-AG27</f>
        <v>0</v>
      </c>
      <c r="AI27" s="96"/>
      <c r="AJ27" s="122" t="n">
        <f aca="false">AC27-AG27</f>
        <v>-134</v>
      </c>
      <c r="AK27" s="122" t="n">
        <f aca="false">AB27-AF27</f>
        <v>-134</v>
      </c>
      <c r="AL27" s="96"/>
      <c r="AM27" s="123" t="n">
        <v>-128</v>
      </c>
      <c r="AN27" s="122" t="n">
        <f aca="false">AB27-AM27</f>
        <v>-6</v>
      </c>
      <c r="AO27" s="96"/>
      <c r="AP27" s="123" t="n">
        <v>-128</v>
      </c>
      <c r="AQ27" s="122" t="n">
        <f aca="false">AC27-AP27</f>
        <v>-6</v>
      </c>
      <c r="AR27" s="96"/>
      <c r="AS27" s="96"/>
      <c r="AT27" s="96"/>
      <c r="AU27" s="96"/>
    </row>
    <row r="28" customFormat="false" ht="14.65" hidden="false" customHeight="false" outlineLevel="0" collapsed="false">
      <c r="A28" s="124" t="s">
        <v>457</v>
      </c>
      <c r="B28" s="96"/>
      <c r="C28" s="96"/>
      <c r="D28" s="122" t="n">
        <f aca="false">-BACKUP!D112-BACKUP!D114</f>
        <v>-0</v>
      </c>
      <c r="E28" s="122" t="n">
        <f aca="false">-BACKUP!E112-BACKUP!E114</f>
        <v>-0</v>
      </c>
      <c r="F28" s="122" t="n">
        <f aca="false">-BACKUP!F112-BACKUP!F114</f>
        <v>-0</v>
      </c>
      <c r="G28" s="122" t="n">
        <f aca="false">-BACKUP!G112-BACKUP!G114</f>
        <v>-0</v>
      </c>
      <c r="H28" s="122" t="n">
        <f aca="false">-BACKUP!H112-BACKUP!H114</f>
        <v>-0</v>
      </c>
      <c r="I28" s="122" t="n">
        <f aca="false">-BACKUP!I112-BACKUP!I114</f>
        <v>-0</v>
      </c>
      <c r="J28" s="122" t="n">
        <f aca="false">-BACKUP!J112-BACKUP!J114</f>
        <v>-0</v>
      </c>
      <c r="K28" s="122" t="n">
        <f aca="false">-BACKUP!K112-BACKUP!K114</f>
        <v>-0</v>
      </c>
      <c r="L28" s="122" t="n">
        <f aca="false">-BACKUP!L112-BACKUP!L114</f>
        <v>-0</v>
      </c>
      <c r="M28" s="122" t="n">
        <f aca="false">-BACKUP!M112-BACKUP!M114</f>
        <v>-0</v>
      </c>
      <c r="N28" s="122" t="n">
        <f aca="false">-BACKUP!N112-BACKUP!N114</f>
        <v>-0</v>
      </c>
      <c r="O28" s="122" t="n">
        <f aca="false">-BACKUP!O112-BACKUP!O114</f>
        <v>-0</v>
      </c>
      <c r="P28" s="122" t="n">
        <f aca="false">SUM(D28:O28)</f>
        <v>0</v>
      </c>
      <c r="Q28" s="123" t="n">
        <f aca="false">SUM(D28:J28)</f>
        <v>0</v>
      </c>
      <c r="R28" s="122" t="n">
        <f aca="false">P28-Q28</f>
        <v>0</v>
      </c>
      <c r="S28" s="96"/>
      <c r="T28" s="123" t="n">
        <v>0</v>
      </c>
      <c r="U28" s="123" t="n">
        <v>0</v>
      </c>
      <c r="V28" s="122" t="n">
        <f aca="false">T28-U28</f>
        <v>0</v>
      </c>
      <c r="W28" s="96"/>
      <c r="X28" s="122"/>
      <c r="Y28" s="122"/>
      <c r="Z28" s="96"/>
      <c r="AA28" s="96" t="str">
        <f aca="false">A28</f>
        <v>   Equity Earnings</v>
      </c>
      <c r="AB28" s="122" t="n">
        <f aca="false">P28</f>
        <v>0</v>
      </c>
      <c r="AC28" s="123" t="n">
        <f aca="false">SUM(D28:L28)</f>
        <v>0</v>
      </c>
      <c r="AD28" s="122" t="n">
        <f aca="false">AB28-AC28</f>
        <v>0</v>
      </c>
      <c r="AE28" s="96"/>
      <c r="AF28" s="122" t="n">
        <f aca="false">T28</f>
        <v>0</v>
      </c>
      <c r="AG28" s="122" t="n">
        <f aca="false">U28</f>
        <v>0</v>
      </c>
      <c r="AH28" s="122" t="n">
        <f aca="false">AF28-AG28</f>
        <v>0</v>
      </c>
      <c r="AI28" s="96"/>
      <c r="AJ28" s="122" t="n">
        <f aca="false">AC28-AG28</f>
        <v>0</v>
      </c>
      <c r="AK28" s="122" t="n">
        <f aca="false">AB28-AF28</f>
        <v>0</v>
      </c>
      <c r="AL28" s="96"/>
      <c r="AM28" s="123" t="n">
        <v>0</v>
      </c>
      <c r="AN28" s="122" t="n">
        <f aca="false">AB28-AM28</f>
        <v>0</v>
      </c>
      <c r="AO28" s="96"/>
      <c r="AP28" s="123" t="n">
        <v>0</v>
      </c>
      <c r="AQ28" s="122" t="n">
        <f aca="false">AC28-AP28</f>
        <v>0</v>
      </c>
      <c r="AR28" s="96"/>
      <c r="AS28" s="96"/>
      <c r="AT28" s="96"/>
      <c r="AU28" s="96"/>
    </row>
    <row r="29" customFormat="false" ht="14.65" hidden="false" customHeight="false" outlineLevel="0" collapsed="false">
      <c r="A29" s="124" t="s">
        <v>458</v>
      </c>
      <c r="B29" s="96"/>
      <c r="C29" s="96"/>
      <c r="D29" s="122" t="n">
        <f aca="false">-BACKUP!D113</f>
        <v>-0</v>
      </c>
      <c r="E29" s="122" t="n">
        <f aca="false">-BACKUP!E113</f>
        <v>-0</v>
      </c>
      <c r="F29" s="122" t="n">
        <f aca="false">-BACKUP!F113</f>
        <v>-0</v>
      </c>
      <c r="G29" s="122" t="n">
        <f aca="false">-BACKUP!G113</f>
        <v>-0</v>
      </c>
      <c r="H29" s="122" t="n">
        <f aca="false">-BACKUP!H113</f>
        <v>-0</v>
      </c>
      <c r="I29" s="122" t="n">
        <f aca="false">-BACKUP!I113</f>
        <v>-0</v>
      </c>
      <c r="J29" s="122" t="n">
        <f aca="false">-BACKUP!J113</f>
        <v>-0</v>
      </c>
      <c r="K29" s="122" t="n">
        <f aca="false">-BACKUP!K113</f>
        <v>-0</v>
      </c>
      <c r="L29" s="122" t="n">
        <f aca="false">-BACKUP!L113</f>
        <v>-0</v>
      </c>
      <c r="M29" s="122" t="n">
        <f aca="false">-BACKUP!M113</f>
        <v>-0</v>
      </c>
      <c r="N29" s="122" t="n">
        <f aca="false">-BACKUP!N113</f>
        <v>-0</v>
      </c>
      <c r="O29" s="122" t="n">
        <f aca="false">-BACKUP!O113</f>
        <v>-0</v>
      </c>
      <c r="P29" s="122" t="n">
        <f aca="false">SUM(D29:O29)</f>
        <v>0</v>
      </c>
      <c r="Q29" s="123" t="n">
        <f aca="false">SUM(D29:J29)</f>
        <v>0</v>
      </c>
      <c r="R29" s="122" t="n">
        <f aca="false">P29-Q29</f>
        <v>0</v>
      </c>
      <c r="S29" s="96"/>
      <c r="T29" s="123" t="n">
        <v>0</v>
      </c>
      <c r="U29" s="123" t="n">
        <v>0</v>
      </c>
      <c r="V29" s="122" t="n">
        <f aca="false">T29-U29</f>
        <v>0</v>
      </c>
      <c r="W29" s="96"/>
      <c r="X29" s="122"/>
      <c r="Y29" s="122"/>
      <c r="Z29" s="96"/>
      <c r="AA29" s="96" t="str">
        <f aca="false">A29</f>
        <v>   Equity / Partnership Distributions</v>
      </c>
      <c r="AB29" s="122" t="n">
        <f aca="false">P29</f>
        <v>0</v>
      </c>
      <c r="AC29" s="123" t="n">
        <f aca="false">SUM(D29:L29)</f>
        <v>0</v>
      </c>
      <c r="AD29" s="122" t="n">
        <f aca="false">AB29-AC29</f>
        <v>0</v>
      </c>
      <c r="AE29" s="96"/>
      <c r="AF29" s="122" t="n">
        <f aca="false">T29</f>
        <v>0</v>
      </c>
      <c r="AG29" s="122" t="n">
        <f aca="false">U29</f>
        <v>0</v>
      </c>
      <c r="AH29" s="122" t="n">
        <f aca="false">AF29-AG29</f>
        <v>0</v>
      </c>
      <c r="AI29" s="96"/>
      <c r="AJ29" s="122" t="n">
        <f aca="false">AC29-AG29</f>
        <v>0</v>
      </c>
      <c r="AK29" s="122" t="n">
        <f aca="false">AB29-AF29</f>
        <v>0</v>
      </c>
      <c r="AL29" s="96"/>
      <c r="AM29" s="123" t="n">
        <v>0</v>
      </c>
      <c r="AN29" s="122" t="n">
        <f aca="false">AB29-AM29</f>
        <v>0</v>
      </c>
      <c r="AO29" s="96"/>
      <c r="AP29" s="123" t="n">
        <v>0</v>
      </c>
      <c r="AQ29" s="122" t="n">
        <f aca="false">AC29-AP29</f>
        <v>0</v>
      </c>
      <c r="AR29" s="96"/>
      <c r="AS29" s="96"/>
      <c r="AT29" s="96"/>
      <c r="AU29" s="96"/>
    </row>
    <row r="30" customFormat="false" ht="14.65" hidden="false" customHeight="false" outlineLevel="0" collapsed="false">
      <c r="A30" s="124" t="s">
        <v>459</v>
      </c>
      <c r="B30" s="96"/>
      <c r="C30" s="96"/>
      <c r="D30" s="122" t="n">
        <f aca="false">-BACKUP!D469-BACKUP!D470</f>
        <v>-0</v>
      </c>
      <c r="E30" s="122" t="n">
        <f aca="false">-BACKUP!E469-BACKUP!E470</f>
        <v>-0</v>
      </c>
      <c r="F30" s="132" t="n">
        <f aca="false">-BACKUP!F469-BACKUP!F470+106</f>
        <v>106</v>
      </c>
      <c r="G30" s="122" t="n">
        <f aca="false">-BACKUP!G469-BACKUP!G470</f>
        <v>-0</v>
      </c>
      <c r="H30" s="122" t="n">
        <f aca="false">-BACKUP!H469-BACKUP!H470</f>
        <v>-0</v>
      </c>
      <c r="I30" s="122" t="n">
        <f aca="false">-BACKUP!I469-BACKUP!I470</f>
        <v>-0</v>
      </c>
      <c r="J30" s="132" t="n">
        <f aca="false">-BACKUP!J469-BACKUP!J470-18</f>
        <v>-18</v>
      </c>
      <c r="K30" s="122" t="n">
        <f aca="false">-BACKUP!K469-BACKUP!K470</f>
        <v>-0</v>
      </c>
      <c r="L30" s="122" t="n">
        <f aca="false">-BACKUP!L469-BACKUP!L470</f>
        <v>-0</v>
      </c>
      <c r="M30" s="122" t="n">
        <f aca="false">-BACKUP!M469-BACKUP!M470</f>
        <v>-0</v>
      </c>
      <c r="N30" s="122" t="n">
        <f aca="false">-BACKUP!N469-BACKUP!N470</f>
        <v>-0</v>
      </c>
      <c r="O30" s="132" t="n">
        <f aca="false">-BACKUP!O469-BACKUP!O470</f>
        <v>-0</v>
      </c>
      <c r="P30" s="122" t="n">
        <f aca="false">SUM(D30:O30)</f>
        <v>88</v>
      </c>
      <c r="Q30" s="123" t="n">
        <f aca="false">SUM(D30:J30)</f>
        <v>88</v>
      </c>
      <c r="R30" s="122" t="n">
        <f aca="false">P30-Q30</f>
        <v>0</v>
      </c>
      <c r="S30" s="96"/>
      <c r="T30" s="123" t="n">
        <v>0</v>
      </c>
      <c r="U30" s="123" t="n">
        <v>0</v>
      </c>
      <c r="V30" s="122" t="n">
        <f aca="false">T30-U30</f>
        <v>0</v>
      </c>
      <c r="W30" s="96"/>
      <c r="X30" s="96"/>
      <c r="Y30" s="96"/>
      <c r="Z30" s="96"/>
      <c r="AA30" s="96" t="str">
        <f aca="false">A30</f>
        <v>   Net (Gain) / Loss on Sale of Assets</v>
      </c>
      <c r="AB30" s="122" t="n">
        <f aca="false">P30</f>
        <v>88</v>
      </c>
      <c r="AC30" s="123" t="n">
        <f aca="false">SUM(D30:L30)</f>
        <v>88</v>
      </c>
      <c r="AD30" s="122" t="n">
        <f aca="false">AB30-AC30</f>
        <v>0</v>
      </c>
      <c r="AE30" s="96"/>
      <c r="AF30" s="122" t="n">
        <f aca="false">T30</f>
        <v>0</v>
      </c>
      <c r="AG30" s="122" t="n">
        <f aca="false">U30</f>
        <v>0</v>
      </c>
      <c r="AH30" s="122" t="n">
        <f aca="false">AF30-AG30</f>
        <v>0</v>
      </c>
      <c r="AI30" s="96"/>
      <c r="AJ30" s="122" t="n">
        <f aca="false">AC30-AG30</f>
        <v>88</v>
      </c>
      <c r="AK30" s="122" t="n">
        <f aca="false">AB30-AF30</f>
        <v>88</v>
      </c>
      <c r="AL30" s="96"/>
      <c r="AM30" s="123" t="n">
        <v>106</v>
      </c>
      <c r="AN30" s="122" t="n">
        <f aca="false">AB30-AM30</f>
        <v>-18</v>
      </c>
      <c r="AO30" s="96"/>
      <c r="AP30" s="123" t="n">
        <v>106</v>
      </c>
      <c r="AQ30" s="122" t="n">
        <f aca="false">AC30-AP30</f>
        <v>-18</v>
      </c>
      <c r="AR30" s="96"/>
      <c r="AS30" s="96"/>
      <c r="AT30" s="96"/>
      <c r="AU30" s="96"/>
    </row>
    <row r="31" customFormat="false" ht="14.65" hidden="false" customHeight="false" outlineLevel="0" collapsed="false">
      <c r="A31" s="124" t="s">
        <v>460</v>
      </c>
      <c r="B31" s="96"/>
      <c r="C31" s="96"/>
      <c r="D31" s="125" t="n">
        <f aca="false">-D327+D330</f>
        <v>463</v>
      </c>
      <c r="E31" s="125" t="n">
        <f aca="false">-E327+E330</f>
        <v>429</v>
      </c>
      <c r="F31" s="125" t="n">
        <f aca="false">-F327+F330</f>
        <v>469</v>
      </c>
      <c r="G31" s="125" t="n">
        <f aca="false">-G327+G330</f>
        <v>469</v>
      </c>
      <c r="H31" s="125" t="n">
        <f aca="false">-H327+H330</f>
        <v>469</v>
      </c>
      <c r="I31" s="125" t="n">
        <f aca="false">-I327+I330</f>
        <v>467</v>
      </c>
      <c r="J31" s="125" t="n">
        <f aca="false">-J327+J330</f>
        <v>448</v>
      </c>
      <c r="K31" s="125" t="n">
        <f aca="false">-K327+K330</f>
        <v>463</v>
      </c>
      <c r="L31" s="125" t="n">
        <f aca="false">-L327+L330</f>
        <v>461</v>
      </c>
      <c r="M31" s="125" t="n">
        <f aca="false">-M327+M330</f>
        <v>468</v>
      </c>
      <c r="N31" s="125" t="n">
        <f aca="false">-N327+N330</f>
        <v>462</v>
      </c>
      <c r="O31" s="125" t="n">
        <f aca="false">-O327+O330</f>
        <v>-36</v>
      </c>
      <c r="P31" s="122" t="n">
        <f aca="false">SUM(D31:O31)</f>
        <v>5032</v>
      </c>
      <c r="Q31" s="123" t="n">
        <f aca="false">SUM(D31:J31)</f>
        <v>3214</v>
      </c>
      <c r="R31" s="122" t="n">
        <f aca="false">P31-Q31</f>
        <v>1818</v>
      </c>
      <c r="S31" s="96"/>
      <c r="T31" s="128" t="n">
        <f aca="false">3697+1284</f>
        <v>4981</v>
      </c>
      <c r="U31" s="128" t="n">
        <f aca="false">3145+963</f>
        <v>4108</v>
      </c>
      <c r="V31" s="122" t="n">
        <f aca="false">T31-U31</f>
        <v>873</v>
      </c>
      <c r="W31" s="96"/>
      <c r="X31" s="96"/>
      <c r="Y31" s="96"/>
      <c r="Z31" s="96"/>
      <c r="AA31" s="96" t="str">
        <f aca="false">A31</f>
        <v>   Other Regulatory Assets / Liabilities</v>
      </c>
      <c r="AB31" s="122" t="n">
        <f aca="false">P31</f>
        <v>5032</v>
      </c>
      <c r="AC31" s="123" t="n">
        <f aca="false">SUM(D31:L31)</f>
        <v>4138</v>
      </c>
      <c r="AD31" s="122" t="n">
        <f aca="false">AB31-AC31</f>
        <v>894</v>
      </c>
      <c r="AE31" s="96"/>
      <c r="AF31" s="122" t="n">
        <f aca="false">T31</f>
        <v>4981</v>
      </c>
      <c r="AG31" s="122" t="n">
        <f aca="false">U31</f>
        <v>4108</v>
      </c>
      <c r="AH31" s="122" t="n">
        <f aca="false">AF31-AG31</f>
        <v>873</v>
      </c>
      <c r="AI31" s="96"/>
      <c r="AJ31" s="122" t="n">
        <f aca="false">AC31-AG31</f>
        <v>30</v>
      </c>
      <c r="AK31" s="122" t="n">
        <f aca="false">AB31-AF31</f>
        <v>51</v>
      </c>
      <c r="AL31" s="96"/>
      <c r="AM31" s="123" t="n">
        <v>5050</v>
      </c>
      <c r="AN31" s="122" t="n">
        <f aca="false">AB31-AM31</f>
        <v>-18</v>
      </c>
      <c r="AO31" s="96"/>
      <c r="AP31" s="123" t="n">
        <v>4156</v>
      </c>
      <c r="AQ31" s="122" t="n">
        <f aca="false">AC31-AP31</f>
        <v>-18</v>
      </c>
      <c r="AR31" s="96"/>
      <c r="AS31" s="96"/>
      <c r="AT31" s="96"/>
      <c r="AU31" s="96"/>
    </row>
    <row r="32" customFormat="false" ht="14.65" hidden="false" customHeight="false" outlineLevel="0" collapsed="false">
      <c r="A32" s="124" t="s">
        <v>461</v>
      </c>
      <c r="B32" s="96"/>
      <c r="C32" s="96"/>
      <c r="D32" s="133" t="n">
        <f aca="false">D254-D257-D264-D267-D269+D280+D282-D291-D292-D293-SUM(D294:D302)+SUM(D316:D322)+D313+D338+BACKUP!D359-1-1-1</f>
        <v>-33</v>
      </c>
      <c r="E32" s="133" t="n">
        <f aca="false">E254-E257-E264-E267-E269+E280+E282-E291-E292-E293-SUM(E294:E302)+SUM(E316:E322)+E313+E338+BACKUP!E359-1+1+(-1)</f>
        <v>-577</v>
      </c>
      <c r="F32" s="133" t="n">
        <f aca="false">F254-F257-F264-F267-F269+F280+F282-F291-F292-F293-SUM(F294:F302)+SUM(F316:F322)+F313+F338+BACKUP!F359+1-1-200-106+1+(1)</f>
        <v>11526</v>
      </c>
      <c r="G32" s="133" t="n">
        <f aca="false">G254-G257-G264-G267-G269+G280+G282-G291-G292-G293-SUM(G294:G302)+SUM(G316:G322)+G313+G338+BACKUP!G359+1-1+1-2-1</f>
        <v>395</v>
      </c>
      <c r="H32" s="133" t="n">
        <f aca="false">H254-H257-H264-H267-H269+H280+H282-H291-H292-H293-SUM(H294:H302)+SUM(H316:H322)+H313+H338+BACKUP!H359+1+4+1+58</f>
        <v>-931</v>
      </c>
      <c r="I32" s="133" t="n">
        <f aca="false">I254-I257-I264-I267-I269+I280+I282-I291-I292-I293-SUM(I294:I302)+SUM(I316:I322)+I313+I338+BACKUP!I359-1+2-1+(-3)</f>
        <v>-152</v>
      </c>
      <c r="J32" s="134" t="n">
        <f aca="false">J254-J257-J264-J267-J269+J280+J282-J291-J292-J293-SUM(J294:J302)+SUM(J316:J322)+J313+J338+BACKUP!J359+1+1-3+(18-18)+1+(3)</f>
        <v>-293</v>
      </c>
      <c r="K32" s="133" t="n">
        <f aca="false">K254-K257-K264-K267-K269+K280+K282-K291-K292-K293-SUM(K294:K302)+SUM(K316:K322)+K313+K338+BACKUP!K359</f>
        <v>-76</v>
      </c>
      <c r="L32" s="133" t="n">
        <f aca="false">L254-L257-L264-L267-L269+L280+L282-L291-L292-L293-SUM(L294:L302)+SUM(L316:L322)+L313+L338+BACKUP!L359</f>
        <v>-12356</v>
      </c>
      <c r="M32" s="133" t="n">
        <f aca="false">M254-M257-M264-M267-M269+M280+M282-M291-M292-M293-SUM(M294:M302)+SUM(M316:M322)+M313+M338+BACKUP!M359</f>
        <v>-75</v>
      </c>
      <c r="N32" s="133" t="n">
        <f aca="false">N254-N257-N264-N267-N269+N280+N282-N291-N292-N293-SUM(N294:N302)+SUM(N316:N322)+N313+N338+BACKUP!N359</f>
        <v>-77</v>
      </c>
      <c r="O32" s="133" t="n">
        <f aca="false">O254-O257-O264-O267-O269+O280+O282-O291-O292-O293-SUM(O294:O302)+SUM(O316:O322)+O313+O338+BACKUP!O359</f>
        <v>-76</v>
      </c>
      <c r="P32" s="135" t="n">
        <f aca="false">SUM(D32:O32)</f>
        <v>-2725</v>
      </c>
      <c r="Q32" s="136" t="n">
        <f aca="false">SUM(D32:J32)</f>
        <v>9935</v>
      </c>
      <c r="R32" s="135" t="n">
        <f aca="false">P32-Q32</f>
        <v>-12660</v>
      </c>
      <c r="S32" s="96"/>
      <c r="T32" s="136" t="n">
        <f aca="false">-10936</f>
        <v>-10936</v>
      </c>
      <c r="U32" s="136" t="n">
        <v>-8188</v>
      </c>
      <c r="V32" s="135" t="n">
        <f aca="false">T32-U32</f>
        <v>-2748</v>
      </c>
      <c r="W32" s="96"/>
      <c r="X32" s="122"/>
      <c r="Y32" s="122"/>
      <c r="Z32" s="96"/>
      <c r="AA32" s="96" t="str">
        <f aca="false">A32</f>
        <v>   Other (Incl. All Capital Costs &amp; Current Reserve Activity)</v>
      </c>
      <c r="AB32" s="135" t="n">
        <f aca="false">P32</f>
        <v>-2725</v>
      </c>
      <c r="AC32" s="136" t="n">
        <f aca="false">SUM(D32:L32)</f>
        <v>-2497</v>
      </c>
      <c r="AD32" s="135" t="n">
        <f aca="false">AB32-AC32</f>
        <v>-228</v>
      </c>
      <c r="AE32" s="96"/>
      <c r="AF32" s="135" t="n">
        <f aca="false">T32</f>
        <v>-10936</v>
      </c>
      <c r="AG32" s="135" t="n">
        <f aca="false">U32</f>
        <v>-8188</v>
      </c>
      <c r="AH32" s="135" t="n">
        <f aca="false">AF32-AG32</f>
        <v>-2748</v>
      </c>
      <c r="AI32" s="96"/>
      <c r="AJ32" s="135" t="n">
        <f aca="false">AC32-AG32</f>
        <v>5691</v>
      </c>
      <c r="AK32" s="135" t="n">
        <f aca="false">AB32-AF32</f>
        <v>8211</v>
      </c>
      <c r="AL32" s="96"/>
      <c r="AM32" s="136" t="n">
        <v>-2503</v>
      </c>
      <c r="AN32" s="135" t="n">
        <f aca="false">AB32-AM32</f>
        <v>-222</v>
      </c>
      <c r="AO32" s="96"/>
      <c r="AP32" s="136" t="n">
        <v>-2275</v>
      </c>
      <c r="AQ32" s="135" t="n">
        <f aca="false">AC32-AP32</f>
        <v>-222</v>
      </c>
      <c r="AR32" s="96"/>
      <c r="AS32" s="96"/>
      <c r="AT32" s="96"/>
      <c r="AU32" s="96"/>
    </row>
    <row r="33" customFormat="false" ht="3.95" hidden="false" customHeight="true" outlineLevel="0" collapsed="false">
      <c r="A33" s="108"/>
      <c r="B33" s="96"/>
      <c r="C33" s="9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96"/>
      <c r="T33" s="122"/>
      <c r="U33" s="122"/>
      <c r="V33" s="122"/>
      <c r="W33" s="96"/>
      <c r="X33" s="122"/>
      <c r="Y33" s="122"/>
      <c r="Z33" s="96"/>
      <c r="AA33" s="96"/>
      <c r="AB33" s="122"/>
      <c r="AC33" s="122"/>
      <c r="AD33" s="122"/>
      <c r="AE33" s="96"/>
      <c r="AF33" s="122"/>
      <c r="AG33" s="122"/>
      <c r="AH33" s="122"/>
      <c r="AI33" s="96"/>
      <c r="AJ33" s="122"/>
      <c r="AK33" s="122"/>
      <c r="AL33" s="96"/>
      <c r="AM33" s="122"/>
      <c r="AN33" s="122"/>
      <c r="AO33" s="96"/>
      <c r="AP33" s="122"/>
      <c r="AQ33" s="122"/>
      <c r="AR33" s="96"/>
      <c r="AS33" s="96"/>
      <c r="AT33" s="96"/>
      <c r="AU33" s="96"/>
    </row>
    <row r="34" customFormat="false" ht="14.65" hidden="false" customHeight="false" outlineLevel="0" collapsed="false">
      <c r="A34" s="121" t="s">
        <v>462</v>
      </c>
      <c r="B34" s="96"/>
      <c r="C34" s="96"/>
      <c r="D34" s="135" t="n">
        <f aca="false">SUM(D9:D33)</f>
        <v>11072</v>
      </c>
      <c r="E34" s="135" t="n">
        <f aca="false">SUM(E9:E33)</f>
        <v>9754</v>
      </c>
      <c r="F34" s="135" t="n">
        <f aca="false">SUM(F9:F33)</f>
        <v>15487</v>
      </c>
      <c r="G34" s="135" t="n">
        <f aca="false">SUM(G9:G33)</f>
        <v>-3258</v>
      </c>
      <c r="H34" s="135" t="n">
        <f aca="false">SUM(H9:H33)</f>
        <v>6562</v>
      </c>
      <c r="I34" s="135" t="n">
        <f aca="false">SUM(I9:I33)</f>
        <v>21900</v>
      </c>
      <c r="J34" s="135" t="n">
        <f aca="false">SUM(J9:J33)</f>
        <v>-2949</v>
      </c>
      <c r="K34" s="135" t="n">
        <f aca="false">SUM(K9:K33)</f>
        <v>8830</v>
      </c>
      <c r="L34" s="135" t="n">
        <f aca="false">SUM(L9:L33)</f>
        <v>11631</v>
      </c>
      <c r="M34" s="135" t="n">
        <f aca="false">SUM(M9:M33)</f>
        <v>8939</v>
      </c>
      <c r="N34" s="135" t="n">
        <f aca="false">SUM(N9:N33)</f>
        <v>10015</v>
      </c>
      <c r="O34" s="135" t="n">
        <f aca="false">SUM(O9:O33)</f>
        <v>6400</v>
      </c>
      <c r="P34" s="135" t="n">
        <f aca="false">SUM(P9:P33)</f>
        <v>104383</v>
      </c>
      <c r="Q34" s="135" t="n">
        <f aca="false">SUM(Q9:Q33)</f>
        <v>58568</v>
      </c>
      <c r="R34" s="135" t="n">
        <f aca="false">SUM(R9:R33)</f>
        <v>45815</v>
      </c>
      <c r="S34" s="96"/>
      <c r="T34" s="135" t="n">
        <f aca="false">SUM(T9:T33)</f>
        <v>81940</v>
      </c>
      <c r="U34" s="135" t="n">
        <f aca="false">SUM(U9:U33)</f>
        <v>63700</v>
      </c>
      <c r="V34" s="135" t="n">
        <f aca="false">SUM(V9:V33)</f>
        <v>18240</v>
      </c>
      <c r="W34" s="96"/>
      <c r="X34" s="122"/>
      <c r="Y34" s="122"/>
      <c r="Z34" s="96"/>
      <c r="AA34" s="93" t="str">
        <f aca="false">A34</f>
        <v>      Cash Provided by Operating Activities</v>
      </c>
      <c r="AB34" s="135" t="n">
        <f aca="false">SUM(AB9:AB33)</f>
        <v>104383</v>
      </c>
      <c r="AC34" s="135" t="n">
        <f aca="false">SUM(AC9:AC33)</f>
        <v>79029</v>
      </c>
      <c r="AD34" s="135" t="n">
        <f aca="false">SUM(AD9:AD33)</f>
        <v>25354</v>
      </c>
      <c r="AE34" s="96"/>
      <c r="AF34" s="135" t="n">
        <f aca="false">SUM(AF9:AF33)</f>
        <v>81940</v>
      </c>
      <c r="AG34" s="135" t="n">
        <f aca="false">SUM(AG9:AG33)</f>
        <v>63700</v>
      </c>
      <c r="AH34" s="135" t="n">
        <f aca="false">SUM(AH9:AH33)</f>
        <v>18240</v>
      </c>
      <c r="AI34" s="96"/>
      <c r="AJ34" s="135" t="n">
        <f aca="false">SUM(AJ9:AJ33)</f>
        <v>15329</v>
      </c>
      <c r="AK34" s="135" t="n">
        <f aca="false">SUM(AK9:AK33)</f>
        <v>22443</v>
      </c>
      <c r="AL34" s="96"/>
      <c r="AM34" s="135" t="n">
        <f aca="false">SUM(AM9:AM33)</f>
        <v>100779</v>
      </c>
      <c r="AN34" s="135" t="n">
        <f aca="false">SUM(AN9:AN33)</f>
        <v>3604</v>
      </c>
      <c r="AO34" s="96"/>
      <c r="AP34" s="135" t="n">
        <f aca="false">SUM(AP9:AP33)</f>
        <v>77904</v>
      </c>
      <c r="AQ34" s="135" t="n">
        <f aca="false">SUM(AQ9:AQ33)</f>
        <v>1125</v>
      </c>
      <c r="AR34" s="96"/>
      <c r="AS34" s="96"/>
      <c r="AT34" s="96"/>
      <c r="AU34" s="96"/>
    </row>
    <row r="35" customFormat="false" ht="6" hidden="false" customHeight="true" outlineLevel="0" collapsed="false">
      <c r="A35" s="108"/>
      <c r="B35" s="96"/>
      <c r="C35" s="9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96"/>
      <c r="T35" s="122"/>
      <c r="U35" s="122"/>
      <c r="V35" s="122"/>
      <c r="W35" s="96"/>
      <c r="X35" s="122"/>
      <c r="Y35" s="122"/>
      <c r="Z35" s="96"/>
      <c r="AA35" s="96"/>
      <c r="AB35" s="122"/>
      <c r="AC35" s="122"/>
      <c r="AD35" s="122"/>
      <c r="AE35" s="96"/>
      <c r="AF35" s="122"/>
      <c r="AG35" s="122"/>
      <c r="AH35" s="122"/>
      <c r="AI35" s="96"/>
      <c r="AJ35" s="122"/>
      <c r="AK35" s="122"/>
      <c r="AL35" s="96"/>
      <c r="AM35" s="122"/>
      <c r="AN35" s="122"/>
      <c r="AO35" s="96"/>
      <c r="AP35" s="122"/>
      <c r="AQ35" s="122"/>
      <c r="AR35" s="96"/>
      <c r="AS35" s="96"/>
      <c r="AT35" s="96"/>
      <c r="AU35" s="96"/>
    </row>
    <row r="36" customFormat="false" ht="14.65" hidden="false" customHeight="false" outlineLevel="0" collapsed="false">
      <c r="A36" s="121" t="s">
        <v>463</v>
      </c>
      <c r="B36" s="96"/>
      <c r="C36" s="9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96"/>
      <c r="Q36" s="96"/>
      <c r="R36" s="96"/>
      <c r="S36" s="96"/>
      <c r="T36" s="122"/>
      <c r="U36" s="122"/>
      <c r="V36" s="96"/>
      <c r="W36" s="96"/>
      <c r="X36" s="96"/>
      <c r="Y36" s="96"/>
      <c r="Z36" s="96"/>
      <c r="AA36" s="93" t="str">
        <f aca="false">A36</f>
        <v>CASH FLOW FROM INVESTING ACTIVITIES</v>
      </c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123"/>
      <c r="AN36" s="96"/>
      <c r="AO36" s="96"/>
      <c r="AP36" s="123"/>
      <c r="AQ36" s="96"/>
      <c r="AR36" s="96"/>
      <c r="AS36" s="96"/>
      <c r="AT36" s="96"/>
      <c r="AU36" s="96"/>
    </row>
    <row r="37" customFormat="false" ht="14.65" hidden="false" customHeight="false" outlineLevel="0" collapsed="false">
      <c r="A37" s="124" t="s">
        <v>464</v>
      </c>
      <c r="B37" s="96"/>
      <c r="C37" s="96"/>
      <c r="D37" s="122" t="n">
        <f aca="false">-D265-D266+D281+D334+D335</f>
        <v>0</v>
      </c>
      <c r="E37" s="122" t="n">
        <f aca="false">-E265-E266+E281+E334+E335</f>
        <v>0</v>
      </c>
      <c r="F37" s="122" t="n">
        <f aca="false">-F265-F266+F281+F334+F335</f>
        <v>0</v>
      </c>
      <c r="G37" s="125" t="n">
        <f aca="false">-G265-G266+G281+G334+G335</f>
        <v>0</v>
      </c>
      <c r="H37" s="122" t="n">
        <f aca="false">-H265-H266+H281+H334+H335</f>
        <v>0</v>
      </c>
      <c r="I37" s="122" t="n">
        <f aca="false">-I265-I266+I281+I334+I335</f>
        <v>0</v>
      </c>
      <c r="J37" s="132" t="n">
        <f aca="false">-J265-J266+J281+J334+J335+18</f>
        <v>18</v>
      </c>
      <c r="K37" s="122" t="n">
        <f aca="false">-K265-K266+K281+K334+K335</f>
        <v>0</v>
      </c>
      <c r="L37" s="122" t="n">
        <f aca="false">-L265-L266+L281+L334+L335</f>
        <v>0</v>
      </c>
      <c r="M37" s="122" t="n">
        <f aca="false">-M265-M266+M281+M334+M335</f>
        <v>0</v>
      </c>
      <c r="N37" s="122" t="n">
        <f aca="false">-N265-N266+N281+N334+N335</f>
        <v>0</v>
      </c>
      <c r="O37" s="132" t="n">
        <f aca="false">-O265-O266+O281+O334+O335</f>
        <v>0</v>
      </c>
      <c r="P37" s="122" t="n">
        <f aca="false">SUM(D37:O37)</f>
        <v>18</v>
      </c>
      <c r="Q37" s="123" t="n">
        <f aca="false">SUM(D37:J37)</f>
        <v>18</v>
      </c>
      <c r="R37" s="122" t="n">
        <f aca="false">P37-Q37</f>
        <v>0</v>
      </c>
      <c r="S37" s="96"/>
      <c r="T37" s="123" t="n">
        <v>0</v>
      </c>
      <c r="U37" s="123" t="n">
        <v>0</v>
      </c>
      <c r="V37" s="122" t="n">
        <f aca="false">T37-U37</f>
        <v>0</v>
      </c>
      <c r="W37" s="96"/>
      <c r="X37" s="96"/>
      <c r="Y37" s="96"/>
      <c r="Z37" s="96"/>
      <c r="AA37" s="96" t="str">
        <f aca="false">A37</f>
        <v>   Proceeds from Sale of Investments</v>
      </c>
      <c r="AB37" s="122" t="n">
        <f aca="false">P37</f>
        <v>18</v>
      </c>
      <c r="AC37" s="123" t="n">
        <f aca="false">SUM(D37:L37)</f>
        <v>18</v>
      </c>
      <c r="AD37" s="122" t="n">
        <f aca="false">AB37-AC37</f>
        <v>0</v>
      </c>
      <c r="AE37" s="96"/>
      <c r="AF37" s="122" t="n">
        <f aca="false">T37</f>
        <v>0</v>
      </c>
      <c r="AG37" s="122" t="n">
        <f aca="false">U37</f>
        <v>0</v>
      </c>
      <c r="AH37" s="122" t="n">
        <f aca="false">AF37-AG37</f>
        <v>0</v>
      </c>
      <c r="AI37" s="96"/>
      <c r="AJ37" s="122" t="n">
        <f aca="false">AC37-AG37</f>
        <v>18</v>
      </c>
      <c r="AK37" s="122" t="n">
        <f aca="false">AB37-AF37</f>
        <v>18</v>
      </c>
      <c r="AL37" s="96"/>
      <c r="AM37" s="123" t="n">
        <v>0</v>
      </c>
      <c r="AN37" s="122" t="n">
        <f aca="false">AB37-AM37</f>
        <v>18</v>
      </c>
      <c r="AO37" s="96"/>
      <c r="AP37" s="123" t="n">
        <v>0</v>
      </c>
      <c r="AQ37" s="122" t="n">
        <f aca="false">AC37-AP37</f>
        <v>18</v>
      </c>
      <c r="AR37" s="96"/>
      <c r="AS37" s="96"/>
      <c r="AT37" s="96"/>
      <c r="AU37" s="96"/>
    </row>
    <row r="38" customFormat="false" ht="14.65" hidden="false" customHeight="false" outlineLevel="0" collapsed="false">
      <c r="A38" s="124" t="s">
        <v>465</v>
      </c>
      <c r="B38" s="96"/>
      <c r="C38" s="96"/>
      <c r="D38" s="125" t="n">
        <f aca="false">-D260-D262-D263</f>
        <v>-366</v>
      </c>
      <c r="E38" s="125" t="n">
        <f aca="false">-E260-E262-E263</f>
        <v>-242</v>
      </c>
      <c r="F38" s="125" t="n">
        <f aca="false">-F260-F262-F263</f>
        <v>-906</v>
      </c>
      <c r="G38" s="125" t="n">
        <f aca="false">-G260-G262-G263</f>
        <v>-1317</v>
      </c>
      <c r="H38" s="125" t="n">
        <f aca="false">-H260-H262-H263</f>
        <v>-16105</v>
      </c>
      <c r="I38" s="125" t="n">
        <f aca="false">-I260-I262-I263</f>
        <v>-3523</v>
      </c>
      <c r="J38" s="127" t="n">
        <f aca="false">-J260-J262-J263-1</f>
        <v>-1281</v>
      </c>
      <c r="K38" s="125" t="n">
        <f aca="false">-K260-K262-K263</f>
        <v>-1900</v>
      </c>
      <c r="L38" s="125" t="n">
        <f aca="false">-L260-L262-L263</f>
        <v>-13043</v>
      </c>
      <c r="M38" s="125" t="n">
        <f aca="false">-M260-M262-M263</f>
        <v>-5817</v>
      </c>
      <c r="N38" s="125" t="n">
        <f aca="false">-N260-N262-N263</f>
        <v>-11852</v>
      </c>
      <c r="O38" s="125" t="n">
        <f aca="false">-O260-O262-O263</f>
        <v>-11548</v>
      </c>
      <c r="P38" s="122" t="n">
        <f aca="false">SUM(D38:O38)</f>
        <v>-67900</v>
      </c>
      <c r="Q38" s="123" t="n">
        <f aca="false">SUM(D38:J38)</f>
        <v>-23740</v>
      </c>
      <c r="R38" s="122" t="n">
        <f aca="false">P38-Q38</f>
        <v>-44160</v>
      </c>
      <c r="S38" s="96"/>
      <c r="T38" s="123" t="n">
        <v>-47600</v>
      </c>
      <c r="U38" s="123" t="n">
        <v>-40100</v>
      </c>
      <c r="V38" s="122" t="n">
        <f aca="false">T38-U38</f>
        <v>-7500</v>
      </c>
      <c r="W38" s="96"/>
      <c r="X38" s="122"/>
      <c r="Y38" s="122"/>
      <c r="Z38" s="96"/>
      <c r="AA38" s="96" t="str">
        <f aca="false">A38</f>
        <v>   Additions to Property </v>
      </c>
      <c r="AB38" s="122" t="n">
        <f aca="false">P38</f>
        <v>-67900</v>
      </c>
      <c r="AC38" s="123" t="n">
        <f aca="false">SUM(D38:L38)</f>
        <v>-38683</v>
      </c>
      <c r="AD38" s="122" t="n">
        <f aca="false">AB38-AC38</f>
        <v>-29217</v>
      </c>
      <c r="AE38" s="96"/>
      <c r="AF38" s="122" t="n">
        <f aca="false">T38</f>
        <v>-47600</v>
      </c>
      <c r="AG38" s="122" t="n">
        <f aca="false">U38</f>
        <v>-40100</v>
      </c>
      <c r="AH38" s="122" t="n">
        <f aca="false">AF38-AG38</f>
        <v>-7500</v>
      </c>
      <c r="AI38" s="96"/>
      <c r="AJ38" s="122" t="n">
        <f aca="false">AC38-AG38</f>
        <v>1417</v>
      </c>
      <c r="AK38" s="122" t="n">
        <f aca="false">AB38-AF38</f>
        <v>-20300</v>
      </c>
      <c r="AL38" s="96"/>
      <c r="AM38" s="123" t="n">
        <v>-88300</v>
      </c>
      <c r="AN38" s="122" t="n">
        <f aca="false">AB38-AM38</f>
        <v>20400</v>
      </c>
      <c r="AO38" s="96"/>
      <c r="AP38" s="123" t="n">
        <v>-52575</v>
      </c>
      <c r="AQ38" s="122" t="n">
        <f aca="false">AC38-AP38</f>
        <v>13892</v>
      </c>
      <c r="AR38" s="96"/>
      <c r="AS38" s="96"/>
      <c r="AT38" s="96"/>
      <c r="AU38" s="96"/>
    </row>
    <row r="39" customFormat="false" ht="14.65" hidden="false" customHeight="false" outlineLevel="0" collapsed="false">
      <c r="A39" s="124" t="s">
        <v>466</v>
      </c>
      <c r="B39" s="96"/>
      <c r="C39" s="96"/>
      <c r="D39" s="127" t="n">
        <f aca="false">-D261-D268+1</f>
        <v>-69</v>
      </c>
      <c r="E39" s="125" t="n">
        <f aca="false">-E261-E268</f>
        <v>862</v>
      </c>
      <c r="F39" s="125" t="n">
        <f aca="false">-F261-F268</f>
        <v>17</v>
      </c>
      <c r="G39" s="125" t="n">
        <f aca="false">-G261-G268</f>
        <v>-1468</v>
      </c>
      <c r="H39" s="125" t="n">
        <f aca="false">-H261-H268</f>
        <v>154</v>
      </c>
      <c r="I39" s="125" t="n">
        <f aca="false">-I261-I268</f>
        <v>67</v>
      </c>
      <c r="J39" s="125" t="n">
        <f aca="false">-J261-J268</f>
        <v>200</v>
      </c>
      <c r="K39" s="125" t="n">
        <f aca="false">-K261-K268</f>
        <v>-0</v>
      </c>
      <c r="L39" s="125" t="n">
        <f aca="false">-L261-L268</f>
        <v>-0</v>
      </c>
      <c r="M39" s="125" t="n">
        <f aca="false">-M261-M268</f>
        <v>-0</v>
      </c>
      <c r="N39" s="125" t="n">
        <f aca="false">-N261-N268</f>
        <v>-0</v>
      </c>
      <c r="O39" s="125" t="n">
        <f aca="false">-O261-O268</f>
        <v>-0</v>
      </c>
      <c r="P39" s="122" t="n">
        <f aca="false">SUM(D39:O39)</f>
        <v>-237</v>
      </c>
      <c r="Q39" s="123" t="n">
        <f aca="false">SUM(D39:J39)</f>
        <v>-237</v>
      </c>
      <c r="R39" s="122" t="n">
        <f aca="false">P39-Q39</f>
        <v>0</v>
      </c>
      <c r="S39" s="96"/>
      <c r="T39" s="123" t="n">
        <v>0</v>
      </c>
      <c r="U39" s="123" t="n">
        <v>0</v>
      </c>
      <c r="V39" s="122" t="n">
        <f aca="false">T39-U39</f>
        <v>0</v>
      </c>
      <c r="W39" s="96"/>
      <c r="X39" s="122"/>
      <c r="Y39" s="122"/>
      <c r="Z39" s="96"/>
      <c r="AA39" s="96" t="str">
        <f aca="false">A39</f>
        <v>   Other Capital Expenditures</v>
      </c>
      <c r="AB39" s="122" t="n">
        <f aca="false">P39</f>
        <v>-237</v>
      </c>
      <c r="AC39" s="123" t="n">
        <f aca="false">SUM(D39:L39)</f>
        <v>-237</v>
      </c>
      <c r="AD39" s="122" t="n">
        <f aca="false">AB39-AC39</f>
        <v>0</v>
      </c>
      <c r="AE39" s="96"/>
      <c r="AF39" s="122" t="n">
        <f aca="false">T39</f>
        <v>0</v>
      </c>
      <c r="AG39" s="122" t="n">
        <f aca="false">U39</f>
        <v>0</v>
      </c>
      <c r="AH39" s="122" t="n">
        <f aca="false">AF39-AG39</f>
        <v>0</v>
      </c>
      <c r="AI39" s="96"/>
      <c r="AJ39" s="122" t="n">
        <f aca="false">AC39-AG39</f>
        <v>-237</v>
      </c>
      <c r="AK39" s="122" t="n">
        <f aca="false">AB39-AF39</f>
        <v>-237</v>
      </c>
      <c r="AL39" s="96"/>
      <c r="AM39" s="123" t="n">
        <v>-504</v>
      </c>
      <c r="AN39" s="122" t="n">
        <f aca="false">AB39-AM39</f>
        <v>267</v>
      </c>
      <c r="AO39" s="96"/>
      <c r="AP39" s="123" t="n">
        <v>-504</v>
      </c>
      <c r="AQ39" s="122" t="n">
        <f aca="false">AC39-AP39</f>
        <v>267</v>
      </c>
      <c r="AR39" s="96"/>
      <c r="AS39" s="96"/>
      <c r="AT39" s="96"/>
      <c r="AU39" s="96"/>
    </row>
    <row r="40" customFormat="false" ht="14.65" hidden="false" customHeight="false" outlineLevel="0" collapsed="false">
      <c r="A40" s="124" t="s">
        <v>467</v>
      </c>
      <c r="B40" s="96"/>
      <c r="C40" s="96"/>
      <c r="D40" s="123" t="n">
        <v>0</v>
      </c>
      <c r="E40" s="123" t="n">
        <v>0</v>
      </c>
      <c r="F40" s="123" t="n">
        <v>0</v>
      </c>
      <c r="G40" s="123" t="n">
        <v>0</v>
      </c>
      <c r="H40" s="123" t="n">
        <v>0</v>
      </c>
      <c r="I40" s="123" t="n">
        <v>0</v>
      </c>
      <c r="J40" s="123" t="n">
        <v>0</v>
      </c>
      <c r="K40" s="123" t="n">
        <v>0</v>
      </c>
      <c r="L40" s="123" t="n">
        <v>0</v>
      </c>
      <c r="M40" s="123" t="n">
        <v>0</v>
      </c>
      <c r="N40" s="123" t="n">
        <v>0</v>
      </c>
      <c r="O40" s="123" t="n">
        <v>0</v>
      </c>
      <c r="P40" s="122" t="n">
        <f aca="false">SUM(D40:O40)</f>
        <v>0</v>
      </c>
      <c r="Q40" s="123" t="n">
        <f aca="false">SUM(D40:J40)</f>
        <v>0</v>
      </c>
      <c r="R40" s="122" t="n">
        <f aca="false">P40-Q40</f>
        <v>0</v>
      </c>
      <c r="S40" s="96"/>
      <c r="T40" s="123" t="n">
        <v>0</v>
      </c>
      <c r="U40" s="123" t="n">
        <v>0</v>
      </c>
      <c r="V40" s="122" t="n">
        <f aca="false">T40-U40</f>
        <v>0</v>
      </c>
      <c r="W40" s="96"/>
      <c r="X40" s="96"/>
      <c r="Y40" s="96"/>
      <c r="Z40" s="96"/>
      <c r="AA40" s="96" t="str">
        <f aca="false">A40</f>
        <v>   Other Investments</v>
      </c>
      <c r="AB40" s="122" t="n">
        <f aca="false">P40</f>
        <v>0</v>
      </c>
      <c r="AC40" s="123" t="n">
        <f aca="false">SUM(D40:L40)</f>
        <v>0</v>
      </c>
      <c r="AD40" s="122" t="n">
        <f aca="false">AB40-AC40</f>
        <v>0</v>
      </c>
      <c r="AE40" s="96"/>
      <c r="AF40" s="122" t="n">
        <f aca="false">T40</f>
        <v>0</v>
      </c>
      <c r="AG40" s="122" t="n">
        <f aca="false">U40</f>
        <v>0</v>
      </c>
      <c r="AH40" s="122" t="n">
        <f aca="false">AF40-AG40</f>
        <v>0</v>
      </c>
      <c r="AI40" s="96"/>
      <c r="AJ40" s="122" t="n">
        <f aca="false">AC40-AG40</f>
        <v>0</v>
      </c>
      <c r="AK40" s="122" t="n">
        <f aca="false">AB40-AF40</f>
        <v>0</v>
      </c>
      <c r="AL40" s="96"/>
      <c r="AM40" s="123" t="n">
        <v>0</v>
      </c>
      <c r="AN40" s="122" t="n">
        <f aca="false">AB40-AM40</f>
        <v>0</v>
      </c>
      <c r="AO40" s="96"/>
      <c r="AP40" s="123" t="n">
        <v>0</v>
      </c>
      <c r="AQ40" s="122" t="n">
        <f aca="false">AC40-AP40</f>
        <v>0</v>
      </c>
      <c r="AR40" s="96"/>
      <c r="AS40" s="96"/>
      <c r="AT40" s="96"/>
      <c r="AU40" s="96"/>
    </row>
    <row r="41" customFormat="false" ht="14.65" hidden="false" customHeight="false" outlineLevel="0" collapsed="false">
      <c r="A41" s="124" t="s">
        <v>468</v>
      </c>
      <c r="B41" s="96"/>
      <c r="C41" s="96"/>
      <c r="D41" s="137" t="n">
        <f aca="false">D277+D278</f>
        <v>-14</v>
      </c>
      <c r="E41" s="137" t="n">
        <f aca="false">E277+E278</f>
        <v>-19</v>
      </c>
      <c r="F41" s="136" t="n">
        <f aca="false">F277+F278-1</f>
        <v>76</v>
      </c>
      <c r="G41" s="136" t="n">
        <f aca="false">G277+G278+1</f>
        <v>57</v>
      </c>
      <c r="H41" s="136" t="n">
        <f aca="false">H277+H278-58</f>
        <v>-70</v>
      </c>
      <c r="I41" s="137" t="n">
        <f aca="false">I277+I278</f>
        <v>29</v>
      </c>
      <c r="J41" s="137" t="n">
        <f aca="false">J277+J278</f>
        <v>-45</v>
      </c>
      <c r="K41" s="137" t="n">
        <f aca="false">K277+K278</f>
        <v>0</v>
      </c>
      <c r="L41" s="137" t="n">
        <f aca="false">L277+L278</f>
        <v>0</v>
      </c>
      <c r="M41" s="137" t="n">
        <f aca="false">M277+M278</f>
        <v>0</v>
      </c>
      <c r="N41" s="137" t="n">
        <f aca="false">N277+N278</f>
        <v>0</v>
      </c>
      <c r="O41" s="137" t="n">
        <f aca="false">O277+O278</f>
        <v>0</v>
      </c>
      <c r="P41" s="135" t="n">
        <f aca="false">SUM(D41:O41)</f>
        <v>14</v>
      </c>
      <c r="Q41" s="136" t="n">
        <f aca="false">SUM(D41:J41)</f>
        <v>14</v>
      </c>
      <c r="R41" s="135" t="n">
        <f aca="false">P41-Q41</f>
        <v>0</v>
      </c>
      <c r="S41" s="96"/>
      <c r="T41" s="136" t="n">
        <v>0</v>
      </c>
      <c r="U41" s="136" t="n">
        <v>0</v>
      </c>
      <c r="V41" s="135" t="n">
        <f aca="false">T41-U41</f>
        <v>0</v>
      </c>
      <c r="W41" s="96"/>
      <c r="X41" s="96"/>
      <c r="Y41" s="96"/>
      <c r="Z41" s="96"/>
      <c r="AA41" s="96" t="str">
        <f aca="false">A41</f>
        <v>   Other (Net Salvage &amp; Removal)</v>
      </c>
      <c r="AB41" s="135" t="n">
        <f aca="false">P41</f>
        <v>14</v>
      </c>
      <c r="AC41" s="136" t="n">
        <f aca="false">SUM(D41:L41)</f>
        <v>14</v>
      </c>
      <c r="AD41" s="135" t="n">
        <f aca="false">AB41-AC41</f>
        <v>0</v>
      </c>
      <c r="AE41" s="96"/>
      <c r="AF41" s="135" t="n">
        <f aca="false">T41</f>
        <v>0</v>
      </c>
      <c r="AG41" s="135" t="n">
        <f aca="false">U41</f>
        <v>0</v>
      </c>
      <c r="AH41" s="135" t="n">
        <f aca="false">AF41-AG41</f>
        <v>0</v>
      </c>
      <c r="AI41" s="96"/>
      <c r="AJ41" s="135" t="n">
        <f aca="false">AC41-AG41</f>
        <v>14</v>
      </c>
      <c r="AK41" s="135" t="n">
        <f aca="false">AB41-AF41</f>
        <v>14</v>
      </c>
      <c r="AL41" s="96"/>
      <c r="AM41" s="136" t="n">
        <v>57</v>
      </c>
      <c r="AN41" s="135" t="n">
        <f aca="false">AB41-AM41</f>
        <v>-43</v>
      </c>
      <c r="AO41" s="96"/>
      <c r="AP41" s="136" t="n">
        <v>57</v>
      </c>
      <c r="AQ41" s="135" t="n">
        <f aca="false">AC41-AP41</f>
        <v>-43</v>
      </c>
      <c r="AR41" s="96"/>
      <c r="AS41" s="96"/>
      <c r="AT41" s="96"/>
      <c r="AU41" s="96"/>
    </row>
    <row r="42" customFormat="false" ht="3.95" hidden="false" customHeight="true" outlineLevel="0" collapsed="false">
      <c r="A42" s="108"/>
      <c r="B42" s="96"/>
      <c r="C42" s="9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96"/>
      <c r="T42" s="122"/>
      <c r="U42" s="122"/>
      <c r="V42" s="122"/>
      <c r="W42" s="96"/>
      <c r="X42" s="122"/>
      <c r="Y42" s="122"/>
      <c r="Z42" s="96"/>
      <c r="AA42" s="96"/>
      <c r="AB42" s="122"/>
      <c r="AC42" s="122"/>
      <c r="AD42" s="122"/>
      <c r="AE42" s="96"/>
      <c r="AF42" s="122"/>
      <c r="AG42" s="122"/>
      <c r="AH42" s="122"/>
      <c r="AI42" s="96"/>
      <c r="AJ42" s="122"/>
      <c r="AK42" s="122"/>
      <c r="AL42" s="96"/>
      <c r="AM42" s="122"/>
      <c r="AN42" s="122"/>
      <c r="AO42" s="96"/>
      <c r="AP42" s="122"/>
      <c r="AQ42" s="122"/>
      <c r="AR42" s="96"/>
      <c r="AS42" s="96"/>
      <c r="AT42" s="96"/>
      <c r="AU42" s="96"/>
    </row>
    <row r="43" customFormat="false" ht="14.65" hidden="false" customHeight="false" outlineLevel="0" collapsed="false">
      <c r="A43" s="121" t="s">
        <v>469</v>
      </c>
      <c r="B43" s="96"/>
      <c r="C43" s="96"/>
      <c r="D43" s="135" t="n">
        <f aca="false">SUM(D37:D42)</f>
        <v>-449</v>
      </c>
      <c r="E43" s="135" t="n">
        <f aca="false">SUM(E37:E42)</f>
        <v>601</v>
      </c>
      <c r="F43" s="135" t="n">
        <f aca="false">SUM(F37:F42)</f>
        <v>-813</v>
      </c>
      <c r="G43" s="135" t="n">
        <f aca="false">SUM(G37:G42)</f>
        <v>-2728</v>
      </c>
      <c r="H43" s="135" t="n">
        <f aca="false">SUM(H37:H42)</f>
        <v>-16021</v>
      </c>
      <c r="I43" s="135" t="n">
        <f aca="false">SUM(I37:I42)</f>
        <v>-3427</v>
      </c>
      <c r="J43" s="135" t="n">
        <f aca="false">SUM(J37:J42)</f>
        <v>-1108</v>
      </c>
      <c r="K43" s="135" t="n">
        <f aca="false">SUM(K37:K42)</f>
        <v>-1900</v>
      </c>
      <c r="L43" s="135" t="n">
        <f aca="false">SUM(L37:L42)</f>
        <v>-13043</v>
      </c>
      <c r="M43" s="135" t="n">
        <f aca="false">SUM(M37:M42)</f>
        <v>-5817</v>
      </c>
      <c r="N43" s="135" t="n">
        <f aca="false">SUM(N37:N42)</f>
        <v>-11852</v>
      </c>
      <c r="O43" s="135" t="n">
        <f aca="false">SUM(O37:O42)</f>
        <v>-11548</v>
      </c>
      <c r="P43" s="135" t="n">
        <f aca="false">SUM(P37:P42)</f>
        <v>-68105</v>
      </c>
      <c r="Q43" s="135" t="n">
        <f aca="false">SUM(Q37:Q42)</f>
        <v>-23945</v>
      </c>
      <c r="R43" s="135" t="n">
        <f aca="false">SUM(R37:R42)</f>
        <v>-44160</v>
      </c>
      <c r="S43" s="96"/>
      <c r="T43" s="135" t="n">
        <f aca="false">SUM(T37:T42)</f>
        <v>-47600</v>
      </c>
      <c r="U43" s="135" t="n">
        <f aca="false">SUM(U37:U42)</f>
        <v>-40100</v>
      </c>
      <c r="V43" s="135" t="n">
        <f aca="false">SUM(V37:V42)</f>
        <v>-7500</v>
      </c>
      <c r="W43" s="96"/>
      <c r="X43" s="122"/>
      <c r="Y43" s="122"/>
      <c r="Z43" s="96"/>
      <c r="AA43" s="93" t="str">
        <f aca="false">A43</f>
        <v>      Cash Provided by (Used in) Investing Activities</v>
      </c>
      <c r="AB43" s="135" t="n">
        <f aca="false">SUM(AB37:AB42)</f>
        <v>-68105</v>
      </c>
      <c r="AC43" s="135" t="n">
        <f aca="false">SUM(AC37:AC42)</f>
        <v>-38888</v>
      </c>
      <c r="AD43" s="135" t="n">
        <f aca="false">SUM(AD37:AD42)</f>
        <v>-29217</v>
      </c>
      <c r="AE43" s="96"/>
      <c r="AF43" s="135" t="n">
        <f aca="false">SUM(AF37:AF42)</f>
        <v>-47600</v>
      </c>
      <c r="AG43" s="135" t="n">
        <f aca="false">SUM(AG37:AG42)</f>
        <v>-40100</v>
      </c>
      <c r="AH43" s="135" t="n">
        <f aca="false">SUM(AH37:AH42)</f>
        <v>-7500</v>
      </c>
      <c r="AI43" s="96"/>
      <c r="AJ43" s="135" t="n">
        <f aca="false">SUM(AJ37:AJ42)</f>
        <v>1212</v>
      </c>
      <c r="AK43" s="135" t="n">
        <f aca="false">SUM(AK37:AK42)</f>
        <v>-20505</v>
      </c>
      <c r="AL43" s="96"/>
      <c r="AM43" s="135" t="n">
        <f aca="false">SUM(AM37:AM42)</f>
        <v>-88747</v>
      </c>
      <c r="AN43" s="135" t="n">
        <f aca="false">SUM(AN37:AN42)</f>
        <v>20642</v>
      </c>
      <c r="AO43" s="96"/>
      <c r="AP43" s="135" t="n">
        <f aca="false">SUM(AP37:AP42)</f>
        <v>-53022</v>
      </c>
      <c r="AQ43" s="135" t="n">
        <f aca="false">SUM(AQ37:AQ42)</f>
        <v>14134</v>
      </c>
      <c r="AR43" s="96"/>
      <c r="AS43" s="96"/>
      <c r="AT43" s="96"/>
      <c r="AU43" s="96"/>
    </row>
    <row r="44" customFormat="false" ht="6" hidden="false" customHeight="true" outlineLevel="0" collapsed="false">
      <c r="A44" s="108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123"/>
      <c r="AN44" s="123"/>
      <c r="AO44" s="96"/>
      <c r="AP44" s="123"/>
      <c r="AQ44" s="123"/>
      <c r="AR44" s="96"/>
      <c r="AS44" s="96"/>
      <c r="AT44" s="96"/>
      <c r="AU44" s="96"/>
    </row>
    <row r="45" customFormat="false" ht="14.65" hidden="false" customHeight="false" outlineLevel="0" collapsed="false">
      <c r="A45" s="121" t="s">
        <v>470</v>
      </c>
      <c r="B45" s="96"/>
      <c r="C45" s="96"/>
      <c r="D45" s="135" t="n">
        <f aca="false">D34+D43</f>
        <v>10623</v>
      </c>
      <c r="E45" s="135" t="n">
        <f aca="false">E34+E43</f>
        <v>10355</v>
      </c>
      <c r="F45" s="135" t="n">
        <f aca="false">F34+F43</f>
        <v>14674</v>
      </c>
      <c r="G45" s="135" t="n">
        <f aca="false">G34+G43</f>
        <v>-5986</v>
      </c>
      <c r="H45" s="135" t="n">
        <f aca="false">H34+H43</f>
        <v>-9459</v>
      </c>
      <c r="I45" s="135" t="n">
        <f aca="false">I34+I43</f>
        <v>18473</v>
      </c>
      <c r="J45" s="135" t="n">
        <f aca="false">J34+J43</f>
        <v>-4057</v>
      </c>
      <c r="K45" s="135" t="n">
        <f aca="false">K34+K43</f>
        <v>6930</v>
      </c>
      <c r="L45" s="135" t="n">
        <f aca="false">L34+L43</f>
        <v>-1412</v>
      </c>
      <c r="M45" s="135" t="n">
        <f aca="false">M34+M43</f>
        <v>3122</v>
      </c>
      <c r="N45" s="135" t="n">
        <f aca="false">N34+N43</f>
        <v>-1837</v>
      </c>
      <c r="O45" s="135" t="n">
        <f aca="false">O34+O43</f>
        <v>-5148</v>
      </c>
      <c r="P45" s="135" t="n">
        <f aca="false">P34+P43</f>
        <v>36278</v>
      </c>
      <c r="Q45" s="135" t="n">
        <f aca="false">Q34+Q43</f>
        <v>34623</v>
      </c>
      <c r="R45" s="135" t="n">
        <f aca="false">R34+R43</f>
        <v>1655</v>
      </c>
      <c r="S45" s="96"/>
      <c r="T45" s="135" t="n">
        <f aca="false">T34+T43</f>
        <v>34340</v>
      </c>
      <c r="U45" s="135" t="n">
        <f aca="false">U34+U43</f>
        <v>23600</v>
      </c>
      <c r="V45" s="135" t="n">
        <f aca="false">V34+V43</f>
        <v>10740</v>
      </c>
      <c r="W45" s="96"/>
      <c r="X45" s="122"/>
      <c r="Y45" s="122"/>
      <c r="Z45" s="96"/>
      <c r="AA45" s="93" t="str">
        <f aca="false">A45</f>
        <v>            Net Cash Flow Before Corporate Adjustments</v>
      </c>
      <c r="AB45" s="135" t="n">
        <f aca="false">AB34+AB43</f>
        <v>36278</v>
      </c>
      <c r="AC45" s="135" t="n">
        <f aca="false">AC34+AC43</f>
        <v>40141</v>
      </c>
      <c r="AD45" s="135" t="n">
        <f aca="false">AD34+AD43</f>
        <v>-3863</v>
      </c>
      <c r="AE45" s="96"/>
      <c r="AF45" s="135" t="n">
        <f aca="false">AF34+AF43</f>
        <v>34340</v>
      </c>
      <c r="AG45" s="135" t="n">
        <f aca="false">AG34+AG43</f>
        <v>23600</v>
      </c>
      <c r="AH45" s="135" t="n">
        <f aca="false">AH34+AH43</f>
        <v>10740</v>
      </c>
      <c r="AI45" s="96"/>
      <c r="AJ45" s="135" t="n">
        <f aca="false">AJ34+AJ43</f>
        <v>16541</v>
      </c>
      <c r="AK45" s="135" t="n">
        <f aca="false">AK34+AK43</f>
        <v>1938</v>
      </c>
      <c r="AL45" s="96"/>
      <c r="AM45" s="135" t="n">
        <f aca="false">AM34+AM43</f>
        <v>12032</v>
      </c>
      <c r="AN45" s="135" t="n">
        <f aca="false">AN34+AN43</f>
        <v>24246</v>
      </c>
      <c r="AO45" s="96"/>
      <c r="AP45" s="135" t="n">
        <f aca="false">AP34+AP43</f>
        <v>24882</v>
      </c>
      <c r="AQ45" s="135" t="n">
        <f aca="false">AQ34+AQ43</f>
        <v>15259</v>
      </c>
      <c r="AR45" s="96"/>
      <c r="AS45" s="96"/>
      <c r="AT45" s="96"/>
      <c r="AU45" s="96"/>
    </row>
    <row r="46" customFormat="false" ht="6" hidden="false" customHeight="true" outlineLevel="0" collapsed="false">
      <c r="A46" s="108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</row>
    <row r="47" customFormat="false" ht="14.65" hidden="false" customHeight="false" outlineLevel="0" collapsed="false">
      <c r="A47" s="121" t="s">
        <v>471</v>
      </c>
      <c r="B47" s="96"/>
      <c r="C47" s="96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96"/>
      <c r="Q47" s="96"/>
      <c r="R47" s="96"/>
      <c r="S47" s="96"/>
      <c r="T47" s="122"/>
      <c r="U47" s="96"/>
      <c r="V47" s="96"/>
      <c r="W47" s="96"/>
      <c r="X47" s="96"/>
      <c r="Y47" s="96"/>
      <c r="Z47" s="96"/>
      <c r="AA47" s="93" t="str">
        <f aca="false">A47</f>
        <v>OTHER ITEMS AFFECTING INTERCO. (CORP.) BALANCE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123"/>
      <c r="AN47" s="96"/>
      <c r="AO47" s="96"/>
      <c r="AP47" s="123"/>
      <c r="AQ47" s="96"/>
      <c r="AR47" s="96"/>
      <c r="AS47" s="96"/>
      <c r="AT47" s="96"/>
      <c r="AU47" s="96"/>
    </row>
    <row r="48" customFormat="false" ht="14.65" hidden="false" customHeight="false" outlineLevel="0" collapsed="false">
      <c r="A48" s="124" t="s">
        <v>472</v>
      </c>
      <c r="B48" s="96"/>
      <c r="C48" s="96"/>
      <c r="D48" s="122" t="n">
        <f aca="false">BACKUP!D471</f>
        <v>0</v>
      </c>
      <c r="E48" s="122" t="n">
        <f aca="false">BACKUP!E471</f>
        <v>0</v>
      </c>
      <c r="F48" s="122" t="n">
        <f aca="false">BACKUP!F471</f>
        <v>0</v>
      </c>
      <c r="G48" s="122" t="n">
        <f aca="false">BACKUP!G471</f>
        <v>0</v>
      </c>
      <c r="H48" s="122" t="n">
        <f aca="false">BACKUP!H471</f>
        <v>0</v>
      </c>
      <c r="I48" s="122" t="n">
        <f aca="false">BACKUP!I471</f>
        <v>0</v>
      </c>
      <c r="J48" s="122" t="n">
        <f aca="false">BACKUP!J471</f>
        <v>0</v>
      </c>
      <c r="K48" s="122" t="n">
        <f aca="false">BACKUP!K471</f>
        <v>0</v>
      </c>
      <c r="L48" s="122" t="n">
        <f aca="false">BACKUP!L471</f>
        <v>0</v>
      </c>
      <c r="M48" s="122" t="n">
        <f aca="false">BACKUP!M471</f>
        <v>0</v>
      </c>
      <c r="N48" s="122" t="n">
        <f aca="false">BACKUP!N471</f>
        <v>0</v>
      </c>
      <c r="O48" s="122" t="n">
        <f aca="false">BACKUP!O471</f>
        <v>0</v>
      </c>
      <c r="P48" s="122" t="n">
        <f aca="false">SUM(D48:O48)</f>
        <v>0</v>
      </c>
      <c r="Q48" s="123" t="n">
        <f aca="false">SUM(D48:J48)</f>
        <v>0</v>
      </c>
      <c r="R48" s="122" t="n">
        <f aca="false">P48-Q48</f>
        <v>0</v>
      </c>
      <c r="S48" s="96"/>
      <c r="T48" s="123" t="n">
        <v>0</v>
      </c>
      <c r="U48" s="123" t="n">
        <v>0</v>
      </c>
      <c r="V48" s="122" t="n">
        <f aca="false">T48-U48</f>
        <v>0</v>
      </c>
      <c r="W48" s="96"/>
      <c r="X48" s="122"/>
      <c r="Y48" s="122"/>
      <c r="Z48" s="96"/>
      <c r="AA48" s="96" t="str">
        <f aca="false">A48</f>
        <v>   Dividends Transferred to Corporate</v>
      </c>
      <c r="AB48" s="122" t="n">
        <f aca="false">P48</f>
        <v>0</v>
      </c>
      <c r="AC48" s="123" t="n">
        <f aca="false">SUM(D48:L48)</f>
        <v>0</v>
      </c>
      <c r="AD48" s="122" t="n">
        <f aca="false">AB48-AC48</f>
        <v>0</v>
      </c>
      <c r="AE48" s="96"/>
      <c r="AF48" s="122" t="n">
        <f aca="false">T48</f>
        <v>0</v>
      </c>
      <c r="AG48" s="122" t="n">
        <f aca="false">U48</f>
        <v>0</v>
      </c>
      <c r="AH48" s="122" t="n">
        <f aca="false">AF48-AG48</f>
        <v>0</v>
      </c>
      <c r="AI48" s="96"/>
      <c r="AJ48" s="122" t="n">
        <f aca="false">AC48-AG48</f>
        <v>0</v>
      </c>
      <c r="AK48" s="122" t="n">
        <f aca="false">AB48-AF48</f>
        <v>0</v>
      </c>
      <c r="AL48" s="96"/>
      <c r="AM48" s="123" t="n">
        <v>0</v>
      </c>
      <c r="AN48" s="122" t="n">
        <f aca="false">AB48-AM48</f>
        <v>0</v>
      </c>
      <c r="AO48" s="96"/>
      <c r="AP48" s="123" t="n">
        <v>0</v>
      </c>
      <c r="AQ48" s="122" t="n">
        <f aca="false">AC48-AP48</f>
        <v>0</v>
      </c>
      <c r="AR48" s="96"/>
      <c r="AS48" s="96"/>
      <c r="AT48" s="96"/>
      <c r="AU48" s="96"/>
    </row>
    <row r="49" customFormat="false" ht="14.65" hidden="false" customHeight="false" outlineLevel="0" collapsed="false">
      <c r="A49" s="124" t="s">
        <v>40</v>
      </c>
      <c r="B49" s="96"/>
      <c r="C49" s="96"/>
      <c r="D49" s="127" t="n">
        <v>0</v>
      </c>
      <c r="E49" s="127" t="n">
        <v>0</v>
      </c>
      <c r="F49" s="127" t="n">
        <v>0</v>
      </c>
      <c r="G49" s="127" t="n">
        <v>0</v>
      </c>
      <c r="H49" s="127" t="n">
        <v>0</v>
      </c>
      <c r="I49" s="127" t="n">
        <v>0</v>
      </c>
      <c r="J49" s="127" t="n">
        <v>0</v>
      </c>
      <c r="K49" s="127" t="n">
        <v>0</v>
      </c>
      <c r="L49" s="127" t="n">
        <v>0</v>
      </c>
      <c r="M49" s="127" t="n">
        <v>0</v>
      </c>
      <c r="N49" s="127" t="n">
        <v>0</v>
      </c>
      <c r="O49" s="127" t="n">
        <v>0</v>
      </c>
      <c r="P49" s="122" t="n">
        <f aca="false">SUM(D49:O49)</f>
        <v>0</v>
      </c>
      <c r="Q49" s="123" t="n">
        <f aca="false">SUM(D49:J49)</f>
        <v>0</v>
      </c>
      <c r="R49" s="122" t="n">
        <f aca="false">P49-Q49</f>
        <v>0</v>
      </c>
      <c r="S49" s="96"/>
      <c r="T49" s="123" t="n">
        <v>0</v>
      </c>
      <c r="U49" s="123" t="n">
        <v>0</v>
      </c>
      <c r="V49" s="122" t="n">
        <f aca="false">T49-U49</f>
        <v>0</v>
      </c>
      <c r="W49" s="96"/>
      <c r="X49" s="122"/>
      <c r="Y49" s="122"/>
      <c r="Z49" s="96"/>
      <c r="AA49" s="96" t="str">
        <f aca="false">A49</f>
        <v>   Other</v>
      </c>
      <c r="AB49" s="122" t="n">
        <f aca="false">P49</f>
        <v>0</v>
      </c>
      <c r="AC49" s="123" t="n">
        <f aca="false">SUM(D49:L49)</f>
        <v>0</v>
      </c>
      <c r="AD49" s="122" t="n">
        <f aca="false">AB49-AC49</f>
        <v>0</v>
      </c>
      <c r="AE49" s="96"/>
      <c r="AF49" s="122" t="n">
        <f aca="false">T49</f>
        <v>0</v>
      </c>
      <c r="AG49" s="122" t="n">
        <f aca="false">U49</f>
        <v>0</v>
      </c>
      <c r="AH49" s="122" t="n">
        <f aca="false">AF49-AG49</f>
        <v>0</v>
      </c>
      <c r="AI49" s="96"/>
      <c r="AJ49" s="122" t="n">
        <f aca="false">AC49-AG49</f>
        <v>0</v>
      </c>
      <c r="AK49" s="122" t="n">
        <f aca="false">AB49-AF49</f>
        <v>0</v>
      </c>
      <c r="AL49" s="96"/>
      <c r="AM49" s="123" t="n">
        <v>0</v>
      </c>
      <c r="AN49" s="122" t="n">
        <f aca="false">AB49-AM49</f>
        <v>0</v>
      </c>
      <c r="AO49" s="96"/>
      <c r="AP49" s="123" t="n">
        <v>0</v>
      </c>
      <c r="AQ49" s="122" t="n">
        <f aca="false">AC49-AP49</f>
        <v>0</v>
      </c>
      <c r="AR49" s="96"/>
      <c r="AS49" s="96"/>
      <c r="AT49" s="96"/>
      <c r="AU49" s="96"/>
    </row>
    <row r="50" customFormat="false" ht="14.65" hidden="false" customHeight="false" outlineLevel="0" collapsed="false">
      <c r="A50" s="124" t="s">
        <v>473</v>
      </c>
      <c r="B50" s="96"/>
      <c r="C50" s="96"/>
      <c r="D50" s="122" t="n">
        <f aca="false">SUM(BACKUP!D456:BACKUP!D459,0)</f>
        <v>0</v>
      </c>
      <c r="E50" s="122" t="n">
        <f aca="false">SUM(BACKUP!E456:BACKUP!E459,0)</f>
        <v>0</v>
      </c>
      <c r="F50" s="122" t="n">
        <f aca="false">SUM(BACKUP!F456:BACKUP!F459,0)</f>
        <v>0</v>
      </c>
      <c r="G50" s="122" t="n">
        <f aca="false">SUM(BACKUP!G456:BACKUP!G459,0)</f>
        <v>0</v>
      </c>
      <c r="H50" s="122" t="n">
        <f aca="false">SUM(BACKUP!H456:BACKUP!H459,0)</f>
        <v>0</v>
      </c>
      <c r="I50" s="122" t="n">
        <f aca="false">SUM(BACKUP!I456:BACKUP!I459,0)</f>
        <v>-150000</v>
      </c>
      <c r="J50" s="122" t="n">
        <f aca="false">SUM(BACKUP!J456:BACKUP!J459,0)</f>
        <v>0</v>
      </c>
      <c r="K50" s="122" t="n">
        <f aca="false">SUM(BACKUP!K456:BACKUP!K459,0)</f>
        <v>0</v>
      </c>
      <c r="L50" s="122" t="n">
        <f aca="false">SUM(BACKUP!L456:BACKUP!L459,0)</f>
        <v>0</v>
      </c>
      <c r="M50" s="122" t="n">
        <f aca="false">SUM(BACKUP!M456:BACKUP!M459,0)</f>
        <v>0</v>
      </c>
      <c r="N50" s="122" t="n">
        <f aca="false">SUM(BACKUP!N456:BACKUP!N459,0)</f>
        <v>-3850</v>
      </c>
      <c r="O50" s="122" t="n">
        <f aca="false">SUM(BACKUP!O456:BACKUP!O459,0)</f>
        <v>0</v>
      </c>
      <c r="P50" s="122" t="n">
        <f aca="false">SUM(D50:O50)</f>
        <v>-153850</v>
      </c>
      <c r="Q50" s="123" t="n">
        <f aca="false">SUM(D50:J50)</f>
        <v>-150000</v>
      </c>
      <c r="R50" s="122" t="n">
        <f aca="false">P50-Q50</f>
        <v>-3850</v>
      </c>
      <c r="S50" s="96"/>
      <c r="T50" s="123" t="n">
        <v>-3850</v>
      </c>
      <c r="U50" s="123" t="n">
        <v>0</v>
      </c>
      <c r="V50" s="122" t="n">
        <f aca="false">T50-U50</f>
        <v>-3850</v>
      </c>
      <c r="W50" s="96"/>
      <c r="X50" s="96"/>
      <c r="Y50" s="96"/>
      <c r="Z50" s="96"/>
      <c r="AA50" s="96" t="str">
        <f aca="false">A50</f>
        <v>   Inc. / (Dec.) in Long-Term Debt  (External)</v>
      </c>
      <c r="AB50" s="122" t="n">
        <f aca="false">P50</f>
        <v>-153850</v>
      </c>
      <c r="AC50" s="123" t="n">
        <f aca="false">SUM(D50:L50)</f>
        <v>-150000</v>
      </c>
      <c r="AD50" s="122" t="n">
        <f aca="false">AB50-AC50</f>
        <v>-3850</v>
      </c>
      <c r="AE50" s="96"/>
      <c r="AF50" s="122" t="n">
        <f aca="false">T50</f>
        <v>-3850</v>
      </c>
      <c r="AG50" s="122" t="n">
        <f aca="false">U50</f>
        <v>0</v>
      </c>
      <c r="AH50" s="122" t="n">
        <f aca="false">AF50-AG50</f>
        <v>-3850</v>
      </c>
      <c r="AI50" s="96"/>
      <c r="AJ50" s="122" t="n">
        <f aca="false">AC50-AG50</f>
        <v>-150000</v>
      </c>
      <c r="AK50" s="122" t="n">
        <f aca="false">AB50-AF50</f>
        <v>-150000</v>
      </c>
      <c r="AL50" s="96"/>
      <c r="AM50" s="123" t="n">
        <v>-153850</v>
      </c>
      <c r="AN50" s="122" t="n">
        <f aca="false">AB50-AM50</f>
        <v>0</v>
      </c>
      <c r="AO50" s="96"/>
      <c r="AP50" s="123" t="n">
        <v>-150000</v>
      </c>
      <c r="AQ50" s="122" t="n">
        <f aca="false">AC50-AP50</f>
        <v>0</v>
      </c>
      <c r="AR50" s="96"/>
      <c r="AS50" s="96"/>
      <c r="AT50" s="96"/>
      <c r="AU50" s="96"/>
    </row>
    <row r="51" customFormat="false" ht="14.65" hidden="false" customHeight="false" outlineLevel="0" collapsed="false">
      <c r="A51" s="124" t="s">
        <v>474</v>
      </c>
      <c r="B51" s="96"/>
      <c r="C51" s="96"/>
      <c r="D51" s="136" t="n">
        <v>0</v>
      </c>
      <c r="E51" s="136" t="n">
        <v>0</v>
      </c>
      <c r="F51" s="136" t="n">
        <v>0</v>
      </c>
      <c r="G51" s="136" t="n">
        <v>0</v>
      </c>
      <c r="H51" s="136" t="n">
        <v>0</v>
      </c>
      <c r="I51" s="136" t="n">
        <v>0</v>
      </c>
      <c r="J51" s="136" t="n">
        <v>0</v>
      </c>
      <c r="K51" s="136" t="n">
        <v>0</v>
      </c>
      <c r="L51" s="136" t="n">
        <v>0</v>
      </c>
      <c r="M51" s="136" t="n">
        <v>0</v>
      </c>
      <c r="N51" s="136" t="n">
        <v>0</v>
      </c>
      <c r="O51" s="136" t="n">
        <v>0</v>
      </c>
      <c r="P51" s="135" t="n">
        <f aca="false">SUM(D51:O51)</f>
        <v>0</v>
      </c>
      <c r="Q51" s="136" t="n">
        <f aca="false">SUM(D51:J51)</f>
        <v>0</v>
      </c>
      <c r="R51" s="135" t="n">
        <f aca="false">P51-Q51</f>
        <v>0</v>
      </c>
      <c r="S51" s="96"/>
      <c r="T51" s="136" t="n">
        <v>0</v>
      </c>
      <c r="U51" s="136" t="n">
        <v>0</v>
      </c>
      <c r="V51" s="135" t="n">
        <f aca="false">T51-U51</f>
        <v>0</v>
      </c>
      <c r="W51" s="96"/>
      <c r="X51" s="96"/>
      <c r="Y51" s="96"/>
      <c r="Z51" s="96"/>
      <c r="AA51" s="96" t="str">
        <f aca="false">A51</f>
        <v>   Inc. / (Dec.) in Sale of Receivables</v>
      </c>
      <c r="AB51" s="135" t="n">
        <f aca="false">P51</f>
        <v>0</v>
      </c>
      <c r="AC51" s="136" t="n">
        <f aca="false">SUM(D51:L51)</f>
        <v>0</v>
      </c>
      <c r="AD51" s="135" t="n">
        <f aca="false">AB51-AC51</f>
        <v>0</v>
      </c>
      <c r="AE51" s="96"/>
      <c r="AF51" s="135" t="n">
        <f aca="false">T51</f>
        <v>0</v>
      </c>
      <c r="AG51" s="135" t="n">
        <f aca="false">U51</f>
        <v>0</v>
      </c>
      <c r="AH51" s="135" t="n">
        <f aca="false">AF51-AG51</f>
        <v>0</v>
      </c>
      <c r="AI51" s="96"/>
      <c r="AJ51" s="135" t="n">
        <f aca="false">AC51-AG51</f>
        <v>0</v>
      </c>
      <c r="AK51" s="135" t="n">
        <f aca="false">AB51-AF51</f>
        <v>0</v>
      </c>
      <c r="AL51" s="96"/>
      <c r="AM51" s="136" t="n">
        <v>0</v>
      </c>
      <c r="AN51" s="135" t="n">
        <f aca="false">AB51-AM51</f>
        <v>0</v>
      </c>
      <c r="AO51" s="96"/>
      <c r="AP51" s="136" t="n">
        <v>0</v>
      </c>
      <c r="AQ51" s="135" t="n">
        <f aca="false">AC51-AP51</f>
        <v>0</v>
      </c>
      <c r="AR51" s="96"/>
      <c r="AS51" s="96"/>
      <c r="AT51" s="96"/>
      <c r="AU51" s="96"/>
    </row>
    <row r="52" customFormat="false" ht="3.95" hidden="false" customHeight="true" outlineLevel="0" collapsed="false">
      <c r="A52" s="108"/>
      <c r="B52" s="96"/>
      <c r="C52" s="96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96"/>
      <c r="T52" s="122"/>
      <c r="U52" s="122"/>
      <c r="V52" s="122"/>
      <c r="W52" s="96"/>
      <c r="X52" s="122"/>
      <c r="Y52" s="122"/>
      <c r="Z52" s="96"/>
      <c r="AA52" s="96"/>
      <c r="AB52" s="122"/>
      <c r="AC52" s="122"/>
      <c r="AD52" s="122"/>
      <c r="AE52" s="96"/>
      <c r="AF52" s="122"/>
      <c r="AG52" s="122"/>
      <c r="AH52" s="122"/>
      <c r="AI52" s="96"/>
      <c r="AJ52" s="122"/>
      <c r="AK52" s="122"/>
      <c r="AL52" s="96"/>
      <c r="AM52" s="122"/>
      <c r="AN52" s="122"/>
      <c r="AO52" s="96"/>
      <c r="AP52" s="122"/>
      <c r="AQ52" s="122"/>
      <c r="AR52" s="96"/>
      <c r="AS52" s="96"/>
      <c r="AT52" s="96"/>
      <c r="AU52" s="96"/>
    </row>
    <row r="53" customFormat="false" ht="14.65" hidden="false" customHeight="false" outlineLevel="0" collapsed="false">
      <c r="A53" s="121" t="s">
        <v>475</v>
      </c>
      <c r="B53" s="96"/>
      <c r="C53" s="96"/>
      <c r="D53" s="135" t="n">
        <f aca="false">SUM(D48:D52)</f>
        <v>0</v>
      </c>
      <c r="E53" s="135" t="n">
        <f aca="false">SUM(E48:E52)</f>
        <v>0</v>
      </c>
      <c r="F53" s="135" t="n">
        <f aca="false">SUM(F48:F52)</f>
        <v>0</v>
      </c>
      <c r="G53" s="135" t="n">
        <f aca="false">SUM(G48:G52)</f>
        <v>0</v>
      </c>
      <c r="H53" s="135" t="n">
        <f aca="false">SUM(H48:H52)</f>
        <v>0</v>
      </c>
      <c r="I53" s="135" t="n">
        <f aca="false">SUM(I48:I52)</f>
        <v>-150000</v>
      </c>
      <c r="J53" s="135" t="n">
        <f aca="false">SUM(J48:J52)</f>
        <v>0</v>
      </c>
      <c r="K53" s="135" t="n">
        <f aca="false">SUM(K48:K52)</f>
        <v>0</v>
      </c>
      <c r="L53" s="135" t="n">
        <f aca="false">SUM(L48:L52)</f>
        <v>0</v>
      </c>
      <c r="M53" s="135" t="n">
        <f aca="false">SUM(M48:M52)</f>
        <v>0</v>
      </c>
      <c r="N53" s="135" t="n">
        <f aca="false">SUM(N48:N52)</f>
        <v>-3850</v>
      </c>
      <c r="O53" s="135" t="n">
        <f aca="false">SUM(O48:O52)</f>
        <v>0</v>
      </c>
      <c r="P53" s="135" t="n">
        <f aca="false">SUM(P48:P52)</f>
        <v>-153850</v>
      </c>
      <c r="Q53" s="135" t="n">
        <f aca="false">SUM(Q48:Q52)</f>
        <v>-150000</v>
      </c>
      <c r="R53" s="135" t="n">
        <f aca="false">SUM(R48:R52)</f>
        <v>-3850</v>
      </c>
      <c r="S53" s="96"/>
      <c r="T53" s="135" t="n">
        <f aca="false">SUM(T48:T52)</f>
        <v>-3850</v>
      </c>
      <c r="U53" s="135" t="n">
        <f aca="false">SUM(U48:U52)</f>
        <v>0</v>
      </c>
      <c r="V53" s="135" t="n">
        <f aca="false">SUM(V48:V52)</f>
        <v>-3850</v>
      </c>
      <c r="W53" s="96"/>
      <c r="X53" s="122"/>
      <c r="Y53" s="122"/>
      <c r="Z53" s="96"/>
      <c r="AA53" s="93" t="str">
        <f aca="false">A53</f>
        <v>      Total Items Affecting Intercompany (Corp.) Balance</v>
      </c>
      <c r="AB53" s="135" t="n">
        <f aca="false">SUM(AB48:AB52)</f>
        <v>-153850</v>
      </c>
      <c r="AC53" s="135" t="n">
        <f aca="false">SUM(AC48:AC52)</f>
        <v>-150000</v>
      </c>
      <c r="AD53" s="135" t="n">
        <f aca="false">SUM(AD48:AD52)</f>
        <v>-3850</v>
      </c>
      <c r="AE53" s="96"/>
      <c r="AF53" s="135" t="n">
        <f aca="false">SUM(AF48:AF52)</f>
        <v>-3850</v>
      </c>
      <c r="AG53" s="135" t="n">
        <f aca="false">SUM(AG48:AG52)</f>
        <v>0</v>
      </c>
      <c r="AH53" s="135" t="n">
        <f aca="false">SUM(AH48:AH52)</f>
        <v>-3850</v>
      </c>
      <c r="AI53" s="96"/>
      <c r="AJ53" s="135" t="n">
        <f aca="false">SUM(AJ48:AJ52)</f>
        <v>-150000</v>
      </c>
      <c r="AK53" s="135" t="n">
        <f aca="false">SUM(AK48:AK52)</f>
        <v>-150000</v>
      </c>
      <c r="AL53" s="96"/>
      <c r="AM53" s="135" t="n">
        <f aca="false">SUM(AM48:AM52)</f>
        <v>-153850</v>
      </c>
      <c r="AN53" s="135" t="n">
        <f aca="false">SUM(AN48:AN52)</f>
        <v>0</v>
      </c>
      <c r="AO53" s="96"/>
      <c r="AP53" s="135" t="n">
        <f aca="false">SUM(AP48:AP52)</f>
        <v>-150000</v>
      </c>
      <c r="AQ53" s="135" t="n">
        <f aca="false">SUM(AQ48:AQ52)</f>
        <v>0</v>
      </c>
      <c r="AR53" s="96"/>
      <c r="AS53" s="96"/>
      <c r="AT53" s="96"/>
      <c r="AU53" s="96"/>
    </row>
    <row r="54" customFormat="false" ht="6" hidden="false" customHeight="true" outlineLevel="0" collapsed="false">
      <c r="A54" s="108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123"/>
      <c r="AN54" s="96"/>
      <c r="AO54" s="96"/>
      <c r="AP54" s="123"/>
      <c r="AQ54" s="96"/>
      <c r="AR54" s="96"/>
      <c r="AS54" s="96"/>
      <c r="AT54" s="96"/>
      <c r="AU54" s="96"/>
    </row>
    <row r="55" customFormat="false" ht="14.65" hidden="false" customHeight="false" outlineLevel="0" collapsed="false">
      <c r="A55" s="121" t="s">
        <v>476</v>
      </c>
      <c r="B55" s="96"/>
      <c r="C55" s="96"/>
      <c r="D55" s="122" t="n">
        <f aca="false">D45+D53</f>
        <v>10623</v>
      </c>
      <c r="E55" s="122" t="n">
        <f aca="false">E45+E53</f>
        <v>10355</v>
      </c>
      <c r="F55" s="122" t="n">
        <f aca="false">F45+F53</f>
        <v>14674</v>
      </c>
      <c r="G55" s="122" t="n">
        <f aca="false">G45+G53</f>
        <v>-5986</v>
      </c>
      <c r="H55" s="122" t="n">
        <f aca="false">H45+H53</f>
        <v>-9459</v>
      </c>
      <c r="I55" s="122" t="n">
        <f aca="false">I45+I53</f>
        <v>-131527</v>
      </c>
      <c r="J55" s="122" t="n">
        <f aca="false">J45+J53</f>
        <v>-4057</v>
      </c>
      <c r="K55" s="122" t="n">
        <f aca="false">K45+K53</f>
        <v>6930</v>
      </c>
      <c r="L55" s="122" t="n">
        <f aca="false">L45+L53</f>
        <v>-1412</v>
      </c>
      <c r="M55" s="122" t="n">
        <f aca="false">M45+M53</f>
        <v>3122</v>
      </c>
      <c r="N55" s="122" t="n">
        <f aca="false">N45+N53</f>
        <v>-5687</v>
      </c>
      <c r="O55" s="122" t="n">
        <f aca="false">O45+O53</f>
        <v>-5148</v>
      </c>
      <c r="P55" s="122" t="n">
        <f aca="false">P45+P53</f>
        <v>-117572</v>
      </c>
      <c r="Q55" s="122" t="n">
        <f aca="false">Q45+Q53</f>
        <v>-115377</v>
      </c>
      <c r="R55" s="122" t="n">
        <f aca="false">R45+R53</f>
        <v>-2195</v>
      </c>
      <c r="S55" s="96"/>
      <c r="T55" s="122" t="n">
        <f aca="false">T45+T53</f>
        <v>30490</v>
      </c>
      <c r="U55" s="122" t="n">
        <f aca="false">U45+U53</f>
        <v>23600</v>
      </c>
      <c r="V55" s="122" t="n">
        <f aca="false">V45+V53</f>
        <v>6890</v>
      </c>
      <c r="W55" s="96"/>
      <c r="X55" s="96"/>
      <c r="Y55" s="96"/>
      <c r="Z55" s="96"/>
      <c r="AA55" s="93" t="str">
        <f aca="false">A55</f>
        <v>INCREASE / (DECREASE) IN INTERCOMPANY CASH</v>
      </c>
      <c r="AB55" s="122" t="n">
        <f aca="false">AB45+AB53</f>
        <v>-117572</v>
      </c>
      <c r="AC55" s="122" t="n">
        <f aca="false">AC45+AC53</f>
        <v>-109859</v>
      </c>
      <c r="AD55" s="122" t="n">
        <f aca="false">AD45+AD53</f>
        <v>-7713</v>
      </c>
      <c r="AE55" s="96"/>
      <c r="AF55" s="122" t="n">
        <f aca="false">AF45+AF53</f>
        <v>30490</v>
      </c>
      <c r="AG55" s="122" t="n">
        <f aca="false">AG45+AG53</f>
        <v>23600</v>
      </c>
      <c r="AH55" s="122" t="n">
        <f aca="false">AH45+AH53</f>
        <v>6890</v>
      </c>
      <c r="AI55" s="96"/>
      <c r="AJ55" s="122" t="n">
        <f aca="false">AJ45+AJ53</f>
        <v>-133459</v>
      </c>
      <c r="AK55" s="122" t="n">
        <f aca="false">AK45+AK53</f>
        <v>-148062</v>
      </c>
      <c r="AL55" s="96"/>
      <c r="AM55" s="122" t="n">
        <f aca="false">AM45+AM53</f>
        <v>-141818</v>
      </c>
      <c r="AN55" s="122" t="n">
        <f aca="false">AN45+AN53</f>
        <v>24246</v>
      </c>
      <c r="AO55" s="96"/>
      <c r="AP55" s="122" t="n">
        <f aca="false">AP45+AP53</f>
        <v>-125118</v>
      </c>
      <c r="AQ55" s="122" t="n">
        <f aca="false">AQ45+AQ53</f>
        <v>15259</v>
      </c>
      <c r="AR55" s="96"/>
      <c r="AS55" s="96"/>
      <c r="AT55" s="96"/>
      <c r="AU55" s="96"/>
    </row>
    <row r="56" customFormat="false" ht="6" hidden="false" customHeight="true" outlineLevel="0" collapsed="false">
      <c r="A56" s="108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</row>
    <row r="57" customFormat="false" ht="14.65" hidden="false" customHeight="false" outlineLevel="0" collapsed="false">
      <c r="A57" s="121" t="s">
        <v>477</v>
      </c>
      <c r="B57" s="96"/>
      <c r="C57" s="96"/>
      <c r="D57" s="138" t="n">
        <f aca="false">-BACKUP!D464</f>
        <v>-0</v>
      </c>
      <c r="E57" s="138" t="n">
        <f aca="false">-BACKUP!E464</f>
        <v>-0</v>
      </c>
      <c r="F57" s="138" t="n">
        <f aca="false">-BACKUP!F464</f>
        <v>-0</v>
      </c>
      <c r="G57" s="138" t="n">
        <f aca="false">-BACKUP!G464</f>
        <v>-0</v>
      </c>
      <c r="H57" s="138" t="n">
        <f aca="false">-BACKUP!H464</f>
        <v>-0</v>
      </c>
      <c r="I57" s="138" t="n">
        <f aca="false">-BACKUP!I464</f>
        <v>150000</v>
      </c>
      <c r="J57" s="138" t="n">
        <f aca="false">-BACKUP!J464</f>
        <v>-0</v>
      </c>
      <c r="K57" s="138" t="n">
        <f aca="false">-BACKUP!K464</f>
        <v>-0</v>
      </c>
      <c r="L57" s="138" t="n">
        <f aca="false">-BACKUP!L464</f>
        <v>-0</v>
      </c>
      <c r="M57" s="138" t="n">
        <f aca="false">-BACKUP!M464</f>
        <v>-0</v>
      </c>
      <c r="N57" s="138" t="n">
        <f aca="false">-BACKUP!N464</f>
        <v>3850</v>
      </c>
      <c r="O57" s="138" t="n">
        <f aca="false">-BACKUP!O464</f>
        <v>-0</v>
      </c>
      <c r="P57" s="135" t="n">
        <f aca="false">SUM(D57:O57)</f>
        <v>153850</v>
      </c>
      <c r="Q57" s="136" t="n">
        <f aca="false">SUM(D57:J57)</f>
        <v>150000</v>
      </c>
      <c r="R57" s="135" t="n">
        <f aca="false">P57-Q57</f>
        <v>3850</v>
      </c>
      <c r="S57" s="96"/>
      <c r="T57" s="136" t="n">
        <v>3850</v>
      </c>
      <c r="U57" s="136" t="n">
        <v>0</v>
      </c>
      <c r="V57" s="135" t="n">
        <f aca="false">T57-U57</f>
        <v>3850</v>
      </c>
      <c r="W57" s="96"/>
      <c r="X57" s="96"/>
      <c r="Y57" s="96"/>
      <c r="Z57" s="96"/>
      <c r="AA57" s="93" t="str">
        <f aca="false">A57</f>
        <v>      Change in Other Obligations</v>
      </c>
      <c r="AB57" s="135" t="n">
        <f aca="false">P57</f>
        <v>153850</v>
      </c>
      <c r="AC57" s="136" t="n">
        <f aca="false">SUM(D57:L57)</f>
        <v>150000</v>
      </c>
      <c r="AD57" s="135" t="n">
        <f aca="false">AB57-AC57</f>
        <v>3850</v>
      </c>
      <c r="AE57" s="96"/>
      <c r="AF57" s="135" t="n">
        <f aca="false">T57</f>
        <v>3850</v>
      </c>
      <c r="AG57" s="135" t="n">
        <f aca="false">U57</f>
        <v>0</v>
      </c>
      <c r="AH57" s="135" t="n">
        <f aca="false">AF57-AG57</f>
        <v>3850</v>
      </c>
      <c r="AI57" s="96"/>
      <c r="AJ57" s="135" t="n">
        <f aca="false">AC57-AG57</f>
        <v>150000</v>
      </c>
      <c r="AK57" s="135" t="n">
        <f aca="false">AB57-AF57</f>
        <v>150000</v>
      </c>
      <c r="AL57" s="96"/>
      <c r="AM57" s="136" t="n">
        <v>153850</v>
      </c>
      <c r="AN57" s="135" t="n">
        <f aca="false">AB57-AM57</f>
        <v>0</v>
      </c>
      <c r="AO57" s="96"/>
      <c r="AP57" s="136" t="n">
        <v>150000</v>
      </c>
      <c r="AQ57" s="135" t="n">
        <f aca="false">AC57-AP57</f>
        <v>0</v>
      </c>
      <c r="AR57" s="96"/>
      <c r="AS57" s="96"/>
      <c r="AT57" s="96"/>
      <c r="AU57" s="96"/>
    </row>
    <row r="58" customFormat="false" ht="6" hidden="false" customHeight="true" outlineLevel="0" collapsed="false">
      <c r="A58" s="108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</row>
    <row r="59" customFormat="false" ht="14.65" hidden="false" customHeight="false" outlineLevel="0" collapsed="false">
      <c r="A59" s="121" t="s">
        <v>478</v>
      </c>
      <c r="B59" s="96"/>
      <c r="C59" s="96"/>
      <c r="D59" s="139" t="n">
        <f aca="false">D55+D57</f>
        <v>10623</v>
      </c>
      <c r="E59" s="139" t="n">
        <f aca="false">E55+E57</f>
        <v>10355</v>
      </c>
      <c r="F59" s="139" t="n">
        <f aca="false">F55+F57</f>
        <v>14674</v>
      </c>
      <c r="G59" s="139" t="n">
        <f aca="false">G55+G57</f>
        <v>-5986</v>
      </c>
      <c r="H59" s="139" t="n">
        <f aca="false">H55+H57</f>
        <v>-9459</v>
      </c>
      <c r="I59" s="139" t="n">
        <f aca="false">I55+I57</f>
        <v>18473</v>
      </c>
      <c r="J59" s="139" t="n">
        <f aca="false">J55+J57</f>
        <v>-4057</v>
      </c>
      <c r="K59" s="139" t="n">
        <f aca="false">K55+K57</f>
        <v>6930</v>
      </c>
      <c r="L59" s="139" t="n">
        <f aca="false">L55+L57</f>
        <v>-1412</v>
      </c>
      <c r="M59" s="139" t="n">
        <f aca="false">M55+M57</f>
        <v>3122</v>
      </c>
      <c r="N59" s="139" t="n">
        <f aca="false">N55+N57</f>
        <v>-1837</v>
      </c>
      <c r="O59" s="139" t="n">
        <f aca="false">O55+O57</f>
        <v>-5148</v>
      </c>
      <c r="P59" s="139" t="n">
        <f aca="false">P55+P57</f>
        <v>36278</v>
      </c>
      <c r="Q59" s="139" t="n">
        <f aca="false">Q55+Q57</f>
        <v>34623</v>
      </c>
      <c r="R59" s="139" t="n">
        <f aca="false">R55+R57</f>
        <v>1655</v>
      </c>
      <c r="S59" s="96"/>
      <c r="T59" s="139" t="n">
        <f aca="false">T55+T57</f>
        <v>34340</v>
      </c>
      <c r="U59" s="139" t="n">
        <f aca="false">U55+U57</f>
        <v>23600</v>
      </c>
      <c r="V59" s="139" t="n">
        <f aca="false">V55+V57</f>
        <v>10740</v>
      </c>
      <c r="W59" s="96"/>
      <c r="X59" s="96"/>
      <c r="Y59" s="96"/>
      <c r="Z59" s="96"/>
      <c r="AA59" s="93" t="str">
        <f aca="false">A59</f>
        <v>INCREASE / (DECREASE) IN TOTAL OBLIGATIONS</v>
      </c>
      <c r="AB59" s="139" t="n">
        <f aca="false">AB55+AB57</f>
        <v>36278</v>
      </c>
      <c r="AC59" s="139" t="n">
        <f aca="false">AC55+AC57</f>
        <v>40141</v>
      </c>
      <c r="AD59" s="139" t="n">
        <f aca="false">AD55+AD57</f>
        <v>-3863</v>
      </c>
      <c r="AE59" s="96"/>
      <c r="AF59" s="139" t="n">
        <f aca="false">AF55+AF57</f>
        <v>34340</v>
      </c>
      <c r="AG59" s="139" t="n">
        <f aca="false">AG55+AG57</f>
        <v>23600</v>
      </c>
      <c r="AH59" s="139" t="n">
        <f aca="false">AH55+AH57</f>
        <v>10740</v>
      </c>
      <c r="AI59" s="96"/>
      <c r="AJ59" s="139" t="n">
        <f aca="false">AJ55+AJ57</f>
        <v>16541</v>
      </c>
      <c r="AK59" s="139" t="n">
        <f aca="false">AK55+AK57</f>
        <v>1938</v>
      </c>
      <c r="AL59" s="96"/>
      <c r="AM59" s="139" t="n">
        <f aca="false">AM55+AM57</f>
        <v>12032</v>
      </c>
      <c r="AN59" s="139" t="n">
        <f aca="false">AN55+AN57</f>
        <v>24246</v>
      </c>
      <c r="AO59" s="96"/>
      <c r="AP59" s="139" t="n">
        <f aca="false">AP55+AP57</f>
        <v>24882</v>
      </c>
      <c r="AQ59" s="139" t="n">
        <f aca="false">AQ55+AQ57</f>
        <v>15259</v>
      </c>
      <c r="AR59" s="96"/>
      <c r="AS59" s="96"/>
      <c r="AT59" s="96"/>
      <c r="AU59" s="96"/>
    </row>
    <row r="60" customFormat="false" ht="8.1" hidden="fals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</row>
    <row r="61" customFormat="false" ht="14.65" hidden="false" customHeight="fals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</row>
    <row r="62" customFormat="false" ht="14.65" hidden="false" customHeight="false" outlineLevel="0" collapsed="false">
      <c r="A62" s="140" t="str">
        <f aca="false">A1</f>
        <v>'file:///mnt/12tb/@roms/datasets/enron/EDRM Enron Email Data Set v2 XML/filtered-attachments/xls/TW3rdCECF.xls'#$BACKUP</v>
      </c>
      <c r="B62" s="93"/>
      <c r="C62" s="93"/>
      <c r="D62" s="93"/>
      <c r="E62" s="93"/>
      <c r="F62" s="93"/>
      <c r="G62" s="93"/>
      <c r="H62" s="93"/>
      <c r="I62" s="98" t="str">
        <f aca="false">I1</f>
        <v>TRANSWESTERN PIPELINE GROUP (Including Co. 92)</v>
      </c>
      <c r="J62" s="98"/>
      <c r="K62" s="98"/>
      <c r="L62" s="98"/>
      <c r="M62" s="93"/>
      <c r="N62" s="93"/>
      <c r="O62" s="93"/>
      <c r="P62" s="93"/>
      <c r="Q62" s="93"/>
      <c r="R62" s="93"/>
      <c r="S62" s="93"/>
      <c r="T62" s="93"/>
      <c r="U62" s="93"/>
      <c r="V62" s="95" t="n">
        <f aca="true">NOW()</f>
        <v>45926.9584325362</v>
      </c>
      <c r="W62" s="96"/>
      <c r="X62" s="96"/>
      <c r="Y62" s="96"/>
      <c r="Z62" s="96"/>
      <c r="AA62" s="97" t="str">
        <f aca="false">A62</f>
        <v>'file:///mnt/12tb/@roms/datasets/enron/EDRM Enron Email Data Set v2 XML/filtered-attachments/xls/TW3rdCECF.xls'#$BACKUP</v>
      </c>
      <c r="AB62" s="93"/>
      <c r="AC62" s="93"/>
      <c r="AD62" s="98" t="str">
        <f aca="false">I62</f>
        <v>TRANSWESTERN PIPELINE GROUP (Including Co. 92)</v>
      </c>
      <c r="AE62" s="98"/>
      <c r="AF62" s="98"/>
      <c r="AG62" s="98"/>
      <c r="AH62" s="93"/>
      <c r="AI62" s="93"/>
      <c r="AJ62" s="93"/>
      <c r="AK62" s="99"/>
      <c r="AL62" s="93"/>
      <c r="AM62" s="93"/>
      <c r="AN62" s="96"/>
      <c r="AO62" s="96"/>
      <c r="AP62" s="96"/>
      <c r="AQ62" s="95" t="n">
        <f aca="true">NOW()</f>
        <v>45926.9584325362</v>
      </c>
      <c r="AR62" s="96"/>
      <c r="AS62" s="96"/>
      <c r="AT62" s="96"/>
      <c r="AU62" s="96"/>
    </row>
    <row r="63" customFormat="false" ht="14.65" hidden="false" customHeight="false" outlineLevel="0" collapsed="false">
      <c r="A63" s="100" t="s">
        <v>479</v>
      </c>
      <c r="B63" s="93"/>
      <c r="C63" s="93"/>
      <c r="D63" s="93"/>
      <c r="E63" s="93"/>
      <c r="F63" s="93"/>
      <c r="G63" s="93"/>
      <c r="H63" s="93"/>
      <c r="I63" s="141" t="s">
        <v>480</v>
      </c>
      <c r="J63" s="141"/>
      <c r="K63" s="141"/>
      <c r="L63" s="141"/>
      <c r="M63" s="93"/>
      <c r="N63" s="93"/>
      <c r="O63" s="93"/>
      <c r="P63" s="93"/>
      <c r="Q63" s="93"/>
      <c r="R63" s="93"/>
      <c r="S63" s="93"/>
      <c r="T63" s="93"/>
      <c r="U63" s="93"/>
      <c r="V63" s="102" t="n">
        <f aca="true">NOW()</f>
        <v>45926.9584325363</v>
      </c>
      <c r="W63" s="96"/>
      <c r="X63" s="96"/>
      <c r="Y63" s="96"/>
      <c r="Z63" s="96"/>
      <c r="AA63" s="140" t="s">
        <v>481</v>
      </c>
      <c r="AB63" s="93"/>
      <c r="AC63" s="93"/>
      <c r="AD63" s="98" t="str">
        <f aca="false">I63</f>
        <v>TOTAL OBLIGATIONS</v>
      </c>
      <c r="AE63" s="98"/>
      <c r="AF63" s="98"/>
      <c r="AG63" s="98"/>
      <c r="AH63" s="93"/>
      <c r="AI63" s="93"/>
      <c r="AJ63" s="93"/>
      <c r="AK63" s="103"/>
      <c r="AL63" s="93"/>
      <c r="AM63" s="93"/>
      <c r="AN63" s="96"/>
      <c r="AO63" s="96"/>
      <c r="AP63" s="96"/>
      <c r="AQ63" s="102" t="n">
        <f aca="true">NOW()</f>
        <v>45926.9584325363</v>
      </c>
      <c r="AR63" s="96"/>
      <c r="AS63" s="96"/>
      <c r="AT63" s="96"/>
      <c r="AU63" s="96"/>
    </row>
    <row r="64" customFormat="false" ht="14.65" hidden="false" customHeight="false" outlineLevel="0" collapsed="false">
      <c r="A64" s="103"/>
      <c r="B64" s="93"/>
      <c r="C64" s="93"/>
      <c r="D64" s="93"/>
      <c r="E64" s="93"/>
      <c r="F64" s="93"/>
      <c r="G64" s="93"/>
      <c r="H64" s="93"/>
      <c r="I64" s="98" t="str">
        <f aca="false">I3</f>
        <v>2001 ACTUAL / ESTIMATE</v>
      </c>
      <c r="J64" s="98"/>
      <c r="K64" s="98"/>
      <c r="L64" s="98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6"/>
      <c r="X64" s="96"/>
      <c r="Y64" s="96"/>
      <c r="Z64" s="96"/>
      <c r="AA64" s="103"/>
      <c r="AB64" s="93"/>
      <c r="AC64" s="93"/>
      <c r="AD64" s="98" t="str">
        <f aca="false">I64</f>
        <v>2001 ACTUAL / ESTIMATE</v>
      </c>
      <c r="AE64" s="98"/>
      <c r="AF64" s="98"/>
      <c r="AG64" s="98"/>
      <c r="AH64" s="93"/>
      <c r="AI64" s="93"/>
      <c r="AJ64" s="93"/>
      <c r="AK64" s="93"/>
      <c r="AL64" s="93"/>
      <c r="AM64" s="93"/>
      <c r="AN64" s="93"/>
      <c r="AO64" s="96"/>
      <c r="AP64" s="96"/>
      <c r="AQ64" s="96"/>
      <c r="AR64" s="96"/>
      <c r="AS64" s="96"/>
      <c r="AT64" s="96"/>
      <c r="AU64" s="96"/>
    </row>
    <row r="65" customFormat="false" ht="14.65" hidden="false" customHeight="false" outlineLevel="0" collapsed="false">
      <c r="A65" s="93"/>
      <c r="B65" s="93"/>
      <c r="C65" s="93"/>
      <c r="D65" s="93"/>
      <c r="E65" s="93"/>
      <c r="F65" s="93"/>
      <c r="G65" s="93"/>
      <c r="H65" s="93"/>
      <c r="I65" s="98" t="str">
        <f aca="false">I4</f>
        <v>(Thousands of Dollars)</v>
      </c>
      <c r="J65" s="98"/>
      <c r="K65" s="98"/>
      <c r="L65" s="98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6"/>
      <c r="X65" s="96"/>
      <c r="Y65" s="96"/>
      <c r="Z65" s="96"/>
      <c r="AA65" s="93"/>
      <c r="AB65" s="93"/>
      <c r="AC65" s="93"/>
      <c r="AD65" s="98" t="str">
        <f aca="false">I65</f>
        <v>(Thousands of Dollars)</v>
      </c>
      <c r="AE65" s="98"/>
      <c r="AF65" s="98"/>
      <c r="AG65" s="98"/>
      <c r="AH65" s="93"/>
      <c r="AI65" s="93"/>
      <c r="AJ65" s="93"/>
      <c r="AK65" s="93"/>
      <c r="AL65" s="93"/>
      <c r="AM65" s="93"/>
      <c r="AN65" s="93"/>
      <c r="AO65" s="96"/>
      <c r="AP65" s="96"/>
      <c r="AQ65" s="96"/>
      <c r="AR65" s="96"/>
      <c r="AS65" s="96"/>
      <c r="AT65" s="96"/>
      <c r="AU65" s="96"/>
    </row>
    <row r="66" customFormat="false" ht="14.65" hidden="false" customHeight="false" outlineLevel="0" collapsed="false">
      <c r="A66" s="93"/>
      <c r="B66" s="93"/>
      <c r="C66" s="93"/>
      <c r="D66" s="107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0"/>
      <c r="Q66" s="93"/>
      <c r="R66" s="93"/>
      <c r="S66" s="93"/>
      <c r="T66" s="107" t="n">
        <f aca="false">T5</f>
        <v>0</v>
      </c>
      <c r="U66" s="93"/>
      <c r="V66" s="107" t="n">
        <f aca="false">V5</f>
        <v>0</v>
      </c>
      <c r="W66" s="96"/>
      <c r="X66" s="96"/>
      <c r="Y66" s="96"/>
      <c r="Z66" s="96"/>
      <c r="AA66" s="93"/>
      <c r="AB66" s="93"/>
      <c r="AC66" s="93"/>
      <c r="AD66" s="93"/>
      <c r="AE66" s="93"/>
      <c r="AF66" s="107" t="n">
        <f aca="false">AF5</f>
        <v>0</v>
      </c>
      <c r="AG66" s="107"/>
      <c r="AH66" s="107" t="n">
        <f aca="false">AH5</f>
        <v>0</v>
      </c>
      <c r="AI66" s="93"/>
      <c r="AJ66" s="96"/>
      <c r="AK66" s="107" t="n">
        <f aca="false">AK5</f>
        <v>0</v>
      </c>
      <c r="AL66" s="93"/>
      <c r="AM66" s="96"/>
      <c r="AN66" s="93"/>
      <c r="AO66" s="96"/>
      <c r="AP66" s="142"/>
      <c r="AQ66" s="143"/>
      <c r="AR66" s="96"/>
      <c r="AS66" s="96"/>
      <c r="AT66" s="96"/>
      <c r="AU66" s="96"/>
    </row>
    <row r="67" customFormat="false" ht="14.65" hidden="false" customHeight="false" outlineLevel="0" collapsed="false">
      <c r="A67" s="93"/>
      <c r="B67" s="93"/>
      <c r="C67" s="93"/>
      <c r="D67" s="107" t="str">
        <f aca="false">D6</f>
        <v>ACT.</v>
      </c>
      <c r="E67" s="107" t="str">
        <f aca="false">E6</f>
        <v>ACT.</v>
      </c>
      <c r="F67" s="107" t="str">
        <f aca="false">F6</f>
        <v>ACT.</v>
      </c>
      <c r="G67" s="107" t="str">
        <f aca="false">G6</f>
        <v>ACT.</v>
      </c>
      <c r="H67" s="107" t="str">
        <f aca="false">H6</f>
        <v>ACT.</v>
      </c>
      <c r="I67" s="107" t="str">
        <f aca="false">I6</f>
        <v>ACT.</v>
      </c>
      <c r="J67" s="107" t="str">
        <f aca="false">J6</f>
        <v>ACT.</v>
      </c>
      <c r="K67" s="107" t="str">
        <f aca="false">K6</f>
        <v>ACT.</v>
      </c>
      <c r="L67" s="107" t="str">
        <f aca="false">L6</f>
        <v>3rd CE</v>
      </c>
      <c r="M67" s="107" t="str">
        <f aca="false">M6</f>
        <v>3rd CE</v>
      </c>
      <c r="N67" s="107" t="str">
        <f aca="false">N6</f>
        <v>3rd CE</v>
      </c>
      <c r="O67" s="107" t="str">
        <f aca="false">O6</f>
        <v>3rd CE</v>
      </c>
      <c r="P67" s="107" t="str">
        <f aca="false">P6</f>
        <v>TOTAL</v>
      </c>
      <c r="Q67" s="107" t="str">
        <f aca="false">Q6</f>
        <v>JULY</v>
      </c>
      <c r="R67" s="107" t="str">
        <f aca="false">R6</f>
        <v>ESTIMATED</v>
      </c>
      <c r="S67" s="93"/>
      <c r="T67" s="107" t="str">
        <f aca="false">T6</f>
        <v>PLAN</v>
      </c>
      <c r="U67" s="107" t="str">
        <f aca="false">U6</f>
        <v>SEPT.</v>
      </c>
      <c r="V67" s="107" t="str">
        <f aca="false">V6</f>
        <v>PLAN</v>
      </c>
      <c r="W67" s="96"/>
      <c r="X67" s="96"/>
      <c r="Y67" s="96"/>
      <c r="Z67" s="96"/>
      <c r="AA67" s="93"/>
      <c r="AB67" s="113" t="str">
        <f aca="false">AB6</f>
        <v>TOTAL</v>
      </c>
      <c r="AC67" s="113" t="str">
        <f aca="false">AC6</f>
        <v>SEPT.</v>
      </c>
      <c r="AD67" s="113" t="str">
        <f aca="false">AD6</f>
        <v>ESTIMATED</v>
      </c>
      <c r="AE67" s="93"/>
      <c r="AF67" s="107" t="str">
        <f aca="false">AF6</f>
        <v>PLAN</v>
      </c>
      <c r="AG67" s="107" t="str">
        <f aca="false">AG6</f>
        <v>SEPT.</v>
      </c>
      <c r="AH67" s="107" t="str">
        <f aca="false">AH6</f>
        <v>PLAN</v>
      </c>
      <c r="AI67" s="113"/>
      <c r="AJ67" s="144" t="str">
        <f aca="false">AJ6</f>
        <v>ACT./EST. vs. PLAN</v>
      </c>
      <c r="AK67" s="144"/>
      <c r="AL67" s="93"/>
      <c r="AM67" s="144" t="str">
        <f aca="false">AM6</f>
        <v>2nd C.E.</v>
      </c>
      <c r="AN67" s="144"/>
      <c r="AO67" s="96"/>
      <c r="AP67" s="144" t="str">
        <f aca="false">AP6</f>
        <v>Sept. YTD</v>
      </c>
      <c r="AQ67" s="144"/>
      <c r="AR67" s="96"/>
      <c r="AS67" s="96"/>
      <c r="AT67" s="96"/>
      <c r="AU67" s="96"/>
    </row>
    <row r="68" customFormat="false" ht="12.95" hidden="false" customHeight="true" outlineLevel="0" collapsed="false">
      <c r="A68" s="93"/>
      <c r="B68" s="93"/>
      <c r="C68" s="93"/>
      <c r="D68" s="118" t="str">
        <f aca="false">D7</f>
        <v>JAN</v>
      </c>
      <c r="E68" s="118" t="str">
        <f aca="false">E7</f>
        <v>FEB</v>
      </c>
      <c r="F68" s="118" t="str">
        <f aca="false">F7</f>
        <v>MAR</v>
      </c>
      <c r="G68" s="118" t="str">
        <f aca="false">G7</f>
        <v>APR</v>
      </c>
      <c r="H68" s="118" t="str">
        <f aca="false">H7</f>
        <v>MAY</v>
      </c>
      <c r="I68" s="118" t="str">
        <f aca="false">I7</f>
        <v>JUN</v>
      </c>
      <c r="J68" s="118" t="str">
        <f aca="false">J7</f>
        <v>JUL</v>
      </c>
      <c r="K68" s="118" t="str">
        <f aca="false">K7</f>
        <v>AUG</v>
      </c>
      <c r="L68" s="118" t="str">
        <f aca="false">L7</f>
        <v>SEP</v>
      </c>
      <c r="M68" s="118" t="str">
        <f aca="false">M7</f>
        <v>OCT</v>
      </c>
      <c r="N68" s="118" t="str">
        <f aca="false">N7</f>
        <v>NOV</v>
      </c>
      <c r="O68" s="118" t="str">
        <f aca="false">O7</f>
        <v>DEC</v>
      </c>
      <c r="P68" s="118" t="n">
        <f aca="false">P7</f>
        <v>2001</v>
      </c>
      <c r="Q68" s="118" t="str">
        <f aca="false">Q7</f>
        <v>Y-T-D</v>
      </c>
      <c r="R68" s="118" t="str">
        <f aca="false">R7</f>
        <v>R.M.</v>
      </c>
      <c r="S68" s="93"/>
      <c r="T68" s="118" t="n">
        <f aca="false">T7</f>
        <v>2001</v>
      </c>
      <c r="U68" s="118" t="str">
        <f aca="false">U7</f>
        <v>Y-T-D</v>
      </c>
      <c r="V68" s="118" t="str">
        <f aca="false">V7</f>
        <v>R.M.</v>
      </c>
      <c r="W68" s="96"/>
      <c r="X68" s="96"/>
      <c r="Y68" s="96"/>
      <c r="Z68" s="96"/>
      <c r="AA68" s="93"/>
      <c r="AB68" s="117" t="n">
        <f aca="false">AB7</f>
        <v>2001</v>
      </c>
      <c r="AC68" s="117" t="str">
        <f aca="false">AC7</f>
        <v>Y-T-D</v>
      </c>
      <c r="AD68" s="117" t="str">
        <f aca="false">AD7</f>
        <v>R.M.</v>
      </c>
      <c r="AE68" s="93"/>
      <c r="AF68" s="117" t="n">
        <f aca="false">AF7</f>
        <v>2001</v>
      </c>
      <c r="AG68" s="117" t="str">
        <f aca="false">AG7</f>
        <v>Y-T-D</v>
      </c>
      <c r="AH68" s="117" t="str">
        <f aca="false">AH7</f>
        <v>R.M.</v>
      </c>
      <c r="AI68" s="93"/>
      <c r="AJ68" s="117" t="str">
        <f aca="false">AJ7</f>
        <v>Y-T-D</v>
      </c>
      <c r="AK68" s="117" t="str">
        <f aca="false">AK7</f>
        <v>ANNUAL</v>
      </c>
      <c r="AL68" s="93"/>
      <c r="AM68" s="117" t="str">
        <f aca="false">AM7</f>
        <v>ANNUAL</v>
      </c>
      <c r="AN68" s="117" t="str">
        <f aca="false">AN7</f>
        <v>Variance</v>
      </c>
      <c r="AO68" s="96"/>
      <c r="AP68" s="117" t="str">
        <f aca="false">AP7</f>
        <v>2nd C.E.</v>
      </c>
      <c r="AQ68" s="117" t="str">
        <f aca="false">AQ7</f>
        <v>Variance</v>
      </c>
      <c r="AR68" s="96"/>
      <c r="AS68" s="96"/>
      <c r="AT68" s="96"/>
      <c r="AU68" s="96"/>
    </row>
    <row r="69" customFormat="false" ht="3.95" hidden="fals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</row>
    <row r="70" customFormat="false" ht="14.65" hidden="false" customHeight="false" outlineLevel="0" collapsed="false">
      <c r="A70" s="124" t="s">
        <v>482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 t="str">
        <f aca="false">A70</f>
        <v>Cash Flow From Operations</v>
      </c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</row>
    <row r="71" customFormat="false" ht="14.65" hidden="false" customHeight="false" outlineLevel="0" collapsed="false">
      <c r="A71" s="124" t="s">
        <v>483</v>
      </c>
      <c r="B71" s="96"/>
      <c r="C71" s="96"/>
      <c r="D71" s="122" t="n">
        <f aca="false">D9</f>
        <v>6658</v>
      </c>
      <c r="E71" s="122" t="n">
        <f aca="false">E9</f>
        <v>8540</v>
      </c>
      <c r="F71" s="122" t="n">
        <f aca="false">F9</f>
        <v>3341</v>
      </c>
      <c r="G71" s="122" t="n">
        <f aca="false">G9</f>
        <v>8154</v>
      </c>
      <c r="H71" s="122" t="n">
        <f aca="false">H9</f>
        <v>7578</v>
      </c>
      <c r="I71" s="122" t="n">
        <f aca="false">I9</f>
        <v>6296</v>
      </c>
      <c r="J71" s="122" t="n">
        <f aca="false">J9</f>
        <v>6729</v>
      </c>
      <c r="K71" s="122" t="n">
        <f aca="false">K9</f>
        <v>6322</v>
      </c>
      <c r="L71" s="122" t="n">
        <f aca="false">L9</f>
        <v>11911</v>
      </c>
      <c r="M71" s="122" t="n">
        <f aca="false">M9</f>
        <v>6314</v>
      </c>
      <c r="N71" s="122" t="n">
        <f aca="false">N9</f>
        <v>6047</v>
      </c>
      <c r="O71" s="122" t="n">
        <f aca="false">O9</f>
        <v>6386</v>
      </c>
      <c r="P71" s="122" t="n">
        <f aca="false">SUM(D71:O71)</f>
        <v>84276</v>
      </c>
      <c r="Q71" s="123" t="n">
        <f aca="false">SUM(D71:J71)</f>
        <v>47296</v>
      </c>
      <c r="R71" s="122" t="n">
        <f aca="false">P71-Q71</f>
        <v>36980</v>
      </c>
      <c r="S71" s="96"/>
      <c r="T71" s="122" t="n">
        <f aca="false">T9</f>
        <v>72797</v>
      </c>
      <c r="U71" s="122" t="n">
        <f aca="false">U9</f>
        <v>54234</v>
      </c>
      <c r="V71" s="122" t="n">
        <f aca="false">V9</f>
        <v>18563</v>
      </c>
      <c r="W71" s="96"/>
      <c r="X71" s="96"/>
      <c r="Y71" s="96"/>
      <c r="Z71" s="96"/>
      <c r="AA71" s="96" t="str">
        <f aca="false">A71</f>
        <v>      Net Income After Financing Costs</v>
      </c>
      <c r="AB71" s="122" t="n">
        <f aca="false">P71</f>
        <v>84276</v>
      </c>
      <c r="AC71" s="123" t="n">
        <f aca="false">SUM(D71:L71)</f>
        <v>65529</v>
      </c>
      <c r="AD71" s="122" t="n">
        <f aca="false">AB71-AC71</f>
        <v>18747</v>
      </c>
      <c r="AE71" s="96"/>
      <c r="AF71" s="122" t="n">
        <f aca="false">T71</f>
        <v>72797</v>
      </c>
      <c r="AG71" s="122" t="n">
        <f aca="false">AG9</f>
        <v>54234</v>
      </c>
      <c r="AH71" s="122" t="n">
        <f aca="false">AF71-AG71</f>
        <v>18563</v>
      </c>
      <c r="AI71" s="96"/>
      <c r="AJ71" s="122" t="n">
        <f aca="false">AC71-AG71</f>
        <v>11295</v>
      </c>
      <c r="AK71" s="122" t="n">
        <f aca="false">AB71-AF71</f>
        <v>11479</v>
      </c>
      <c r="AL71" s="96"/>
      <c r="AM71" s="122" t="n">
        <f aca="false">AM9</f>
        <v>84501</v>
      </c>
      <c r="AN71" s="122" t="n">
        <f aca="false">AB71-AM71</f>
        <v>-225</v>
      </c>
      <c r="AO71" s="96"/>
      <c r="AP71" s="122" t="n">
        <f aca="false">AP9</f>
        <v>65754</v>
      </c>
      <c r="AQ71" s="122" t="n">
        <f aca="false">AC71-AP71</f>
        <v>-225</v>
      </c>
      <c r="AR71" s="96"/>
      <c r="AS71" s="96"/>
      <c r="AT71" s="96"/>
      <c r="AU71" s="96"/>
    </row>
    <row r="72" customFormat="false" ht="14.65" hidden="false" customHeight="false" outlineLevel="0" collapsed="false">
      <c r="A72" s="124" t="s">
        <v>484</v>
      </c>
      <c r="B72" s="96"/>
      <c r="C72" s="96"/>
      <c r="D72" s="122" t="n">
        <f aca="false">D11</f>
        <v>1621</v>
      </c>
      <c r="E72" s="122" t="n">
        <f aca="false">E11</f>
        <v>1587</v>
      </c>
      <c r="F72" s="122" t="n">
        <f aca="false">F11</f>
        <v>1631</v>
      </c>
      <c r="G72" s="122" t="n">
        <f aca="false">G11</f>
        <v>1643</v>
      </c>
      <c r="H72" s="122" t="n">
        <f aca="false">H11</f>
        <v>1600</v>
      </c>
      <c r="I72" s="122" t="n">
        <f aca="false">I11</f>
        <v>1710</v>
      </c>
      <c r="J72" s="122" t="n">
        <f aca="false">J11</f>
        <v>1700</v>
      </c>
      <c r="K72" s="122" t="n">
        <f aca="false">K11</f>
        <v>1750</v>
      </c>
      <c r="L72" s="122" t="n">
        <f aca="false">L11</f>
        <v>1750</v>
      </c>
      <c r="M72" s="122" t="n">
        <f aca="false">M11</f>
        <v>1850</v>
      </c>
      <c r="N72" s="122" t="n">
        <f aca="false">N11</f>
        <v>1850</v>
      </c>
      <c r="O72" s="122" t="n">
        <f aca="false">O11</f>
        <v>1850</v>
      </c>
      <c r="P72" s="122" t="n">
        <f aca="false">SUM(D72:O72)</f>
        <v>20542</v>
      </c>
      <c r="Q72" s="123" t="n">
        <f aca="false">SUM(D72:J72)</f>
        <v>11492</v>
      </c>
      <c r="R72" s="122" t="n">
        <f aca="false">P72-Q72</f>
        <v>9050</v>
      </c>
      <c r="S72" s="96"/>
      <c r="T72" s="122" t="n">
        <f aca="false">T11</f>
        <v>21996</v>
      </c>
      <c r="U72" s="122" t="n">
        <f aca="false">U11</f>
        <v>16497</v>
      </c>
      <c r="V72" s="122" t="n">
        <f aca="false">V11</f>
        <v>5499</v>
      </c>
      <c r="W72" s="96"/>
      <c r="X72" s="96"/>
      <c r="Y72" s="96"/>
      <c r="Z72" s="96"/>
      <c r="AA72" s="96" t="str">
        <f aca="false">A72</f>
        <v>      Depreciation, Depletion, and Amortization</v>
      </c>
      <c r="AB72" s="122" t="n">
        <f aca="false">P72</f>
        <v>20542</v>
      </c>
      <c r="AC72" s="123" t="n">
        <f aca="false">SUM(D72:L72)</f>
        <v>14992</v>
      </c>
      <c r="AD72" s="122" t="n">
        <f aca="false">AB72-AC72</f>
        <v>5550</v>
      </c>
      <c r="AE72" s="96"/>
      <c r="AF72" s="122" t="n">
        <f aca="false">T72</f>
        <v>21996</v>
      </c>
      <c r="AG72" s="122" t="n">
        <f aca="false">AG11</f>
        <v>16497</v>
      </c>
      <c r="AH72" s="122" t="n">
        <f aca="false">AF72-AG72</f>
        <v>5499</v>
      </c>
      <c r="AI72" s="96"/>
      <c r="AJ72" s="122" t="n">
        <f aca="false">AC72-AG72</f>
        <v>-1505</v>
      </c>
      <c r="AK72" s="122" t="n">
        <f aca="false">AB72-AF72</f>
        <v>-1454</v>
      </c>
      <c r="AL72" s="96"/>
      <c r="AM72" s="122" t="n">
        <f aca="false">AM11</f>
        <v>20542</v>
      </c>
      <c r="AN72" s="122" t="n">
        <f aca="false">AB72-AM72</f>
        <v>0</v>
      </c>
      <c r="AO72" s="96"/>
      <c r="AP72" s="122" t="n">
        <f aca="false">AP11</f>
        <v>14992</v>
      </c>
      <c r="AQ72" s="122" t="n">
        <f aca="false">AC72-AP72</f>
        <v>0</v>
      </c>
      <c r="AR72" s="96"/>
      <c r="AS72" s="96"/>
      <c r="AT72" s="96"/>
      <c r="AU72" s="96"/>
    </row>
    <row r="73" customFormat="false" ht="14.65" hidden="false" customHeight="false" outlineLevel="0" collapsed="false">
      <c r="A73" s="124" t="s">
        <v>485</v>
      </c>
      <c r="B73" s="96"/>
      <c r="C73" s="96"/>
      <c r="D73" s="122" t="n">
        <f aca="false">D12</f>
        <v>-0</v>
      </c>
      <c r="E73" s="122" t="n">
        <f aca="false">E12</f>
        <v>-0</v>
      </c>
      <c r="F73" s="122" t="n">
        <f aca="false">F12</f>
        <v>-0</v>
      </c>
      <c r="G73" s="122" t="n">
        <f aca="false">G12</f>
        <v>-0</v>
      </c>
      <c r="H73" s="122" t="n">
        <f aca="false">H12</f>
        <v>-0</v>
      </c>
      <c r="I73" s="122" t="n">
        <f aca="false">I12</f>
        <v>-0</v>
      </c>
      <c r="J73" s="122" t="n">
        <f aca="false">J12</f>
        <v>-0</v>
      </c>
      <c r="K73" s="122" t="n">
        <f aca="false">K12</f>
        <v>-0</v>
      </c>
      <c r="L73" s="122" t="n">
        <f aca="false">L12</f>
        <v>-0</v>
      </c>
      <c r="M73" s="122" t="n">
        <f aca="false">M12</f>
        <v>-0</v>
      </c>
      <c r="N73" s="122" t="n">
        <f aca="false">N12</f>
        <v>-0</v>
      </c>
      <c r="O73" s="122" t="n">
        <f aca="false">O12</f>
        <v>-0</v>
      </c>
      <c r="P73" s="122" t="n">
        <f aca="false">SUM(D73:O73)</f>
        <v>0</v>
      </c>
      <c r="Q73" s="123" t="n">
        <f aca="false">SUM(D73:J73)</f>
        <v>0</v>
      </c>
      <c r="R73" s="122" t="n">
        <f aca="false">P73-Q73</f>
        <v>0</v>
      </c>
      <c r="S73" s="96"/>
      <c r="T73" s="122" t="n">
        <f aca="false">T12</f>
        <v>0</v>
      </c>
      <c r="U73" s="122" t="n">
        <f aca="false">U12</f>
        <v>0</v>
      </c>
      <c r="V73" s="122" t="n">
        <f aca="false">V12</f>
        <v>0</v>
      </c>
      <c r="W73" s="96"/>
      <c r="X73" s="96"/>
      <c r="Y73" s="96"/>
      <c r="Z73" s="96"/>
      <c r="AA73" s="96" t="str">
        <f aca="false">A73</f>
        <v>      Amortization of Contract Reformation Costs</v>
      </c>
      <c r="AB73" s="122" t="n">
        <f aca="false">P73</f>
        <v>0</v>
      </c>
      <c r="AC73" s="123" t="n">
        <f aca="false">SUM(D73:L73)</f>
        <v>0</v>
      </c>
      <c r="AD73" s="122" t="n">
        <f aca="false">AB73-AC73</f>
        <v>0</v>
      </c>
      <c r="AE73" s="96"/>
      <c r="AF73" s="122" t="n">
        <f aca="false">T73</f>
        <v>0</v>
      </c>
      <c r="AG73" s="122" t="n">
        <f aca="false">AG12</f>
        <v>0</v>
      </c>
      <c r="AH73" s="122" t="n">
        <f aca="false">AF73-AG73</f>
        <v>0</v>
      </c>
      <c r="AI73" s="96"/>
      <c r="AJ73" s="122" t="n">
        <f aca="false">AC73-AG73</f>
        <v>0</v>
      </c>
      <c r="AK73" s="122" t="n">
        <f aca="false">AB73-AF73</f>
        <v>0</v>
      </c>
      <c r="AL73" s="96"/>
      <c r="AM73" s="122" t="n">
        <f aca="false">AM12</f>
        <v>0</v>
      </c>
      <c r="AN73" s="122" t="n">
        <f aca="false">AB73-AM73</f>
        <v>0</v>
      </c>
      <c r="AO73" s="96"/>
      <c r="AP73" s="122" t="n">
        <f aca="false">AP12</f>
        <v>0</v>
      </c>
      <c r="AQ73" s="122" t="n">
        <f aca="false">AC73-AP73</f>
        <v>0</v>
      </c>
      <c r="AR73" s="96"/>
      <c r="AS73" s="96"/>
      <c r="AT73" s="96"/>
      <c r="AU73" s="96"/>
    </row>
    <row r="74" customFormat="false" ht="14.65" hidden="false" customHeight="false" outlineLevel="0" collapsed="false">
      <c r="A74" s="124" t="s">
        <v>444</v>
      </c>
      <c r="B74" s="96"/>
      <c r="C74" s="96"/>
      <c r="D74" s="122" t="n">
        <f aca="false">D13</f>
        <v>150</v>
      </c>
      <c r="E74" s="122" t="n">
        <f aca="false">E13</f>
        <v>92</v>
      </c>
      <c r="F74" s="122" t="n">
        <f aca="false">F13</f>
        <v>-4693</v>
      </c>
      <c r="G74" s="122" t="n">
        <f aca="false">G13</f>
        <v>802</v>
      </c>
      <c r="H74" s="122" t="n">
        <f aca="false">H13</f>
        <v>259</v>
      </c>
      <c r="I74" s="122" t="n">
        <f aca="false">I13</f>
        <v>6</v>
      </c>
      <c r="J74" s="122" t="n">
        <f aca="false">J13</f>
        <v>135</v>
      </c>
      <c r="K74" s="122" t="n">
        <f aca="false">K13</f>
        <v>127</v>
      </c>
      <c r="L74" s="122" t="n">
        <f aca="false">L13</f>
        <v>5365</v>
      </c>
      <c r="M74" s="122" t="n">
        <f aca="false">M13</f>
        <v>3241</v>
      </c>
      <c r="N74" s="122" t="n">
        <f aca="false">N13</f>
        <v>-730</v>
      </c>
      <c r="O74" s="122" t="n">
        <f aca="false">O13</f>
        <v>45</v>
      </c>
      <c r="P74" s="122" t="n">
        <f aca="false">SUM(D74:O74)</f>
        <v>4799</v>
      </c>
      <c r="Q74" s="123" t="n">
        <f aca="false">SUM(D74:J74)</f>
        <v>-3249</v>
      </c>
      <c r="R74" s="122" t="n">
        <f aca="false">P74-Q74</f>
        <v>8048</v>
      </c>
      <c r="S74" s="96"/>
      <c r="T74" s="122" t="n">
        <f aca="false">T13</f>
        <v>298</v>
      </c>
      <c r="U74" s="122" t="n">
        <f aca="false">U13</f>
        <v>921</v>
      </c>
      <c r="V74" s="122" t="n">
        <f aca="false">V13</f>
        <v>-623</v>
      </c>
      <c r="W74" s="96"/>
      <c r="X74" s="96"/>
      <c r="Y74" s="96"/>
      <c r="Z74" s="96"/>
      <c r="AA74" s="96" t="str">
        <f aca="false">A74</f>
        <v>      Deferred Income Taxes - Both Current and Noncurrent</v>
      </c>
      <c r="AB74" s="122" t="n">
        <f aca="false">P74</f>
        <v>4799</v>
      </c>
      <c r="AC74" s="123" t="n">
        <f aca="false">SUM(D74:L74)</f>
        <v>2243</v>
      </c>
      <c r="AD74" s="122" t="n">
        <f aca="false">AB74-AC74</f>
        <v>2556</v>
      </c>
      <c r="AE74" s="96"/>
      <c r="AF74" s="122" t="n">
        <f aca="false">T74</f>
        <v>298</v>
      </c>
      <c r="AG74" s="122" t="n">
        <f aca="false">AG13</f>
        <v>921</v>
      </c>
      <c r="AH74" s="122" t="n">
        <f aca="false">AF74-AG74</f>
        <v>-623</v>
      </c>
      <c r="AI74" s="96"/>
      <c r="AJ74" s="122" t="n">
        <f aca="false">AC74-AG74</f>
        <v>1322</v>
      </c>
      <c r="AK74" s="122" t="n">
        <f aca="false">AB74-AF74</f>
        <v>4501</v>
      </c>
      <c r="AL74" s="96"/>
      <c r="AM74" s="122" t="n">
        <f aca="false">AM13</f>
        <v>4799</v>
      </c>
      <c r="AN74" s="122" t="n">
        <f aca="false">AB74-AM74</f>
        <v>0</v>
      </c>
      <c r="AO74" s="96"/>
      <c r="AP74" s="122" t="n">
        <f aca="false">AP13</f>
        <v>2243</v>
      </c>
      <c r="AQ74" s="122" t="n">
        <f aca="false">AC74-AP74</f>
        <v>0</v>
      </c>
      <c r="AR74" s="96"/>
      <c r="AS74" s="96"/>
      <c r="AT74" s="96"/>
      <c r="AU74" s="96"/>
    </row>
    <row r="75" customFormat="false" ht="14.65" hidden="false" customHeight="false" outlineLevel="0" collapsed="false">
      <c r="A75" s="124" t="s">
        <v>486</v>
      </c>
      <c r="B75" s="96"/>
      <c r="C75" s="96"/>
      <c r="D75" s="123" t="n">
        <v>0</v>
      </c>
      <c r="E75" s="123" t="n">
        <v>0</v>
      </c>
      <c r="F75" s="123" t="n">
        <v>0</v>
      </c>
      <c r="G75" s="123" t="n">
        <v>0</v>
      </c>
      <c r="H75" s="123" t="n">
        <v>0</v>
      </c>
      <c r="I75" s="123" t="n">
        <v>0</v>
      </c>
      <c r="J75" s="123" t="n">
        <v>0</v>
      </c>
      <c r="K75" s="123" t="n">
        <v>0</v>
      </c>
      <c r="L75" s="123" t="n">
        <v>0</v>
      </c>
      <c r="M75" s="123" t="n">
        <v>0</v>
      </c>
      <c r="N75" s="123" t="n">
        <v>0</v>
      </c>
      <c r="O75" s="123" t="n">
        <v>0</v>
      </c>
      <c r="P75" s="122" t="n">
        <f aca="false">SUM(D75:O75)</f>
        <v>0</v>
      </c>
      <c r="Q75" s="123" t="n">
        <f aca="false">SUM(D75:J75)</f>
        <v>0</v>
      </c>
      <c r="R75" s="122" t="n">
        <f aca="false">P75-Q75</f>
        <v>0</v>
      </c>
      <c r="S75" s="96"/>
      <c r="T75" s="123" t="n">
        <v>0</v>
      </c>
      <c r="U75" s="123" t="n">
        <v>0</v>
      </c>
      <c r="V75" s="123" t="n">
        <v>0</v>
      </c>
      <c r="W75" s="96"/>
      <c r="X75" s="96"/>
      <c r="Y75" s="96"/>
      <c r="Z75" s="96"/>
      <c r="AA75" s="96" t="str">
        <f aca="false">A75</f>
        <v>      Deferred Revenue</v>
      </c>
      <c r="AB75" s="122" t="n">
        <f aca="false">P75</f>
        <v>0</v>
      </c>
      <c r="AC75" s="123" t="n">
        <f aca="false">SUM(D75:L75)</f>
        <v>0</v>
      </c>
      <c r="AD75" s="122" t="n">
        <f aca="false">AB75-AC75</f>
        <v>0</v>
      </c>
      <c r="AE75" s="96"/>
      <c r="AF75" s="122" t="n">
        <f aca="false">T75</f>
        <v>0</v>
      </c>
      <c r="AG75" s="123" t="n">
        <v>0</v>
      </c>
      <c r="AH75" s="122" t="n">
        <f aca="false">AF75-AG75</f>
        <v>0</v>
      </c>
      <c r="AI75" s="96"/>
      <c r="AJ75" s="122" t="n">
        <f aca="false">AC75-AG75</f>
        <v>0</v>
      </c>
      <c r="AK75" s="122" t="n">
        <f aca="false">AB75-AF75</f>
        <v>0</v>
      </c>
      <c r="AL75" s="96"/>
      <c r="AM75" s="123" t="n">
        <v>0</v>
      </c>
      <c r="AN75" s="122" t="n">
        <f aca="false">AB75-AM75</f>
        <v>0</v>
      </c>
      <c r="AO75" s="96"/>
      <c r="AP75" s="123" t="n">
        <v>0</v>
      </c>
      <c r="AQ75" s="122" t="n">
        <f aca="false">AC75-AP75</f>
        <v>0</v>
      </c>
      <c r="AR75" s="96"/>
      <c r="AS75" s="96"/>
      <c r="AT75" s="96"/>
      <c r="AU75" s="96"/>
    </row>
    <row r="76" customFormat="false" ht="14.65" hidden="false" customHeight="false" outlineLevel="0" collapsed="false">
      <c r="A76" s="124" t="s">
        <v>487</v>
      </c>
      <c r="B76" s="96"/>
      <c r="C76" s="96"/>
      <c r="D76" s="131" t="n">
        <f aca="false">D27</f>
        <v>-128</v>
      </c>
      <c r="E76" s="131" t="n">
        <f aca="false">E27</f>
        <v>0</v>
      </c>
      <c r="F76" s="131" t="n">
        <f aca="false">F27</f>
        <v>0</v>
      </c>
      <c r="G76" s="131" t="n">
        <f aca="false">G27</f>
        <v>0</v>
      </c>
      <c r="H76" s="131" t="n">
        <f aca="false">H27</f>
        <v>0</v>
      </c>
      <c r="I76" s="131" t="n">
        <f aca="false">I27</f>
        <v>1</v>
      </c>
      <c r="J76" s="131" t="n">
        <f aca="false">J27</f>
        <v>-7</v>
      </c>
      <c r="K76" s="131" t="n">
        <f aca="false">K27</f>
        <v>0</v>
      </c>
      <c r="L76" s="131" t="n">
        <f aca="false">L27</f>
        <v>0</v>
      </c>
      <c r="M76" s="131" t="n">
        <f aca="false">M27</f>
        <v>0</v>
      </c>
      <c r="N76" s="131" t="n">
        <f aca="false">N27</f>
        <v>0</v>
      </c>
      <c r="O76" s="131" t="n">
        <f aca="false">O27</f>
        <v>0</v>
      </c>
      <c r="P76" s="122" t="n">
        <f aca="false">SUM(D76:O76)</f>
        <v>-134</v>
      </c>
      <c r="Q76" s="123" t="n">
        <f aca="false">SUM(D76:J76)</f>
        <v>-134</v>
      </c>
      <c r="R76" s="122" t="n">
        <f aca="false">P76-Q76</f>
        <v>0</v>
      </c>
      <c r="S76" s="96"/>
      <c r="T76" s="131" t="n">
        <f aca="false">T27</f>
        <v>0</v>
      </c>
      <c r="U76" s="131" t="n">
        <f aca="false">U27</f>
        <v>0</v>
      </c>
      <c r="V76" s="131" t="n">
        <f aca="false">V27</f>
        <v>0</v>
      </c>
      <c r="W76" s="96"/>
      <c r="X76" s="96"/>
      <c r="Y76" s="96"/>
      <c r="Z76" s="96"/>
      <c r="AA76" s="96" t="str">
        <f aca="false">A76</f>
        <v>      Unrealized (Gain) / Loss on Price Risk Mgmt Activities</v>
      </c>
      <c r="AB76" s="122" t="n">
        <f aca="false">P76</f>
        <v>-134</v>
      </c>
      <c r="AC76" s="123" t="n">
        <f aca="false">SUM(D76:L76)</f>
        <v>-134</v>
      </c>
      <c r="AD76" s="122" t="n">
        <f aca="false">AB76-AC76</f>
        <v>0</v>
      </c>
      <c r="AE76" s="96"/>
      <c r="AF76" s="122" t="n">
        <f aca="false">T76</f>
        <v>0</v>
      </c>
      <c r="AG76" s="122" t="n">
        <f aca="false">AG27</f>
        <v>0</v>
      </c>
      <c r="AH76" s="122" t="n">
        <f aca="false">AF76-AG76</f>
        <v>0</v>
      </c>
      <c r="AI76" s="96"/>
      <c r="AJ76" s="122" t="n">
        <f aca="false">AC76-AG76</f>
        <v>-134</v>
      </c>
      <c r="AK76" s="122" t="n">
        <f aca="false">AB76-AF76</f>
        <v>-134</v>
      </c>
      <c r="AL76" s="96"/>
      <c r="AM76" s="122" t="n">
        <f aca="false">AM27</f>
        <v>-128</v>
      </c>
      <c r="AN76" s="122" t="n">
        <f aca="false">AB76-AM76</f>
        <v>-6</v>
      </c>
      <c r="AO76" s="96"/>
      <c r="AP76" s="122" t="n">
        <f aca="false">AP27</f>
        <v>-128</v>
      </c>
      <c r="AQ76" s="122" t="n">
        <f aca="false">AC76-AP76</f>
        <v>-6</v>
      </c>
      <c r="AR76" s="96"/>
      <c r="AS76" s="96"/>
      <c r="AT76" s="96"/>
      <c r="AU76" s="96"/>
    </row>
    <row r="77" customFormat="false" ht="14.65" hidden="false" customHeight="false" outlineLevel="0" collapsed="false">
      <c r="A77" s="124" t="s">
        <v>488</v>
      </c>
      <c r="B77" s="96"/>
      <c r="C77" s="96"/>
      <c r="D77" s="136" t="n">
        <v>0</v>
      </c>
      <c r="E77" s="136" t="n">
        <v>0</v>
      </c>
      <c r="F77" s="136" t="n">
        <v>0</v>
      </c>
      <c r="G77" s="136" t="n">
        <v>0</v>
      </c>
      <c r="H77" s="136" t="n">
        <v>0</v>
      </c>
      <c r="I77" s="136" t="n">
        <v>0</v>
      </c>
      <c r="J77" s="136" t="n">
        <v>0</v>
      </c>
      <c r="K77" s="136" t="n">
        <v>0</v>
      </c>
      <c r="L77" s="136" t="n">
        <v>0</v>
      </c>
      <c r="M77" s="136" t="n">
        <v>0</v>
      </c>
      <c r="N77" s="136" t="n">
        <v>0</v>
      </c>
      <c r="O77" s="136" t="n">
        <v>0</v>
      </c>
      <c r="P77" s="135" t="n">
        <f aca="false">SUM(D77:O77)</f>
        <v>0</v>
      </c>
      <c r="Q77" s="136" t="n">
        <f aca="false">SUM(D77:J77)</f>
        <v>0</v>
      </c>
      <c r="R77" s="135" t="n">
        <f aca="false">P77-Q77</f>
        <v>0</v>
      </c>
      <c r="S77" s="96"/>
      <c r="T77" s="136" t="n">
        <v>0</v>
      </c>
      <c r="U77" s="136" t="n">
        <v>0</v>
      </c>
      <c r="V77" s="136" t="n">
        <v>0</v>
      </c>
      <c r="W77" s="96"/>
      <c r="X77" s="96"/>
      <c r="Y77" s="96"/>
      <c r="Z77" s="96"/>
      <c r="AA77" s="96" t="str">
        <f aca="false">A77</f>
        <v>      Oil &amp; Gas Exploration Expenses</v>
      </c>
      <c r="AB77" s="135" t="n">
        <f aca="false">P77</f>
        <v>0</v>
      </c>
      <c r="AC77" s="136" t="n">
        <f aca="false">SUM(D77:L77)</f>
        <v>0</v>
      </c>
      <c r="AD77" s="135" t="n">
        <f aca="false">AB77-AC77</f>
        <v>0</v>
      </c>
      <c r="AE77" s="96"/>
      <c r="AF77" s="135" t="n">
        <f aca="false">T77</f>
        <v>0</v>
      </c>
      <c r="AG77" s="136" t="n">
        <v>0</v>
      </c>
      <c r="AH77" s="135" t="n">
        <f aca="false">AF77-AG77</f>
        <v>0</v>
      </c>
      <c r="AI77" s="96"/>
      <c r="AJ77" s="135" t="n">
        <f aca="false">AC77-AG77</f>
        <v>0</v>
      </c>
      <c r="AK77" s="135" t="n">
        <f aca="false">AB77-AF77</f>
        <v>0</v>
      </c>
      <c r="AL77" s="96"/>
      <c r="AM77" s="136" t="n">
        <v>0</v>
      </c>
      <c r="AN77" s="135" t="n">
        <f aca="false">AB77-AM77</f>
        <v>0</v>
      </c>
      <c r="AO77" s="96"/>
      <c r="AP77" s="138" t="n">
        <v>0</v>
      </c>
      <c r="AQ77" s="135" t="n">
        <f aca="false">AC77-AP77</f>
        <v>0</v>
      </c>
      <c r="AR77" s="96"/>
      <c r="AS77" s="96"/>
      <c r="AT77" s="96"/>
      <c r="AU77" s="96"/>
    </row>
    <row r="78" customFormat="false" ht="3.95" hidden="false" customHeight="true" outlineLevel="0" collapsed="false">
      <c r="A78" s="108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3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</row>
    <row r="79" customFormat="false" ht="14.65" hidden="false" customHeight="false" outlineLevel="0" collapsed="false">
      <c r="A79" s="124" t="s">
        <v>489</v>
      </c>
      <c r="B79" s="96"/>
      <c r="C79" s="96"/>
      <c r="D79" s="122" t="n">
        <f aca="false">SUM(D71:D77)</f>
        <v>8301</v>
      </c>
      <c r="E79" s="122" t="n">
        <f aca="false">SUM(E71:E77)</f>
        <v>10219</v>
      </c>
      <c r="F79" s="122" t="n">
        <f aca="false">SUM(F71:F77)</f>
        <v>279</v>
      </c>
      <c r="G79" s="122" t="n">
        <f aca="false">SUM(G71:G77)</f>
        <v>10599</v>
      </c>
      <c r="H79" s="122" t="n">
        <f aca="false">SUM(H71:H77)</f>
        <v>9437</v>
      </c>
      <c r="I79" s="122" t="n">
        <f aca="false">SUM(I71:I77)</f>
        <v>8013</v>
      </c>
      <c r="J79" s="122" t="n">
        <f aca="false">SUM(J71:J77)</f>
        <v>8557</v>
      </c>
      <c r="K79" s="122" t="n">
        <f aca="false">SUM(K71:K77)</f>
        <v>8199</v>
      </c>
      <c r="L79" s="122" t="n">
        <f aca="false">SUM(L71:L77)</f>
        <v>19026</v>
      </c>
      <c r="M79" s="122" t="n">
        <f aca="false">SUM(M71:M77)</f>
        <v>11405</v>
      </c>
      <c r="N79" s="122" t="n">
        <f aca="false">SUM(N71:N77)</f>
        <v>7167</v>
      </c>
      <c r="O79" s="122" t="n">
        <f aca="false">SUM(O71:O77)</f>
        <v>8281</v>
      </c>
      <c r="P79" s="122" t="n">
        <f aca="false">SUM(P71:P77)</f>
        <v>109483</v>
      </c>
      <c r="Q79" s="122" t="n">
        <f aca="false">SUM(Q71:Q77)</f>
        <v>55405</v>
      </c>
      <c r="R79" s="122" t="n">
        <f aca="false">SUM(R71:R77)</f>
        <v>54078</v>
      </c>
      <c r="S79" s="96"/>
      <c r="T79" s="122" t="n">
        <f aca="false">SUM(T71:T77)</f>
        <v>95091</v>
      </c>
      <c r="U79" s="122" t="n">
        <f aca="false">SUM(U71:U77)</f>
        <v>71652</v>
      </c>
      <c r="V79" s="122" t="n">
        <f aca="false">SUM(V71:V77)</f>
        <v>23439</v>
      </c>
      <c r="W79" s="96"/>
      <c r="X79" s="96"/>
      <c r="Y79" s="96"/>
      <c r="Z79" s="96"/>
      <c r="AA79" s="96" t="str">
        <f aca="false">A79</f>
        <v>            Total Cash Flow From Operations</v>
      </c>
      <c r="AB79" s="122" t="n">
        <f aca="false">SUM(AB71:AB77)</f>
        <v>109483</v>
      </c>
      <c r="AC79" s="122" t="n">
        <f aca="false">SUM(AC71:AC77)</f>
        <v>82630</v>
      </c>
      <c r="AD79" s="122" t="n">
        <f aca="false">SUM(AD71:AD77)</f>
        <v>26853</v>
      </c>
      <c r="AE79" s="96"/>
      <c r="AF79" s="122" t="n">
        <f aca="false">SUM(AF71:AF77)</f>
        <v>95091</v>
      </c>
      <c r="AG79" s="122" t="n">
        <f aca="false">SUM(AG71:AG77)</f>
        <v>71652</v>
      </c>
      <c r="AH79" s="122" t="n">
        <f aca="false">SUM(AH71:AH77)</f>
        <v>23439</v>
      </c>
      <c r="AI79" s="96"/>
      <c r="AJ79" s="122" t="n">
        <f aca="false">SUM(AJ71:AJ77)</f>
        <v>10978</v>
      </c>
      <c r="AK79" s="122" t="n">
        <f aca="false">SUM(AK71:AK77)</f>
        <v>14392</v>
      </c>
      <c r="AL79" s="96"/>
      <c r="AM79" s="122" t="n">
        <f aca="false">SUM(AM71:AM77)</f>
        <v>109714</v>
      </c>
      <c r="AN79" s="122" t="n">
        <f aca="false">SUM(AN71:AN77)</f>
        <v>-231</v>
      </c>
      <c r="AO79" s="96"/>
      <c r="AP79" s="122" t="n">
        <f aca="false">SUM(AP71:AP77)</f>
        <v>82861</v>
      </c>
      <c r="AQ79" s="122" t="n">
        <f aca="false">SUM(AQ71:AQ77)</f>
        <v>-231</v>
      </c>
      <c r="AR79" s="96"/>
      <c r="AS79" s="96"/>
      <c r="AT79" s="96"/>
      <c r="AU79" s="96"/>
    </row>
    <row r="80" customFormat="false" ht="6" hidden="false" customHeight="true" outlineLevel="0" collapsed="false">
      <c r="A80" s="108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</row>
    <row r="81" customFormat="false" ht="14.65" hidden="false" customHeight="false" outlineLevel="0" collapsed="false">
      <c r="A81" s="124" t="s">
        <v>490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 t="str">
        <f aca="false">A81</f>
        <v>Working Capital Changes</v>
      </c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</row>
    <row r="82" customFormat="false" ht="14.65" hidden="false" customHeight="false" outlineLevel="0" collapsed="false">
      <c r="A82" s="124" t="s">
        <v>491</v>
      </c>
      <c r="B82" s="96"/>
      <c r="C82" s="96"/>
      <c r="D82" s="123" t="n">
        <v>0</v>
      </c>
      <c r="E82" s="123" t="n">
        <v>0</v>
      </c>
      <c r="F82" s="123" t="n">
        <v>0</v>
      </c>
      <c r="G82" s="123" t="n">
        <v>0</v>
      </c>
      <c r="H82" s="123" t="n">
        <v>0</v>
      </c>
      <c r="I82" s="123" t="n">
        <v>0</v>
      </c>
      <c r="J82" s="123" t="n">
        <v>0</v>
      </c>
      <c r="K82" s="123" t="n">
        <v>0</v>
      </c>
      <c r="L82" s="123" t="n">
        <v>0</v>
      </c>
      <c r="M82" s="123" t="n">
        <v>0</v>
      </c>
      <c r="N82" s="123" t="n">
        <v>0</v>
      </c>
      <c r="O82" s="123" t="n">
        <v>0</v>
      </c>
      <c r="P82" s="122" t="n">
        <f aca="false">SUM(D82:O82)</f>
        <v>0</v>
      </c>
      <c r="Q82" s="123" t="n">
        <f aca="false">SUM(D82:J82)</f>
        <v>0</v>
      </c>
      <c r="R82" s="122" t="n">
        <f aca="false">P82-Q82</f>
        <v>0</v>
      </c>
      <c r="S82" s="96"/>
      <c r="T82" s="123" t="n">
        <v>0</v>
      </c>
      <c r="U82" s="123" t="n">
        <v>0</v>
      </c>
      <c r="V82" s="123" t="n">
        <v>0</v>
      </c>
      <c r="W82" s="96"/>
      <c r="X82" s="96"/>
      <c r="Y82" s="96"/>
      <c r="Z82" s="96"/>
      <c r="AA82" s="96" t="str">
        <f aca="false">A82</f>
        <v>      Accrued Income Taxes</v>
      </c>
      <c r="AB82" s="122" t="n">
        <f aca="false">P82</f>
        <v>0</v>
      </c>
      <c r="AC82" s="123" t="n">
        <f aca="false">SUM(D82:L82)</f>
        <v>0</v>
      </c>
      <c r="AD82" s="122" t="n">
        <f aca="false">AB82-AC82</f>
        <v>0</v>
      </c>
      <c r="AE82" s="96"/>
      <c r="AF82" s="122" t="n">
        <f aca="false">T82</f>
        <v>0</v>
      </c>
      <c r="AG82" s="123" t="n">
        <v>0</v>
      </c>
      <c r="AH82" s="122" t="n">
        <f aca="false">AF82-AG82</f>
        <v>0</v>
      </c>
      <c r="AI82" s="96"/>
      <c r="AJ82" s="122" t="n">
        <f aca="false">AC82-AG82</f>
        <v>0</v>
      </c>
      <c r="AK82" s="122" t="n">
        <f aca="false">AB82-AF82</f>
        <v>0</v>
      </c>
      <c r="AL82" s="96"/>
      <c r="AM82" s="123" t="n">
        <v>0</v>
      </c>
      <c r="AN82" s="122" t="n">
        <f aca="false">AB82-AM82</f>
        <v>0</v>
      </c>
      <c r="AO82" s="96"/>
      <c r="AP82" s="123" t="n">
        <v>0</v>
      </c>
      <c r="AQ82" s="122" t="n">
        <f aca="false">AC82-AP82</f>
        <v>0</v>
      </c>
      <c r="AR82" s="96"/>
      <c r="AS82" s="96"/>
      <c r="AT82" s="96"/>
      <c r="AU82" s="96"/>
    </row>
    <row r="83" customFormat="false" ht="14.65" hidden="false" customHeight="false" outlineLevel="0" collapsed="false">
      <c r="A83" s="124" t="s">
        <v>492</v>
      </c>
      <c r="B83" s="96"/>
      <c r="C83" s="96"/>
      <c r="D83" s="123" t="n">
        <v>0</v>
      </c>
      <c r="E83" s="123" t="n">
        <v>0</v>
      </c>
      <c r="F83" s="123" t="n">
        <v>0</v>
      </c>
      <c r="G83" s="123" t="n">
        <v>0</v>
      </c>
      <c r="H83" s="123" t="n">
        <v>0</v>
      </c>
      <c r="I83" s="123" t="n">
        <v>0</v>
      </c>
      <c r="J83" s="123" t="n">
        <v>0</v>
      </c>
      <c r="K83" s="123" t="n">
        <v>0</v>
      </c>
      <c r="L83" s="123" t="n">
        <v>0</v>
      </c>
      <c r="M83" s="123" t="n">
        <v>0</v>
      </c>
      <c r="N83" s="123" t="n">
        <v>0</v>
      </c>
      <c r="O83" s="123" t="n">
        <v>0</v>
      </c>
      <c r="P83" s="122" t="n">
        <f aca="false">SUM(D83:O83)</f>
        <v>0</v>
      </c>
      <c r="Q83" s="123" t="n">
        <f aca="false">SUM(D83:J83)</f>
        <v>0</v>
      </c>
      <c r="R83" s="122" t="n">
        <f aca="false">P83-Q83</f>
        <v>0</v>
      </c>
      <c r="S83" s="96"/>
      <c r="T83" s="123" t="n">
        <v>0</v>
      </c>
      <c r="U83" s="123" t="n">
        <v>0</v>
      </c>
      <c r="V83" s="123" t="n">
        <v>0</v>
      </c>
      <c r="W83" s="96"/>
      <c r="X83" s="96"/>
      <c r="Y83" s="96"/>
      <c r="Z83" s="96"/>
      <c r="AA83" s="96" t="str">
        <f aca="false">A83</f>
        <v>      Tax Refunds / Payments</v>
      </c>
      <c r="AB83" s="122" t="n">
        <f aca="false">P83</f>
        <v>0</v>
      </c>
      <c r="AC83" s="123" t="n">
        <f aca="false">SUM(D83:L83)</f>
        <v>0</v>
      </c>
      <c r="AD83" s="122" t="n">
        <f aca="false">AB83-AC83</f>
        <v>0</v>
      </c>
      <c r="AE83" s="96"/>
      <c r="AF83" s="122" t="n">
        <f aca="false">T83</f>
        <v>0</v>
      </c>
      <c r="AG83" s="123" t="n">
        <v>0</v>
      </c>
      <c r="AH83" s="122" t="n">
        <f aca="false">AF83-AG83</f>
        <v>0</v>
      </c>
      <c r="AI83" s="96"/>
      <c r="AJ83" s="122" t="n">
        <f aca="false">AC83-AG83</f>
        <v>0</v>
      </c>
      <c r="AK83" s="122" t="n">
        <f aca="false">AB83-AF83</f>
        <v>0</v>
      </c>
      <c r="AL83" s="96"/>
      <c r="AM83" s="123" t="n">
        <v>0</v>
      </c>
      <c r="AN83" s="122" t="n">
        <f aca="false">AB83-AM83</f>
        <v>0</v>
      </c>
      <c r="AO83" s="96"/>
      <c r="AP83" s="123" t="n">
        <v>0</v>
      </c>
      <c r="AQ83" s="122" t="n">
        <f aca="false">AC83-AP83</f>
        <v>0</v>
      </c>
      <c r="AR83" s="96"/>
      <c r="AS83" s="96"/>
      <c r="AT83" s="96"/>
      <c r="AU83" s="96"/>
    </row>
    <row r="84" customFormat="false" ht="14.65" hidden="false" customHeight="false" outlineLevel="0" collapsed="false">
      <c r="A84" s="124" t="s">
        <v>493</v>
      </c>
      <c r="B84" s="96"/>
      <c r="C84" s="96"/>
      <c r="D84" s="122" t="n">
        <f aca="false">SUM(D16:D23)+D24+D25</f>
        <v>2341</v>
      </c>
      <c r="E84" s="122" t="n">
        <f aca="false">SUM(E16:E23)+E24+E25</f>
        <v>-317</v>
      </c>
      <c r="F84" s="122" t="n">
        <f aca="false">SUM(F16:F23)+F24+F25</f>
        <v>3107</v>
      </c>
      <c r="G84" s="122" t="n">
        <f aca="false">SUM(G16:G23)+G24+G25</f>
        <v>-14721</v>
      </c>
      <c r="H84" s="122" t="n">
        <f aca="false">SUM(H16:H23)+H24+H25</f>
        <v>-2413</v>
      </c>
      <c r="I84" s="122" t="n">
        <f aca="false">SUM(I16:I23)+I24+I25</f>
        <v>13572</v>
      </c>
      <c r="J84" s="122" t="n">
        <f aca="false">SUM(J16:J23)+J24+J25</f>
        <v>-11643</v>
      </c>
      <c r="K84" s="122" t="n">
        <f aca="false">SUM(K16:K23)+K24+K25</f>
        <v>244</v>
      </c>
      <c r="L84" s="122" t="n">
        <f aca="false">SUM(L16:L23)+L24+L25</f>
        <v>4500</v>
      </c>
      <c r="M84" s="122" t="n">
        <f aca="false">SUM(M16:M23)+M24+M25</f>
        <v>-2859</v>
      </c>
      <c r="N84" s="122" t="n">
        <f aca="false">SUM(N16:N23)+N24+N25</f>
        <v>2463</v>
      </c>
      <c r="O84" s="122" t="n">
        <f aca="false">SUM(O16:O23)+O24+O25</f>
        <v>-1769</v>
      </c>
      <c r="P84" s="122" t="n">
        <f aca="false">SUM(D84:O84)</f>
        <v>-7495</v>
      </c>
      <c r="Q84" s="123" t="n">
        <f aca="false">SUM(D84:J84)</f>
        <v>-10074</v>
      </c>
      <c r="R84" s="122" t="n">
        <f aca="false">P84-Q84</f>
        <v>2579</v>
      </c>
      <c r="S84" s="96"/>
      <c r="T84" s="122" t="n">
        <f aca="false">SUM(T16:T23)+T24+T25</f>
        <v>-7196</v>
      </c>
      <c r="U84" s="122" t="n">
        <f aca="false">SUM(U16:U23)+U24+U25</f>
        <v>-3872</v>
      </c>
      <c r="V84" s="122" t="n">
        <f aca="false">SUM(V16:V23)+V24+V25</f>
        <v>-3324</v>
      </c>
      <c r="W84" s="96"/>
      <c r="X84" s="96"/>
      <c r="Y84" s="96"/>
      <c r="Z84" s="96"/>
      <c r="AA84" s="96" t="str">
        <f aca="false">A84</f>
        <v>      Others, Net </v>
      </c>
      <c r="AB84" s="122" t="n">
        <f aca="false">P84</f>
        <v>-7495</v>
      </c>
      <c r="AC84" s="123" t="n">
        <f aca="false">SUM(D84:L84)</f>
        <v>-5330</v>
      </c>
      <c r="AD84" s="122" t="n">
        <f aca="false">AB84-AC84</f>
        <v>-2165</v>
      </c>
      <c r="AE84" s="96"/>
      <c r="AF84" s="122" t="n">
        <f aca="false">T84</f>
        <v>-7196</v>
      </c>
      <c r="AG84" s="122" t="n">
        <f aca="false">SUM(AG16:AG23)+AG24+AG25</f>
        <v>-3872</v>
      </c>
      <c r="AH84" s="122" t="n">
        <f aca="false">AF84-AG84</f>
        <v>-3324</v>
      </c>
      <c r="AI84" s="96"/>
      <c r="AJ84" s="122" t="n">
        <f aca="false">AC84-AG84</f>
        <v>-1458</v>
      </c>
      <c r="AK84" s="122" t="n">
        <f aca="false">AB84-AF84</f>
        <v>-299</v>
      </c>
      <c r="AL84" s="96"/>
      <c r="AM84" s="122" t="n">
        <f aca="false">SUM(AM16:AM23)+AM24+AM25</f>
        <v>-11588</v>
      </c>
      <c r="AN84" s="122" t="n">
        <f aca="false">AB84-AM84</f>
        <v>4093</v>
      </c>
      <c r="AO84" s="96"/>
      <c r="AP84" s="122" t="n">
        <f aca="false">SUM(AP16:AP23)+AP24+AP25</f>
        <v>-6944</v>
      </c>
      <c r="AQ84" s="122" t="n">
        <f aca="false">AC84-AP84</f>
        <v>1614</v>
      </c>
      <c r="AR84" s="96"/>
      <c r="AS84" s="96"/>
      <c r="AT84" s="96"/>
      <c r="AU84" s="96"/>
    </row>
    <row r="85" customFormat="false" ht="14.65" hidden="false" customHeight="false" outlineLevel="0" collapsed="false">
      <c r="A85" s="124" t="s">
        <v>494</v>
      </c>
      <c r="B85" s="96"/>
      <c r="C85" s="96"/>
      <c r="D85" s="122" t="n">
        <f aca="false">D28</f>
        <v>-0</v>
      </c>
      <c r="E85" s="122" t="n">
        <f aca="false">E28</f>
        <v>-0</v>
      </c>
      <c r="F85" s="122" t="n">
        <f aca="false">F28</f>
        <v>-0</v>
      </c>
      <c r="G85" s="122" t="n">
        <f aca="false">G28</f>
        <v>-0</v>
      </c>
      <c r="H85" s="122" t="n">
        <f aca="false">H28</f>
        <v>-0</v>
      </c>
      <c r="I85" s="122" t="n">
        <f aca="false">I28</f>
        <v>-0</v>
      </c>
      <c r="J85" s="122" t="n">
        <f aca="false">J28</f>
        <v>-0</v>
      </c>
      <c r="K85" s="122" t="n">
        <f aca="false">K28</f>
        <v>-0</v>
      </c>
      <c r="L85" s="122" t="n">
        <f aca="false">L28</f>
        <v>-0</v>
      </c>
      <c r="M85" s="122" t="n">
        <f aca="false">M28</f>
        <v>-0</v>
      </c>
      <c r="N85" s="122" t="n">
        <f aca="false">N28</f>
        <v>-0</v>
      </c>
      <c r="O85" s="122" t="n">
        <f aca="false">O28</f>
        <v>-0</v>
      </c>
      <c r="P85" s="122" t="n">
        <f aca="false">SUM(D85:O85)</f>
        <v>0</v>
      </c>
      <c r="Q85" s="123" t="n">
        <f aca="false">SUM(D85:J85)</f>
        <v>0</v>
      </c>
      <c r="R85" s="122" t="n">
        <f aca="false">P85-Q85</f>
        <v>0</v>
      </c>
      <c r="S85" s="96"/>
      <c r="T85" s="122" t="n">
        <f aca="false">T28</f>
        <v>0</v>
      </c>
      <c r="U85" s="122" t="n">
        <f aca="false">U28</f>
        <v>0</v>
      </c>
      <c r="V85" s="122" t="n">
        <f aca="false">V28</f>
        <v>0</v>
      </c>
      <c r="W85" s="96"/>
      <c r="X85" s="96"/>
      <c r="Y85" s="96"/>
      <c r="Z85" s="96"/>
      <c r="AA85" s="96" t="str">
        <f aca="false">A85</f>
        <v>Equity Earnings</v>
      </c>
      <c r="AB85" s="122" t="n">
        <f aca="false">P85</f>
        <v>0</v>
      </c>
      <c r="AC85" s="123" t="n">
        <f aca="false">SUM(D85:L85)</f>
        <v>0</v>
      </c>
      <c r="AD85" s="122" t="n">
        <f aca="false">AB85-AC85</f>
        <v>0</v>
      </c>
      <c r="AE85" s="96"/>
      <c r="AF85" s="122" t="n">
        <f aca="false">T85</f>
        <v>0</v>
      </c>
      <c r="AG85" s="122" t="n">
        <f aca="false">AG28</f>
        <v>0</v>
      </c>
      <c r="AH85" s="122" t="n">
        <f aca="false">AF85-AG85</f>
        <v>0</v>
      </c>
      <c r="AI85" s="96"/>
      <c r="AJ85" s="122" t="n">
        <f aca="false">AC85-AG85</f>
        <v>0</v>
      </c>
      <c r="AK85" s="122" t="n">
        <f aca="false">AB85-AF85</f>
        <v>0</v>
      </c>
      <c r="AL85" s="96"/>
      <c r="AM85" s="122" t="n">
        <f aca="false">AM28</f>
        <v>0</v>
      </c>
      <c r="AN85" s="122" t="n">
        <f aca="false">AB85-AM85</f>
        <v>0</v>
      </c>
      <c r="AO85" s="96"/>
      <c r="AP85" s="122" t="n">
        <f aca="false">AP28</f>
        <v>0</v>
      </c>
      <c r="AQ85" s="122" t="n">
        <f aca="false">AC85-AP85</f>
        <v>0</v>
      </c>
      <c r="AR85" s="96"/>
      <c r="AS85" s="96"/>
      <c r="AT85" s="96"/>
      <c r="AU85" s="96"/>
    </row>
    <row r="86" customFormat="false" ht="14.65" hidden="false" customHeight="false" outlineLevel="0" collapsed="false">
      <c r="A86" s="124" t="s">
        <v>495</v>
      </c>
      <c r="B86" s="96"/>
      <c r="C86" s="96"/>
      <c r="D86" s="122" t="n">
        <f aca="false">D29</f>
        <v>-0</v>
      </c>
      <c r="E86" s="122" t="n">
        <f aca="false">E29</f>
        <v>-0</v>
      </c>
      <c r="F86" s="122" t="n">
        <f aca="false">F29</f>
        <v>-0</v>
      </c>
      <c r="G86" s="122" t="n">
        <f aca="false">G29</f>
        <v>-0</v>
      </c>
      <c r="H86" s="122" t="n">
        <f aca="false">H29</f>
        <v>-0</v>
      </c>
      <c r="I86" s="122" t="n">
        <f aca="false">I29</f>
        <v>-0</v>
      </c>
      <c r="J86" s="122" t="n">
        <f aca="false">J29</f>
        <v>-0</v>
      </c>
      <c r="K86" s="122" t="n">
        <f aca="false">K29</f>
        <v>-0</v>
      </c>
      <c r="L86" s="122" t="n">
        <f aca="false">L29</f>
        <v>-0</v>
      </c>
      <c r="M86" s="122" t="n">
        <f aca="false">M29</f>
        <v>-0</v>
      </c>
      <c r="N86" s="122" t="n">
        <f aca="false">N29</f>
        <v>-0</v>
      </c>
      <c r="O86" s="122" t="n">
        <f aca="false">O29</f>
        <v>-0</v>
      </c>
      <c r="P86" s="122" t="n">
        <f aca="false">SUM(D86:O86)</f>
        <v>0</v>
      </c>
      <c r="Q86" s="123" t="n">
        <f aca="false">SUM(D86:J86)</f>
        <v>0</v>
      </c>
      <c r="R86" s="122" t="n">
        <f aca="false">P86-Q86</f>
        <v>0</v>
      </c>
      <c r="S86" s="96"/>
      <c r="T86" s="122" t="n">
        <f aca="false">T29</f>
        <v>0</v>
      </c>
      <c r="U86" s="122" t="n">
        <f aca="false">U29</f>
        <v>0</v>
      </c>
      <c r="V86" s="122" t="n">
        <f aca="false">V29</f>
        <v>0</v>
      </c>
      <c r="W86" s="96"/>
      <c r="X86" s="96"/>
      <c r="Y86" s="96"/>
      <c r="Z86" s="96"/>
      <c r="AA86" s="96" t="str">
        <f aca="false">A86</f>
        <v>Equity / Partnership Distributions</v>
      </c>
      <c r="AB86" s="122" t="n">
        <f aca="false">P86</f>
        <v>0</v>
      </c>
      <c r="AC86" s="123" t="n">
        <f aca="false">SUM(D86:L86)</f>
        <v>0</v>
      </c>
      <c r="AD86" s="122" t="n">
        <f aca="false">AB86-AC86</f>
        <v>0</v>
      </c>
      <c r="AE86" s="96"/>
      <c r="AF86" s="122" t="n">
        <f aca="false">T86</f>
        <v>0</v>
      </c>
      <c r="AG86" s="122" t="n">
        <f aca="false">AG29</f>
        <v>0</v>
      </c>
      <c r="AH86" s="122" t="n">
        <f aca="false">AF86-AG86</f>
        <v>0</v>
      </c>
      <c r="AI86" s="96"/>
      <c r="AJ86" s="122" t="n">
        <f aca="false">AC86-AG86</f>
        <v>0</v>
      </c>
      <c r="AK86" s="122" t="n">
        <f aca="false">AB86-AF86</f>
        <v>0</v>
      </c>
      <c r="AL86" s="96"/>
      <c r="AM86" s="122" t="n">
        <f aca="false">AM29</f>
        <v>0</v>
      </c>
      <c r="AN86" s="122" t="n">
        <f aca="false">AB86-AM86</f>
        <v>0</v>
      </c>
      <c r="AO86" s="96"/>
      <c r="AP86" s="122" t="n">
        <f aca="false">AP29</f>
        <v>0</v>
      </c>
      <c r="AQ86" s="122" t="n">
        <f aca="false">AC86-AP86</f>
        <v>0</v>
      </c>
      <c r="AR86" s="96"/>
      <c r="AS86" s="96"/>
      <c r="AT86" s="96"/>
      <c r="AU86" s="96"/>
    </row>
    <row r="87" customFormat="false" ht="14.65" hidden="false" customHeight="false" outlineLevel="0" collapsed="false">
      <c r="A87" s="124" t="s">
        <v>496</v>
      </c>
      <c r="B87" s="96"/>
      <c r="C87" s="96"/>
      <c r="D87" s="122" t="n">
        <f aca="false">D37</f>
        <v>0</v>
      </c>
      <c r="E87" s="122" t="n">
        <f aca="false">E37</f>
        <v>0</v>
      </c>
      <c r="F87" s="122" t="n">
        <f aca="false">F37</f>
        <v>0</v>
      </c>
      <c r="G87" s="122" t="n">
        <f aca="false">G37</f>
        <v>0</v>
      </c>
      <c r="H87" s="122" t="n">
        <f aca="false">H37</f>
        <v>0</v>
      </c>
      <c r="I87" s="122" t="n">
        <f aca="false">I37</f>
        <v>0</v>
      </c>
      <c r="J87" s="122" t="n">
        <f aca="false">J37</f>
        <v>18</v>
      </c>
      <c r="K87" s="122" t="n">
        <f aca="false">K37</f>
        <v>0</v>
      </c>
      <c r="L87" s="122" t="n">
        <f aca="false">L37</f>
        <v>0</v>
      </c>
      <c r="M87" s="122" t="n">
        <f aca="false">M37</f>
        <v>0</v>
      </c>
      <c r="N87" s="122" t="n">
        <f aca="false">N37</f>
        <v>0</v>
      </c>
      <c r="O87" s="122" t="n">
        <f aca="false">O37</f>
        <v>0</v>
      </c>
      <c r="P87" s="122" t="n">
        <f aca="false">SUM(D87:O87)</f>
        <v>18</v>
      </c>
      <c r="Q87" s="123" t="n">
        <f aca="false">SUM(D87:J87)</f>
        <v>18</v>
      </c>
      <c r="R87" s="122" t="n">
        <f aca="false">P87-Q87</f>
        <v>0</v>
      </c>
      <c r="S87" s="96"/>
      <c r="T87" s="122" t="n">
        <f aca="false">T37</f>
        <v>0</v>
      </c>
      <c r="U87" s="122" t="n">
        <f aca="false">U37</f>
        <v>0</v>
      </c>
      <c r="V87" s="122" t="n">
        <f aca="false">V37</f>
        <v>0</v>
      </c>
      <c r="W87" s="96"/>
      <c r="X87" s="96"/>
      <c r="Y87" s="96"/>
      <c r="Z87" s="96"/>
      <c r="AA87" s="96" t="str">
        <f aca="false">A87</f>
        <v>Proceeds from Sale of Investments</v>
      </c>
      <c r="AB87" s="122" t="n">
        <f aca="false">P87</f>
        <v>18</v>
      </c>
      <c r="AC87" s="123" t="n">
        <f aca="false">SUM(D87:L87)</f>
        <v>18</v>
      </c>
      <c r="AD87" s="122" t="n">
        <f aca="false">AB87-AC87</f>
        <v>0</v>
      </c>
      <c r="AE87" s="96"/>
      <c r="AF87" s="122" t="n">
        <f aca="false">T87</f>
        <v>0</v>
      </c>
      <c r="AG87" s="122" t="n">
        <f aca="false">AG37</f>
        <v>0</v>
      </c>
      <c r="AH87" s="122" t="n">
        <f aca="false">AF87-AG87</f>
        <v>0</v>
      </c>
      <c r="AI87" s="96"/>
      <c r="AJ87" s="122" t="n">
        <f aca="false">AC87-AG87</f>
        <v>18</v>
      </c>
      <c r="AK87" s="122" t="n">
        <f aca="false">AB87-AF87</f>
        <v>18</v>
      </c>
      <c r="AL87" s="96"/>
      <c r="AM87" s="122" t="n">
        <f aca="false">AM37</f>
        <v>0</v>
      </c>
      <c r="AN87" s="122" t="n">
        <f aca="false">AB87-AM87</f>
        <v>18</v>
      </c>
      <c r="AO87" s="96"/>
      <c r="AP87" s="122" t="n">
        <f aca="false">AP37</f>
        <v>0</v>
      </c>
      <c r="AQ87" s="122" t="n">
        <f aca="false">AC87-AP87</f>
        <v>18</v>
      </c>
      <c r="AR87" s="96"/>
      <c r="AS87" s="96"/>
      <c r="AT87" s="96"/>
      <c r="AU87" s="96"/>
    </row>
    <row r="88" customFormat="false" ht="14.65" hidden="false" customHeight="false" outlineLevel="0" collapsed="false">
      <c r="A88" s="124" t="s">
        <v>497</v>
      </c>
      <c r="B88" s="96"/>
      <c r="C88" s="96"/>
      <c r="D88" s="122" t="n">
        <f aca="false">D38+D39</f>
        <v>-435</v>
      </c>
      <c r="E88" s="122" t="n">
        <f aca="false">E38+E39</f>
        <v>620</v>
      </c>
      <c r="F88" s="122" t="n">
        <f aca="false">F38+F39</f>
        <v>-889</v>
      </c>
      <c r="G88" s="122" t="n">
        <f aca="false">G38+G39</f>
        <v>-2785</v>
      </c>
      <c r="H88" s="122" t="n">
        <f aca="false">H38+H39</f>
        <v>-15951</v>
      </c>
      <c r="I88" s="122" t="n">
        <f aca="false">I38+I39</f>
        <v>-3456</v>
      </c>
      <c r="J88" s="122" t="n">
        <f aca="false">J38+J39</f>
        <v>-1081</v>
      </c>
      <c r="K88" s="122" t="n">
        <f aca="false">K38+K39</f>
        <v>-1900</v>
      </c>
      <c r="L88" s="122" t="n">
        <f aca="false">L38+L39</f>
        <v>-13043</v>
      </c>
      <c r="M88" s="122" t="n">
        <f aca="false">M38+M39</f>
        <v>-5817</v>
      </c>
      <c r="N88" s="122" t="n">
        <f aca="false">N38+N39</f>
        <v>-11852</v>
      </c>
      <c r="O88" s="122" t="n">
        <f aca="false">O38+O39</f>
        <v>-11548</v>
      </c>
      <c r="P88" s="122" t="n">
        <f aca="false">SUM(D88:O88)</f>
        <v>-68137</v>
      </c>
      <c r="Q88" s="123" t="n">
        <f aca="false">SUM(D88:J88)</f>
        <v>-23977</v>
      </c>
      <c r="R88" s="122" t="n">
        <f aca="false">P88-Q88</f>
        <v>-44160</v>
      </c>
      <c r="S88" s="96"/>
      <c r="T88" s="122" t="n">
        <f aca="false">T38+T39</f>
        <v>-47600</v>
      </c>
      <c r="U88" s="122" t="n">
        <f aca="false">U38+U39</f>
        <v>-40100</v>
      </c>
      <c r="V88" s="122" t="n">
        <f aca="false">V38+V39</f>
        <v>-7500</v>
      </c>
      <c r="W88" s="96"/>
      <c r="X88" s="96"/>
      <c r="Y88" s="96"/>
      <c r="Z88" s="96"/>
      <c r="AA88" s="96" t="str">
        <f aca="false">A88</f>
        <v>Capital Expenditures (Excluding Interco. Transactions)</v>
      </c>
      <c r="AB88" s="122" t="n">
        <f aca="false">P88</f>
        <v>-68137</v>
      </c>
      <c r="AC88" s="123" t="n">
        <f aca="false">SUM(D88:L88)</f>
        <v>-38920</v>
      </c>
      <c r="AD88" s="122" t="n">
        <f aca="false">AB88-AC88</f>
        <v>-29217</v>
      </c>
      <c r="AE88" s="96"/>
      <c r="AF88" s="122" t="n">
        <f aca="false">T88</f>
        <v>-47600</v>
      </c>
      <c r="AG88" s="122" t="n">
        <f aca="false">AG38+AG39</f>
        <v>-40100</v>
      </c>
      <c r="AH88" s="122" t="n">
        <f aca="false">AF88-AG88</f>
        <v>-7500</v>
      </c>
      <c r="AI88" s="96"/>
      <c r="AJ88" s="122" t="n">
        <f aca="false">AC88-AG88</f>
        <v>1180</v>
      </c>
      <c r="AK88" s="122" t="n">
        <f aca="false">AB88-AF88</f>
        <v>-20537</v>
      </c>
      <c r="AL88" s="96"/>
      <c r="AM88" s="122" t="n">
        <f aca="false">AM38+AM39</f>
        <v>-88804</v>
      </c>
      <c r="AN88" s="122" t="n">
        <f aca="false">AB88-AM88</f>
        <v>20667</v>
      </c>
      <c r="AO88" s="96"/>
      <c r="AP88" s="122" t="n">
        <f aca="false">AP38+AP39</f>
        <v>-53079</v>
      </c>
      <c r="AQ88" s="122" t="n">
        <f aca="false">AC88-AP88</f>
        <v>14159</v>
      </c>
      <c r="AR88" s="96"/>
      <c r="AS88" s="96"/>
      <c r="AT88" s="96"/>
      <c r="AU88" s="96"/>
    </row>
    <row r="89" customFormat="false" ht="14.65" hidden="false" customHeight="false" outlineLevel="0" collapsed="false">
      <c r="A89" s="124" t="s">
        <v>498</v>
      </c>
      <c r="B89" s="96"/>
      <c r="C89" s="96"/>
      <c r="D89" s="123" t="n">
        <v>0</v>
      </c>
      <c r="E89" s="123" t="n">
        <v>0</v>
      </c>
      <c r="F89" s="123" t="n">
        <v>0</v>
      </c>
      <c r="G89" s="123" t="n">
        <v>0</v>
      </c>
      <c r="H89" s="123" t="n">
        <v>0</v>
      </c>
      <c r="I89" s="123" t="n">
        <v>0</v>
      </c>
      <c r="J89" s="123" t="n">
        <v>0</v>
      </c>
      <c r="K89" s="123" t="n">
        <v>0</v>
      </c>
      <c r="L89" s="123" t="n">
        <v>0</v>
      </c>
      <c r="M89" s="123" t="n">
        <v>0</v>
      </c>
      <c r="N89" s="123" t="n">
        <v>0</v>
      </c>
      <c r="O89" s="123" t="n">
        <v>0</v>
      </c>
      <c r="P89" s="122" t="n">
        <f aca="false">SUM(D89:O89)</f>
        <v>0</v>
      </c>
      <c r="Q89" s="123" t="n">
        <f aca="false">SUM(D89:J89)</f>
        <v>0</v>
      </c>
      <c r="R89" s="122" t="n">
        <f aca="false">P89-Q89</f>
        <v>0</v>
      </c>
      <c r="S89" s="96"/>
      <c r="T89" s="123" t="n">
        <v>0</v>
      </c>
      <c r="U89" s="123" t="n">
        <v>0</v>
      </c>
      <c r="V89" s="123" t="n">
        <v>0</v>
      </c>
      <c r="W89" s="96"/>
      <c r="X89" s="96"/>
      <c r="Y89" s="96"/>
      <c r="Z89" s="96"/>
      <c r="AA89" s="96" t="str">
        <f aca="false">A89</f>
        <v>Equity Investments</v>
      </c>
      <c r="AB89" s="122" t="n">
        <f aca="false">P89</f>
        <v>0</v>
      </c>
      <c r="AC89" s="123" t="n">
        <f aca="false">SUM(D89:L89)</f>
        <v>0</v>
      </c>
      <c r="AD89" s="122" t="n">
        <f aca="false">AB89-AC89</f>
        <v>0</v>
      </c>
      <c r="AE89" s="96"/>
      <c r="AF89" s="122" t="n">
        <f aca="false">T89</f>
        <v>0</v>
      </c>
      <c r="AG89" s="123" t="n">
        <v>0</v>
      </c>
      <c r="AH89" s="122" t="n">
        <f aca="false">AF89-AG89</f>
        <v>0</v>
      </c>
      <c r="AI89" s="96"/>
      <c r="AJ89" s="122" t="n">
        <f aca="false">AC89-AG89</f>
        <v>0</v>
      </c>
      <c r="AK89" s="122" t="n">
        <f aca="false">AB89-AF89</f>
        <v>0</v>
      </c>
      <c r="AL89" s="96"/>
      <c r="AM89" s="123" t="n">
        <v>0</v>
      </c>
      <c r="AN89" s="122" t="n">
        <f aca="false">AB89-AM89</f>
        <v>0</v>
      </c>
      <c r="AO89" s="96"/>
      <c r="AP89" s="123" t="n">
        <v>0</v>
      </c>
      <c r="AQ89" s="122" t="n">
        <f aca="false">AC89-AP89</f>
        <v>0</v>
      </c>
      <c r="AR89" s="96"/>
      <c r="AS89" s="96"/>
      <c r="AT89" s="96"/>
      <c r="AU89" s="96"/>
    </row>
    <row r="90" customFormat="false" ht="14.65" hidden="false" customHeight="false" outlineLevel="0" collapsed="false">
      <c r="A90" s="124" t="s">
        <v>499</v>
      </c>
      <c r="B90" s="96"/>
      <c r="C90" s="96"/>
      <c r="D90" s="135" t="n">
        <f aca="false">SUM(D30:D32)+D40+D41</f>
        <v>416</v>
      </c>
      <c r="E90" s="135" t="n">
        <f aca="false">SUM(E30:E32)+E40+E41</f>
        <v>-167</v>
      </c>
      <c r="F90" s="135" t="n">
        <f aca="false">SUM(F30:F32)+F40+F41</f>
        <v>12177</v>
      </c>
      <c r="G90" s="135" t="n">
        <f aca="false">SUM(G30:G32)+G40+G41</f>
        <v>921</v>
      </c>
      <c r="H90" s="135" t="n">
        <f aca="false">SUM(H30:H32)+H40+H41</f>
        <v>-532</v>
      </c>
      <c r="I90" s="135" t="n">
        <f aca="false">SUM(I30:I32)+I40+I41</f>
        <v>344</v>
      </c>
      <c r="J90" s="135" t="n">
        <f aca="false">SUM(J30:J32)+J40+J41</f>
        <v>92</v>
      </c>
      <c r="K90" s="135" t="n">
        <f aca="false">SUM(K30:K32)+K40+K41</f>
        <v>387</v>
      </c>
      <c r="L90" s="135" t="n">
        <f aca="false">SUM(L30:L32)+L40+L41</f>
        <v>-11895</v>
      </c>
      <c r="M90" s="135" t="n">
        <f aca="false">SUM(M30:M32)+M40+M41</f>
        <v>393</v>
      </c>
      <c r="N90" s="135" t="n">
        <f aca="false">SUM(N30:N32)+N40+N41</f>
        <v>385</v>
      </c>
      <c r="O90" s="135" t="n">
        <f aca="false">SUM(O30:O32)+O40+O41</f>
        <v>-112</v>
      </c>
      <c r="P90" s="135" t="n">
        <f aca="false">SUM(D90:O90)</f>
        <v>2409</v>
      </c>
      <c r="Q90" s="136" t="n">
        <f aca="false">SUM(D90:J90)</f>
        <v>13251</v>
      </c>
      <c r="R90" s="135" t="n">
        <f aca="false">P90-Q90</f>
        <v>-10842</v>
      </c>
      <c r="S90" s="96"/>
      <c r="T90" s="135" t="n">
        <f aca="false">SUM(T30:T32)+T40+T41</f>
        <v>-5955</v>
      </c>
      <c r="U90" s="135" t="n">
        <f aca="false">SUM(U30:U32)+U40+U41</f>
        <v>-4080</v>
      </c>
      <c r="V90" s="135" t="n">
        <f aca="false">SUM(V30:V32)+V40+V41</f>
        <v>-1875</v>
      </c>
      <c r="W90" s="96"/>
      <c r="X90" s="96"/>
      <c r="Y90" s="96"/>
      <c r="Z90" s="96"/>
      <c r="AA90" s="96" t="str">
        <f aca="false">A90</f>
        <v>Others, Net </v>
      </c>
      <c r="AB90" s="135" t="n">
        <f aca="false">P90</f>
        <v>2409</v>
      </c>
      <c r="AC90" s="136" t="n">
        <f aca="false">SUM(D90:L90)</f>
        <v>1743</v>
      </c>
      <c r="AD90" s="135" t="n">
        <f aca="false">AB90-AC90</f>
        <v>666</v>
      </c>
      <c r="AE90" s="96"/>
      <c r="AF90" s="135" t="n">
        <f aca="false">T90</f>
        <v>-5955</v>
      </c>
      <c r="AG90" s="135" t="n">
        <f aca="false">SUM(AG30:AG32)+AG40+AG41</f>
        <v>-4080</v>
      </c>
      <c r="AH90" s="135" t="n">
        <f aca="false">AF90-AG90</f>
        <v>-1875</v>
      </c>
      <c r="AI90" s="96"/>
      <c r="AJ90" s="135" t="n">
        <f aca="false">AC90-AG90</f>
        <v>5823</v>
      </c>
      <c r="AK90" s="135" t="n">
        <f aca="false">AB90-AF90</f>
        <v>8364</v>
      </c>
      <c r="AL90" s="96"/>
      <c r="AM90" s="135" t="n">
        <f aca="false">SUM(AM30:AM32)+AM40+AM41</f>
        <v>2710</v>
      </c>
      <c r="AN90" s="135" t="n">
        <f aca="false">AB90-AM90</f>
        <v>-301</v>
      </c>
      <c r="AO90" s="96"/>
      <c r="AP90" s="135" t="n">
        <f aca="false">SUM(AP30:AP32)+AP40+AP41</f>
        <v>2044</v>
      </c>
      <c r="AQ90" s="135" t="n">
        <f aca="false">AC90-AP90</f>
        <v>-301</v>
      </c>
      <c r="AR90" s="96"/>
      <c r="AS90" s="96"/>
      <c r="AT90" s="96"/>
      <c r="AU90" s="96"/>
    </row>
    <row r="91" customFormat="false" ht="6" hidden="false" customHeight="true" outlineLevel="0" collapsed="false">
      <c r="A91" s="108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</row>
    <row r="92" customFormat="false" ht="14.65" hidden="false" customHeight="false" outlineLevel="0" collapsed="false">
      <c r="A92" s="121" t="s">
        <v>500</v>
      </c>
      <c r="B92" s="96"/>
      <c r="C92" s="96"/>
      <c r="D92" s="145" t="n">
        <f aca="false">SUM(D79:D90)</f>
        <v>10623</v>
      </c>
      <c r="E92" s="145" t="n">
        <f aca="false">SUM(E79:E90)</f>
        <v>10355</v>
      </c>
      <c r="F92" s="145" t="n">
        <f aca="false">SUM(F79:F90)</f>
        <v>14674</v>
      </c>
      <c r="G92" s="145" t="n">
        <f aca="false">SUM(G79:G90)</f>
        <v>-5986</v>
      </c>
      <c r="H92" s="145" t="n">
        <f aca="false">SUM(H79:H90)</f>
        <v>-9459</v>
      </c>
      <c r="I92" s="145" t="n">
        <f aca="false">SUM(I79:I90)</f>
        <v>18473</v>
      </c>
      <c r="J92" s="145" t="n">
        <f aca="false">SUM(J79:J90)</f>
        <v>-4057</v>
      </c>
      <c r="K92" s="145" t="n">
        <f aca="false">SUM(K79:K90)</f>
        <v>6930</v>
      </c>
      <c r="L92" s="145" t="n">
        <f aca="false">SUM(L79:L90)</f>
        <v>-1412</v>
      </c>
      <c r="M92" s="145" t="n">
        <f aca="false">SUM(M79:M90)</f>
        <v>3122</v>
      </c>
      <c r="N92" s="145" t="n">
        <f aca="false">SUM(N79:N90)</f>
        <v>-1837</v>
      </c>
      <c r="O92" s="145" t="n">
        <f aca="false">SUM(O79:O90)</f>
        <v>-5148</v>
      </c>
      <c r="P92" s="145" t="n">
        <f aca="false">SUM(P79:P90)</f>
        <v>36278</v>
      </c>
      <c r="Q92" s="145" t="n">
        <f aca="false">SUM(Q79:Q90)</f>
        <v>34623</v>
      </c>
      <c r="R92" s="145" t="n">
        <f aca="false">SUM(R79:R90)</f>
        <v>1655</v>
      </c>
      <c r="S92" s="96"/>
      <c r="T92" s="145" t="n">
        <f aca="false">SUM(T79:T90)</f>
        <v>34340</v>
      </c>
      <c r="U92" s="145" t="n">
        <f aca="false">SUM(U79:U90)</f>
        <v>23600</v>
      </c>
      <c r="V92" s="145" t="n">
        <f aca="false">SUM(V79:V90)</f>
        <v>10740</v>
      </c>
      <c r="W92" s="96"/>
      <c r="X92" s="96"/>
      <c r="Y92" s="96"/>
      <c r="Z92" s="96"/>
      <c r="AA92" s="93" t="str">
        <f aca="false">A92</f>
        <v>Net Cash Flow</v>
      </c>
      <c r="AB92" s="145" t="n">
        <f aca="false">SUM(AB79:AB90)</f>
        <v>36278</v>
      </c>
      <c r="AC92" s="145" t="n">
        <f aca="false">SUM(AC79:AC90)</f>
        <v>40141</v>
      </c>
      <c r="AD92" s="145" t="n">
        <f aca="false">SUM(AD79:AD90)</f>
        <v>-3863</v>
      </c>
      <c r="AE92" s="96"/>
      <c r="AF92" s="145" t="n">
        <f aca="false">SUM(AF79:AF90)</f>
        <v>34340</v>
      </c>
      <c r="AG92" s="145" t="n">
        <f aca="false">SUM(AG79:AG90)</f>
        <v>23600</v>
      </c>
      <c r="AH92" s="145" t="n">
        <f aca="false">SUM(AH79:AH90)</f>
        <v>10740</v>
      </c>
      <c r="AI92" s="96"/>
      <c r="AJ92" s="145" t="n">
        <f aca="false">SUM(AJ79:AJ90)</f>
        <v>16541</v>
      </c>
      <c r="AK92" s="145" t="n">
        <f aca="false">SUM(AK79:AK90)</f>
        <v>1938</v>
      </c>
      <c r="AL92" s="96"/>
      <c r="AM92" s="145" t="n">
        <f aca="false">SUM(AM79:AM90)</f>
        <v>12032</v>
      </c>
      <c r="AN92" s="145" t="n">
        <f aca="false">SUM(AN79:AN90)</f>
        <v>24246</v>
      </c>
      <c r="AO92" s="96"/>
      <c r="AP92" s="145" t="n">
        <f aca="false">SUM(AP79:AP90)</f>
        <v>24882</v>
      </c>
      <c r="AQ92" s="145" t="n">
        <f aca="false">SUM(AQ79:AQ90)</f>
        <v>15259</v>
      </c>
      <c r="AR92" s="96"/>
      <c r="AS92" s="96"/>
      <c r="AT92" s="96"/>
      <c r="AU92" s="96"/>
    </row>
    <row r="93" customFormat="false" ht="6" hidden="false" customHeight="true" outlineLevel="0" collapsed="false">
      <c r="A93" s="108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3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</row>
    <row r="94" customFormat="false" ht="14.65" hidden="false" customHeight="false" outlineLevel="0" collapsed="false">
      <c r="A94" s="124" t="s">
        <v>501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 t="str">
        <f aca="false">A94</f>
        <v>Other Items Affecting Interco. Cash Balance with Corporate</v>
      </c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</row>
    <row r="95" customFormat="false" ht="14.65" hidden="false" customHeight="false" outlineLevel="0" collapsed="false">
      <c r="A95" s="124" t="s">
        <v>502</v>
      </c>
      <c r="B95" s="96"/>
      <c r="C95" s="96"/>
      <c r="D95" s="122" t="n">
        <f aca="false">D49+D50</f>
        <v>0</v>
      </c>
      <c r="E95" s="122" t="n">
        <f aca="false">E49+E50</f>
        <v>0</v>
      </c>
      <c r="F95" s="122" t="n">
        <f aca="false">F49+F50</f>
        <v>0</v>
      </c>
      <c r="G95" s="122" t="n">
        <f aca="false">G49+G50</f>
        <v>0</v>
      </c>
      <c r="H95" s="122" t="n">
        <f aca="false">H49+H50</f>
        <v>0</v>
      </c>
      <c r="I95" s="122" t="n">
        <f aca="false">I49+I50</f>
        <v>-150000</v>
      </c>
      <c r="J95" s="122" t="n">
        <f aca="false">J49+J50</f>
        <v>0</v>
      </c>
      <c r="K95" s="122" t="n">
        <f aca="false">K49+K50</f>
        <v>0</v>
      </c>
      <c r="L95" s="122" t="n">
        <f aca="false">L49+L50</f>
        <v>0</v>
      </c>
      <c r="M95" s="122" t="n">
        <f aca="false">M49+M50</f>
        <v>0</v>
      </c>
      <c r="N95" s="122" t="n">
        <f aca="false">N49+N50</f>
        <v>-3850</v>
      </c>
      <c r="O95" s="122" t="n">
        <f aca="false">O49+O50</f>
        <v>0</v>
      </c>
      <c r="P95" s="122" t="n">
        <f aca="false">SUM(D95:O95)</f>
        <v>-153850</v>
      </c>
      <c r="Q95" s="123" t="n">
        <f aca="false">SUM(D95:J95)</f>
        <v>-150000</v>
      </c>
      <c r="R95" s="122" t="n">
        <f aca="false">P95-Q95</f>
        <v>-3850</v>
      </c>
      <c r="S95" s="96"/>
      <c r="T95" s="122" t="n">
        <f aca="false">T49+T50</f>
        <v>-3850</v>
      </c>
      <c r="U95" s="122" t="n">
        <f aca="false">U49+U50</f>
        <v>0</v>
      </c>
      <c r="V95" s="122" t="n">
        <f aca="false">V49+V50</f>
        <v>-3850</v>
      </c>
      <c r="W95" s="96"/>
      <c r="X95" s="96"/>
      <c r="Y95" s="96"/>
      <c r="Z95" s="96"/>
      <c r="AA95" s="96" t="str">
        <f aca="false">A95</f>
        <v>      Third Party Debt Increase / (Decrease)</v>
      </c>
      <c r="AB95" s="122" t="n">
        <f aca="false">P95</f>
        <v>-153850</v>
      </c>
      <c r="AC95" s="123" t="n">
        <f aca="false">SUM(D95:L95)</f>
        <v>-150000</v>
      </c>
      <c r="AD95" s="122" t="n">
        <f aca="false">AB95-AC95</f>
        <v>-3850</v>
      </c>
      <c r="AE95" s="96"/>
      <c r="AF95" s="122" t="n">
        <f aca="false">T95</f>
        <v>-3850</v>
      </c>
      <c r="AG95" s="122" t="n">
        <f aca="false">AG49+AG50</f>
        <v>0</v>
      </c>
      <c r="AH95" s="122" t="n">
        <f aca="false">AF95-AG95</f>
        <v>-3850</v>
      </c>
      <c r="AI95" s="96"/>
      <c r="AJ95" s="122" t="n">
        <f aca="false">AC95-AG95</f>
        <v>-150000</v>
      </c>
      <c r="AK95" s="122" t="n">
        <f aca="false">AB95-AF95</f>
        <v>-150000</v>
      </c>
      <c r="AL95" s="96"/>
      <c r="AM95" s="122" t="n">
        <f aca="false">AM49+AM50</f>
        <v>-153850</v>
      </c>
      <c r="AN95" s="122" t="n">
        <f aca="false">AB95-AM95</f>
        <v>0</v>
      </c>
      <c r="AO95" s="96"/>
      <c r="AP95" s="122" t="n">
        <f aca="false">AP49+AP50</f>
        <v>-150000</v>
      </c>
      <c r="AQ95" s="122" t="n">
        <f aca="false">AC95-AP95</f>
        <v>0</v>
      </c>
      <c r="AR95" s="96"/>
      <c r="AS95" s="96"/>
      <c r="AT95" s="96"/>
      <c r="AU95" s="96"/>
    </row>
    <row r="96" customFormat="false" ht="14.65" hidden="false" customHeight="false" outlineLevel="0" collapsed="false">
      <c r="A96" s="124" t="s">
        <v>503</v>
      </c>
      <c r="B96" s="96"/>
      <c r="C96" s="96"/>
      <c r="D96" s="122" t="n">
        <f aca="false">D48</f>
        <v>0</v>
      </c>
      <c r="E96" s="122" t="n">
        <f aca="false">E48</f>
        <v>0</v>
      </c>
      <c r="F96" s="122" t="n">
        <f aca="false">F48</f>
        <v>0</v>
      </c>
      <c r="G96" s="122" t="n">
        <f aca="false">G48</f>
        <v>0</v>
      </c>
      <c r="H96" s="122" t="n">
        <f aca="false">H48</f>
        <v>0</v>
      </c>
      <c r="I96" s="122" t="n">
        <f aca="false">I48</f>
        <v>0</v>
      </c>
      <c r="J96" s="122" t="n">
        <f aca="false">J48</f>
        <v>0</v>
      </c>
      <c r="K96" s="122" t="n">
        <f aca="false">K48</f>
        <v>0</v>
      </c>
      <c r="L96" s="122" t="n">
        <f aca="false">L48</f>
        <v>0</v>
      </c>
      <c r="M96" s="122" t="n">
        <f aca="false">M48</f>
        <v>0</v>
      </c>
      <c r="N96" s="122" t="n">
        <f aca="false">N48</f>
        <v>0</v>
      </c>
      <c r="O96" s="122" t="n">
        <f aca="false">O48</f>
        <v>0</v>
      </c>
      <c r="P96" s="122" t="n">
        <f aca="false">SUM(D96:O96)</f>
        <v>0</v>
      </c>
      <c r="Q96" s="123" t="n">
        <f aca="false">SUM(D96:J96)</f>
        <v>0</v>
      </c>
      <c r="R96" s="122" t="n">
        <f aca="false">P96-Q96</f>
        <v>0</v>
      </c>
      <c r="S96" s="96"/>
      <c r="T96" s="122" t="n">
        <f aca="false">T48</f>
        <v>0</v>
      </c>
      <c r="U96" s="122" t="n">
        <f aca="false">U48</f>
        <v>0</v>
      </c>
      <c r="V96" s="122" t="n">
        <f aca="false">V48</f>
        <v>0</v>
      </c>
      <c r="W96" s="96"/>
      <c r="X96" s="96"/>
      <c r="Y96" s="96"/>
      <c r="Z96" s="96"/>
      <c r="AA96" s="96" t="str">
        <f aca="false">A96</f>
        <v>      Dividends Paid to Corporate</v>
      </c>
      <c r="AB96" s="122" t="n">
        <f aca="false">P96</f>
        <v>0</v>
      </c>
      <c r="AC96" s="123" t="n">
        <f aca="false">SUM(D96:L96)</f>
        <v>0</v>
      </c>
      <c r="AD96" s="122" t="n">
        <f aca="false">AB96-AC96</f>
        <v>0</v>
      </c>
      <c r="AE96" s="96"/>
      <c r="AF96" s="122" t="n">
        <f aca="false">T96</f>
        <v>0</v>
      </c>
      <c r="AG96" s="122" t="n">
        <f aca="false">AG48</f>
        <v>0</v>
      </c>
      <c r="AH96" s="122" t="n">
        <f aca="false">AF96-AG96</f>
        <v>0</v>
      </c>
      <c r="AI96" s="96"/>
      <c r="AJ96" s="122" t="n">
        <f aca="false">AC96-AG96</f>
        <v>0</v>
      </c>
      <c r="AK96" s="122" t="n">
        <f aca="false">AB96-AF96</f>
        <v>0</v>
      </c>
      <c r="AL96" s="96"/>
      <c r="AM96" s="122" t="n">
        <f aca="false">AM48</f>
        <v>0</v>
      </c>
      <c r="AN96" s="122" t="n">
        <f aca="false">AB96-AM96</f>
        <v>0</v>
      </c>
      <c r="AO96" s="96"/>
      <c r="AP96" s="122" t="n">
        <f aca="false">AP48</f>
        <v>0</v>
      </c>
      <c r="AQ96" s="122" t="n">
        <f aca="false">AC96-AP96</f>
        <v>0</v>
      </c>
      <c r="AR96" s="96"/>
      <c r="AS96" s="96"/>
      <c r="AT96" s="96"/>
      <c r="AU96" s="96"/>
    </row>
    <row r="97" customFormat="false" ht="14.65" hidden="false" customHeight="false" outlineLevel="0" collapsed="false">
      <c r="A97" s="124" t="s">
        <v>504</v>
      </c>
      <c r="B97" s="96"/>
      <c r="C97" s="96"/>
      <c r="D97" s="122" t="n">
        <f aca="false">D51</f>
        <v>0</v>
      </c>
      <c r="E97" s="122" t="n">
        <f aca="false">E51</f>
        <v>0</v>
      </c>
      <c r="F97" s="122" t="n">
        <f aca="false">F51</f>
        <v>0</v>
      </c>
      <c r="G97" s="122" t="n">
        <f aca="false">G51</f>
        <v>0</v>
      </c>
      <c r="H97" s="122" t="n">
        <f aca="false">H51</f>
        <v>0</v>
      </c>
      <c r="I97" s="122" t="n">
        <f aca="false">I51</f>
        <v>0</v>
      </c>
      <c r="J97" s="122" t="n">
        <f aca="false">J51</f>
        <v>0</v>
      </c>
      <c r="K97" s="122" t="n">
        <f aca="false">K51</f>
        <v>0</v>
      </c>
      <c r="L97" s="122" t="n">
        <f aca="false">L51</f>
        <v>0</v>
      </c>
      <c r="M97" s="122" t="n">
        <f aca="false">M51</f>
        <v>0</v>
      </c>
      <c r="N97" s="122" t="n">
        <f aca="false">N51</f>
        <v>0</v>
      </c>
      <c r="O97" s="122" t="n">
        <f aca="false">O51</f>
        <v>0</v>
      </c>
      <c r="P97" s="122" t="n">
        <f aca="false">SUM(D97:O97)</f>
        <v>0</v>
      </c>
      <c r="Q97" s="123" t="n">
        <f aca="false">SUM(D97:J97)</f>
        <v>0</v>
      </c>
      <c r="R97" s="122" t="n">
        <f aca="false">P97-Q97</f>
        <v>0</v>
      </c>
      <c r="S97" s="96"/>
      <c r="T97" s="122" t="n">
        <f aca="false">T51</f>
        <v>0</v>
      </c>
      <c r="U97" s="122" t="n">
        <f aca="false">U51</f>
        <v>0</v>
      </c>
      <c r="V97" s="122" t="n">
        <f aca="false">V51</f>
        <v>0</v>
      </c>
      <c r="W97" s="96"/>
      <c r="X97" s="96"/>
      <c r="Y97" s="96"/>
      <c r="Z97" s="96"/>
      <c r="AA97" s="96" t="str">
        <f aca="false">A97</f>
        <v>      Dividends Paid to Outside Parties / Other</v>
      </c>
      <c r="AB97" s="122" t="n">
        <f aca="false">P97</f>
        <v>0</v>
      </c>
      <c r="AC97" s="123" t="n">
        <f aca="false">SUM(D97:L97)</f>
        <v>0</v>
      </c>
      <c r="AD97" s="122" t="n">
        <f aca="false">AB97-AC97</f>
        <v>0</v>
      </c>
      <c r="AE97" s="96"/>
      <c r="AF97" s="122" t="n">
        <f aca="false">T97</f>
        <v>0</v>
      </c>
      <c r="AG97" s="122" t="n">
        <f aca="false">AG51</f>
        <v>0</v>
      </c>
      <c r="AH97" s="122" t="n">
        <f aca="false">AF97-AG97</f>
        <v>0</v>
      </c>
      <c r="AI97" s="96"/>
      <c r="AJ97" s="122" t="n">
        <f aca="false">AC97-AG97</f>
        <v>0</v>
      </c>
      <c r="AK97" s="122" t="n">
        <f aca="false">AB97-AF97</f>
        <v>0</v>
      </c>
      <c r="AL97" s="96"/>
      <c r="AM97" s="122" t="n">
        <f aca="false">AM51</f>
        <v>0</v>
      </c>
      <c r="AN97" s="122" t="n">
        <f aca="false">AB97-AM97</f>
        <v>0</v>
      </c>
      <c r="AO97" s="96"/>
      <c r="AP97" s="122" t="n">
        <f aca="false">AP51</f>
        <v>0</v>
      </c>
      <c r="AQ97" s="122" t="n">
        <f aca="false">AC97-AP97</f>
        <v>0</v>
      </c>
      <c r="AR97" s="96"/>
      <c r="AS97" s="96"/>
      <c r="AT97" s="96"/>
      <c r="AU97" s="96"/>
    </row>
    <row r="98" customFormat="false" ht="14.65" hidden="false" customHeight="false" outlineLevel="0" collapsed="false">
      <c r="A98" s="124" t="s">
        <v>505</v>
      </c>
      <c r="B98" s="96"/>
      <c r="C98" s="96"/>
      <c r="D98" s="136" t="n">
        <v>0</v>
      </c>
      <c r="E98" s="136" t="n">
        <v>0</v>
      </c>
      <c r="F98" s="136" t="n">
        <v>0</v>
      </c>
      <c r="G98" s="136" t="n">
        <v>0</v>
      </c>
      <c r="H98" s="136" t="n">
        <v>0</v>
      </c>
      <c r="I98" s="136" t="n">
        <v>0</v>
      </c>
      <c r="J98" s="136" t="n">
        <v>0</v>
      </c>
      <c r="K98" s="136" t="n">
        <v>0</v>
      </c>
      <c r="L98" s="136" t="n">
        <v>0</v>
      </c>
      <c r="M98" s="136" t="n">
        <v>0</v>
      </c>
      <c r="N98" s="136" t="n">
        <v>0</v>
      </c>
      <c r="O98" s="136" t="n">
        <v>0</v>
      </c>
      <c r="P98" s="135" t="n">
        <f aca="false">SUM(D98:O98)</f>
        <v>0</v>
      </c>
      <c r="Q98" s="136" t="n">
        <f aca="false">SUM(D98:J98)</f>
        <v>0</v>
      </c>
      <c r="R98" s="135" t="n">
        <f aca="false">P98-Q98</f>
        <v>0</v>
      </c>
      <c r="S98" s="96"/>
      <c r="T98" s="136" t="n">
        <v>0</v>
      </c>
      <c r="U98" s="136" t="n">
        <v>0</v>
      </c>
      <c r="V98" s="136" t="n">
        <v>0</v>
      </c>
      <c r="W98" s="96"/>
      <c r="X98" s="96"/>
      <c r="Y98" s="96"/>
      <c r="Z98" s="96"/>
      <c r="AA98" s="96" t="str">
        <f aca="false">A98</f>
        <v>      Restricted / Retained Cash</v>
      </c>
      <c r="AB98" s="135" t="n">
        <f aca="false">P98</f>
        <v>0</v>
      </c>
      <c r="AC98" s="136" t="n">
        <f aca="false">SUM(D98:L98)</f>
        <v>0</v>
      </c>
      <c r="AD98" s="135" t="n">
        <f aca="false">AB98-AC98</f>
        <v>0</v>
      </c>
      <c r="AE98" s="96"/>
      <c r="AF98" s="135" t="n">
        <f aca="false">T98</f>
        <v>0</v>
      </c>
      <c r="AG98" s="136" t="n">
        <v>0</v>
      </c>
      <c r="AH98" s="135" t="n">
        <f aca="false">AF98-AG98</f>
        <v>0</v>
      </c>
      <c r="AI98" s="96"/>
      <c r="AJ98" s="135" t="n">
        <f aca="false">AC98-AG98</f>
        <v>0</v>
      </c>
      <c r="AK98" s="135" t="n">
        <f aca="false">AB98-AF98</f>
        <v>0</v>
      </c>
      <c r="AL98" s="96"/>
      <c r="AM98" s="136" t="n">
        <v>0</v>
      </c>
      <c r="AN98" s="135" t="n">
        <f aca="false">AB98-AM98</f>
        <v>0</v>
      </c>
      <c r="AO98" s="96"/>
      <c r="AP98" s="136" t="n">
        <v>0</v>
      </c>
      <c r="AQ98" s="135" t="n">
        <f aca="false">AC98-AP98</f>
        <v>0</v>
      </c>
      <c r="AR98" s="96"/>
      <c r="AS98" s="96"/>
      <c r="AT98" s="96"/>
      <c r="AU98" s="96"/>
    </row>
    <row r="99" customFormat="false" ht="6" hidden="false" customHeight="true" outlineLevel="0" collapsed="false">
      <c r="A99" s="108"/>
      <c r="B99" s="96"/>
      <c r="C99" s="96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96"/>
      <c r="T99" s="122"/>
      <c r="U99" s="122"/>
      <c r="V99" s="122"/>
      <c r="W99" s="96"/>
      <c r="X99" s="96"/>
      <c r="Y99" s="96"/>
      <c r="Z99" s="96"/>
      <c r="AA99" s="93"/>
      <c r="AB99" s="122"/>
      <c r="AC99" s="122"/>
      <c r="AD99" s="122"/>
      <c r="AE99" s="96"/>
      <c r="AF99" s="122"/>
      <c r="AG99" s="122"/>
      <c r="AH99" s="122"/>
      <c r="AI99" s="96"/>
      <c r="AJ99" s="122"/>
      <c r="AK99" s="122"/>
      <c r="AL99" s="96"/>
      <c r="AM99" s="122"/>
      <c r="AN99" s="122"/>
      <c r="AO99" s="96"/>
      <c r="AP99" s="122"/>
      <c r="AQ99" s="122"/>
      <c r="AR99" s="96"/>
      <c r="AS99" s="96"/>
      <c r="AT99" s="96"/>
      <c r="AU99" s="96"/>
    </row>
    <row r="100" customFormat="false" ht="14.65" hidden="false" customHeight="false" outlineLevel="0" collapsed="false">
      <c r="A100" s="121" t="s">
        <v>506</v>
      </c>
      <c r="B100" s="96"/>
      <c r="C100" s="96"/>
      <c r="D100" s="145" t="n">
        <f aca="false">SUM(D92:D98)</f>
        <v>10623</v>
      </c>
      <c r="E100" s="145" t="n">
        <f aca="false">SUM(E92:E98)</f>
        <v>10355</v>
      </c>
      <c r="F100" s="145" t="n">
        <f aca="false">SUM(F92:F98)</f>
        <v>14674</v>
      </c>
      <c r="G100" s="145" t="n">
        <f aca="false">SUM(G92:G98)</f>
        <v>-5986</v>
      </c>
      <c r="H100" s="145" t="n">
        <f aca="false">SUM(H92:H98)</f>
        <v>-9459</v>
      </c>
      <c r="I100" s="145" t="n">
        <f aca="false">SUM(I92:I98)</f>
        <v>-131527</v>
      </c>
      <c r="J100" s="145" t="n">
        <f aca="false">SUM(J92:J98)</f>
        <v>-4057</v>
      </c>
      <c r="K100" s="145" t="n">
        <f aca="false">SUM(K92:K98)</f>
        <v>6930</v>
      </c>
      <c r="L100" s="145" t="n">
        <f aca="false">SUM(L92:L98)</f>
        <v>-1412</v>
      </c>
      <c r="M100" s="145" t="n">
        <f aca="false">SUM(M92:M98)</f>
        <v>3122</v>
      </c>
      <c r="N100" s="145" t="n">
        <f aca="false">SUM(N92:N98)</f>
        <v>-5687</v>
      </c>
      <c r="O100" s="145" t="n">
        <f aca="false">SUM(O92:O98)</f>
        <v>-5148</v>
      </c>
      <c r="P100" s="145" t="n">
        <f aca="false">SUM(P92:P98)</f>
        <v>-117572</v>
      </c>
      <c r="Q100" s="145" t="n">
        <f aca="false">SUM(Q92:Q98)</f>
        <v>-115377</v>
      </c>
      <c r="R100" s="145" t="n">
        <f aca="false">SUM(R92:R98)</f>
        <v>-2195</v>
      </c>
      <c r="S100" s="96"/>
      <c r="T100" s="145" t="n">
        <f aca="false">SUM(T92:T98)</f>
        <v>30490</v>
      </c>
      <c r="U100" s="145" t="n">
        <f aca="false">SUM(U92:U98)</f>
        <v>23600</v>
      </c>
      <c r="V100" s="145" t="n">
        <f aca="false">SUM(V92:V98)</f>
        <v>6890</v>
      </c>
      <c r="W100" s="96"/>
      <c r="X100" s="96"/>
      <c r="Y100" s="96"/>
      <c r="Z100" s="96"/>
      <c r="AA100" s="93" t="str">
        <f aca="false">A100</f>
        <v>Increase / (Decrease) in Cash Balance with Corporate </v>
      </c>
      <c r="AB100" s="145" t="n">
        <f aca="false">SUM(AB92:AB98)</f>
        <v>-117572</v>
      </c>
      <c r="AC100" s="145" t="n">
        <f aca="false">SUM(AC92:AC98)</f>
        <v>-109859</v>
      </c>
      <c r="AD100" s="145" t="n">
        <f aca="false">SUM(AD92:AD98)</f>
        <v>-7713</v>
      </c>
      <c r="AE100" s="96"/>
      <c r="AF100" s="145" t="n">
        <f aca="false">SUM(AF92:AF98)</f>
        <v>30490</v>
      </c>
      <c r="AG100" s="145" t="n">
        <f aca="false">SUM(AG92:AG98)</f>
        <v>23600</v>
      </c>
      <c r="AH100" s="145" t="n">
        <f aca="false">SUM(AH92:AH98)</f>
        <v>6890</v>
      </c>
      <c r="AI100" s="96"/>
      <c r="AJ100" s="145" t="n">
        <f aca="false">SUM(AJ92:AJ98)</f>
        <v>-133459</v>
      </c>
      <c r="AK100" s="145" t="n">
        <f aca="false">SUM(AK92:AK98)</f>
        <v>-148062</v>
      </c>
      <c r="AL100" s="96"/>
      <c r="AM100" s="145" t="n">
        <f aca="false">SUM(AM92:AM98)</f>
        <v>-141818</v>
      </c>
      <c r="AN100" s="145" t="n">
        <f aca="false">SUM(AN92:AN98)</f>
        <v>24246</v>
      </c>
      <c r="AO100" s="96"/>
      <c r="AP100" s="145" t="n">
        <f aca="false">SUM(AP92:AP98)</f>
        <v>-125118</v>
      </c>
      <c r="AQ100" s="145" t="n">
        <f aca="false">SUM(AQ92:AQ98)</f>
        <v>15259</v>
      </c>
      <c r="AR100" s="96"/>
      <c r="AS100" s="96"/>
      <c r="AT100" s="96"/>
      <c r="AU100" s="96"/>
    </row>
    <row r="101" customFormat="false" ht="6" hidden="false" customHeight="true" outlineLevel="0" collapsed="false">
      <c r="A101" s="108"/>
      <c r="B101" s="96"/>
      <c r="C101" s="96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96"/>
      <c r="T101" s="122"/>
      <c r="U101" s="122"/>
      <c r="V101" s="122"/>
      <c r="W101" s="96"/>
      <c r="X101" s="96"/>
      <c r="Y101" s="96"/>
      <c r="Z101" s="96"/>
      <c r="AA101" s="93"/>
      <c r="AB101" s="122"/>
      <c r="AC101" s="122"/>
      <c r="AD101" s="122"/>
      <c r="AE101" s="96"/>
      <c r="AF101" s="122"/>
      <c r="AG101" s="122"/>
      <c r="AH101" s="122"/>
      <c r="AI101" s="96"/>
      <c r="AJ101" s="122"/>
      <c r="AK101" s="122"/>
      <c r="AL101" s="96"/>
      <c r="AM101" s="122"/>
      <c r="AN101" s="122"/>
      <c r="AO101" s="96"/>
      <c r="AP101" s="122"/>
      <c r="AQ101" s="122"/>
      <c r="AR101" s="96"/>
      <c r="AS101" s="96"/>
      <c r="AT101" s="96"/>
      <c r="AU101" s="96"/>
    </row>
    <row r="102" customFormat="false" ht="14.65" hidden="false" customHeight="false" outlineLevel="0" collapsed="false">
      <c r="A102" s="124" t="s">
        <v>507</v>
      </c>
      <c r="B102" s="96"/>
      <c r="C102" s="96"/>
      <c r="D102" s="135" t="n">
        <f aca="false">D57</f>
        <v>-0</v>
      </c>
      <c r="E102" s="135" t="n">
        <f aca="false">E57</f>
        <v>-0</v>
      </c>
      <c r="F102" s="135" t="n">
        <f aca="false">F57</f>
        <v>-0</v>
      </c>
      <c r="G102" s="135" t="n">
        <f aca="false">G57</f>
        <v>-0</v>
      </c>
      <c r="H102" s="135" t="n">
        <f aca="false">H57</f>
        <v>-0</v>
      </c>
      <c r="I102" s="135" t="n">
        <f aca="false">I57</f>
        <v>150000</v>
      </c>
      <c r="J102" s="135" t="n">
        <f aca="false">J57</f>
        <v>-0</v>
      </c>
      <c r="K102" s="135" t="n">
        <f aca="false">K57</f>
        <v>-0</v>
      </c>
      <c r="L102" s="135" t="n">
        <f aca="false">L57</f>
        <v>-0</v>
      </c>
      <c r="M102" s="135" t="n">
        <f aca="false">M57</f>
        <v>-0</v>
      </c>
      <c r="N102" s="135" t="n">
        <f aca="false">N57</f>
        <v>3850</v>
      </c>
      <c r="O102" s="135" t="n">
        <f aca="false">O57</f>
        <v>-0</v>
      </c>
      <c r="P102" s="135" t="n">
        <f aca="false">SUM(D102:O102)</f>
        <v>153850</v>
      </c>
      <c r="Q102" s="136" t="n">
        <f aca="false">SUM(D102:J102)</f>
        <v>150000</v>
      </c>
      <c r="R102" s="135" t="n">
        <f aca="false">P102-Q102</f>
        <v>3850</v>
      </c>
      <c r="S102" s="96"/>
      <c r="T102" s="135" t="n">
        <f aca="false">T57</f>
        <v>3850</v>
      </c>
      <c r="U102" s="135" t="n">
        <f aca="false">U57</f>
        <v>0</v>
      </c>
      <c r="V102" s="135" t="n">
        <f aca="false">V57</f>
        <v>3850</v>
      </c>
      <c r="W102" s="96"/>
      <c r="X102" s="96"/>
      <c r="Y102" s="96"/>
      <c r="Z102" s="96"/>
      <c r="AA102" s="96" t="str">
        <f aca="false">A102</f>
        <v>Change in Other Obligations</v>
      </c>
      <c r="AB102" s="135" t="n">
        <f aca="false">P102</f>
        <v>153850</v>
      </c>
      <c r="AC102" s="136" t="n">
        <f aca="false">SUM(D102:L102)</f>
        <v>150000</v>
      </c>
      <c r="AD102" s="135" t="n">
        <f aca="false">AB102-AC102</f>
        <v>3850</v>
      </c>
      <c r="AE102" s="96"/>
      <c r="AF102" s="135" t="n">
        <f aca="false">T102</f>
        <v>3850</v>
      </c>
      <c r="AG102" s="135" t="n">
        <f aca="false">AG57</f>
        <v>0</v>
      </c>
      <c r="AH102" s="135" t="n">
        <f aca="false">AF102-AG102</f>
        <v>3850</v>
      </c>
      <c r="AI102" s="96"/>
      <c r="AJ102" s="135" t="n">
        <f aca="false">AC102-AG102</f>
        <v>150000</v>
      </c>
      <c r="AK102" s="135" t="n">
        <f aca="false">AB102-AF102</f>
        <v>150000</v>
      </c>
      <c r="AL102" s="96"/>
      <c r="AM102" s="135" t="n">
        <f aca="false">AM57</f>
        <v>153850</v>
      </c>
      <c r="AN102" s="135" t="n">
        <f aca="false">AB102-AM102</f>
        <v>0</v>
      </c>
      <c r="AO102" s="96"/>
      <c r="AP102" s="135" t="n">
        <f aca="false">AP57</f>
        <v>150000</v>
      </c>
      <c r="AQ102" s="135" t="n">
        <f aca="false">AC102-AP102</f>
        <v>0</v>
      </c>
      <c r="AR102" s="96"/>
      <c r="AS102" s="96"/>
      <c r="AT102" s="96"/>
      <c r="AU102" s="96"/>
    </row>
    <row r="103" customFormat="false" ht="6" hidden="false" customHeight="true" outlineLevel="0" collapsed="false">
      <c r="A103" s="108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3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</row>
    <row r="104" customFormat="false" ht="14.65" hidden="false" customHeight="false" outlineLevel="0" collapsed="false">
      <c r="A104" s="121" t="s">
        <v>508</v>
      </c>
      <c r="B104" s="96"/>
      <c r="C104" s="96"/>
      <c r="D104" s="139" t="n">
        <f aca="false">SUM(D100:D102)</f>
        <v>10623</v>
      </c>
      <c r="E104" s="139" t="n">
        <f aca="false">SUM(E100:E102)</f>
        <v>10355</v>
      </c>
      <c r="F104" s="139" t="n">
        <f aca="false">SUM(F100:F102)</f>
        <v>14674</v>
      </c>
      <c r="G104" s="139" t="n">
        <f aca="false">SUM(G100:G102)</f>
        <v>-5986</v>
      </c>
      <c r="H104" s="139" t="n">
        <f aca="false">SUM(H100:H102)</f>
        <v>-9459</v>
      </c>
      <c r="I104" s="139" t="n">
        <f aca="false">SUM(I100:I102)</f>
        <v>18473</v>
      </c>
      <c r="J104" s="139" t="n">
        <f aca="false">SUM(J100:J102)</f>
        <v>-4057</v>
      </c>
      <c r="K104" s="139" t="n">
        <f aca="false">SUM(K100:K102)</f>
        <v>6930</v>
      </c>
      <c r="L104" s="139" t="n">
        <f aca="false">SUM(L100:L102)</f>
        <v>-1412</v>
      </c>
      <c r="M104" s="139" t="n">
        <f aca="false">SUM(M100:M102)</f>
        <v>3122</v>
      </c>
      <c r="N104" s="139" t="n">
        <f aca="false">SUM(N100:N102)</f>
        <v>-1837</v>
      </c>
      <c r="O104" s="139" t="n">
        <f aca="false">SUM(O100:O102)</f>
        <v>-5148</v>
      </c>
      <c r="P104" s="139" t="n">
        <f aca="false">SUM(P100:P102)</f>
        <v>36278</v>
      </c>
      <c r="Q104" s="139" t="n">
        <f aca="false">SUM(Q100:Q102)</f>
        <v>34623</v>
      </c>
      <c r="R104" s="139" t="n">
        <f aca="false">SUM(R100:R102)</f>
        <v>1655</v>
      </c>
      <c r="S104" s="96"/>
      <c r="T104" s="139" t="n">
        <f aca="false">SUM(T100:T102)</f>
        <v>34340</v>
      </c>
      <c r="U104" s="139" t="n">
        <f aca="false">SUM(U100:U102)</f>
        <v>23600</v>
      </c>
      <c r="V104" s="139" t="n">
        <f aca="false">SUM(V100:V102)</f>
        <v>10740</v>
      </c>
      <c r="W104" s="96"/>
      <c r="X104" s="96"/>
      <c r="Y104" s="96"/>
      <c r="Z104" s="96"/>
      <c r="AA104" s="93" t="str">
        <f aca="false">A104</f>
        <v>Increase / (Decrease) in Total Obligations</v>
      </c>
      <c r="AB104" s="139" t="n">
        <f aca="false">SUM(AB100:AB102)</f>
        <v>36278</v>
      </c>
      <c r="AC104" s="139" t="n">
        <f aca="false">SUM(AC100:AC102)</f>
        <v>40141</v>
      </c>
      <c r="AD104" s="139" t="n">
        <f aca="false">SUM(AD100:AD102)</f>
        <v>-3863</v>
      </c>
      <c r="AE104" s="96"/>
      <c r="AF104" s="139" t="n">
        <f aca="false">SUM(AF100:AF102)</f>
        <v>34340</v>
      </c>
      <c r="AG104" s="139" t="n">
        <f aca="false">SUM(AG100:AG102)</f>
        <v>23600</v>
      </c>
      <c r="AH104" s="139" t="n">
        <f aca="false">SUM(AH100:AH102)</f>
        <v>10740</v>
      </c>
      <c r="AI104" s="96"/>
      <c r="AJ104" s="139" t="n">
        <f aca="false">SUM(AJ100:AJ102)</f>
        <v>16541</v>
      </c>
      <c r="AK104" s="139" t="n">
        <f aca="false">SUM(AK100:AK102)</f>
        <v>1938</v>
      </c>
      <c r="AL104" s="96"/>
      <c r="AM104" s="139" t="n">
        <f aca="false">SUM(AM100:AM102)</f>
        <v>12032</v>
      </c>
      <c r="AN104" s="139" t="n">
        <f aca="false">SUM(AN100:AN102)</f>
        <v>24246</v>
      </c>
      <c r="AO104" s="96"/>
      <c r="AP104" s="139" t="n">
        <f aca="false">SUM(AP100:AP102)</f>
        <v>24882</v>
      </c>
      <c r="AQ104" s="139" t="n">
        <f aca="false">SUM(AQ100:AQ102)</f>
        <v>15259</v>
      </c>
      <c r="AR104" s="96"/>
      <c r="AS104" s="96"/>
      <c r="AT104" s="96"/>
      <c r="AU104" s="96"/>
    </row>
    <row r="105" customFormat="false" ht="14.65" hidden="false" customHeight="false" outlineLevel="0" collapsed="false">
      <c r="A105" s="108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3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</row>
    <row r="106" customFormat="false" ht="14.65" hidden="false" customHeight="false" outlineLevel="0" collapsed="false">
      <c r="A106" s="108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3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</row>
    <row r="107" customFormat="false" ht="14.65" hidden="false" customHeight="false" outlineLevel="0" collapsed="false">
      <c r="A107" s="124" t="s">
        <v>342</v>
      </c>
      <c r="B107" s="96"/>
      <c r="C107" s="96"/>
      <c r="D107" s="122" t="n">
        <f aca="false">D59-D104</f>
        <v>0</v>
      </c>
      <c r="E107" s="122" t="n">
        <f aca="false">E59-E104</f>
        <v>0</v>
      </c>
      <c r="F107" s="122" t="n">
        <f aca="false">F59-F104</f>
        <v>0</v>
      </c>
      <c r="G107" s="122" t="n">
        <f aca="false">G59-G104</f>
        <v>0</v>
      </c>
      <c r="H107" s="122" t="n">
        <f aca="false">H59-H104</f>
        <v>0</v>
      </c>
      <c r="I107" s="122" t="n">
        <f aca="false">I59-I104</f>
        <v>0</v>
      </c>
      <c r="J107" s="122" t="n">
        <f aca="false">J59-J104</f>
        <v>0</v>
      </c>
      <c r="K107" s="122" t="n">
        <f aca="false">K59-K104</f>
        <v>0</v>
      </c>
      <c r="L107" s="122" t="n">
        <f aca="false">L59-L104</f>
        <v>0</v>
      </c>
      <c r="M107" s="122" t="n">
        <f aca="false">M59-M104</f>
        <v>0</v>
      </c>
      <c r="N107" s="122" t="n">
        <f aca="false">N59-N104</f>
        <v>0</v>
      </c>
      <c r="O107" s="122" t="n">
        <f aca="false">O59-O104</f>
        <v>0</v>
      </c>
      <c r="P107" s="122" t="n">
        <f aca="false">P59-P104</f>
        <v>0</v>
      </c>
      <c r="Q107" s="122" t="n">
        <f aca="false">Q59-Q104</f>
        <v>0</v>
      </c>
      <c r="R107" s="122" t="n">
        <f aca="false">R59-R104</f>
        <v>0</v>
      </c>
      <c r="S107" s="96"/>
      <c r="T107" s="122" t="n">
        <f aca="false">T59-T104</f>
        <v>0</v>
      </c>
      <c r="U107" s="122" t="n">
        <f aca="false">U59-U104</f>
        <v>0</v>
      </c>
      <c r="V107" s="122" t="n">
        <f aca="false">V59-V104</f>
        <v>0</v>
      </c>
      <c r="W107" s="96"/>
      <c r="X107" s="96"/>
      <c r="Y107" s="96"/>
      <c r="Z107" s="96"/>
      <c r="AA107" s="96" t="str">
        <f aca="false">A107</f>
        <v>      CHECK #</v>
      </c>
      <c r="AB107" s="122" t="n">
        <f aca="false">AB59-AB104</f>
        <v>0</v>
      </c>
      <c r="AC107" s="122" t="n">
        <f aca="false">AC59-AC104</f>
        <v>0</v>
      </c>
      <c r="AD107" s="122" t="n">
        <f aca="false">AD59-AD104</f>
        <v>0</v>
      </c>
      <c r="AE107" s="96"/>
      <c r="AF107" s="122" t="n">
        <f aca="false">AF59-AF104</f>
        <v>0</v>
      </c>
      <c r="AG107" s="122" t="n">
        <f aca="false">AG59-AG104</f>
        <v>0</v>
      </c>
      <c r="AH107" s="122" t="n">
        <f aca="false">AH59-AH104</f>
        <v>0</v>
      </c>
      <c r="AI107" s="96"/>
      <c r="AJ107" s="122" t="n">
        <f aca="false">AJ59-AJ104</f>
        <v>0</v>
      </c>
      <c r="AK107" s="122" t="n">
        <f aca="false">AK59-AK104</f>
        <v>0</v>
      </c>
      <c r="AL107" s="96"/>
      <c r="AM107" s="122" t="n">
        <f aca="false">AM59-AM104</f>
        <v>0</v>
      </c>
      <c r="AN107" s="122" t="n">
        <f aca="false">AN59-AN104</f>
        <v>0</v>
      </c>
      <c r="AO107" s="96"/>
      <c r="AP107" s="122" t="n">
        <f aca="false">AP59-AP104</f>
        <v>0</v>
      </c>
      <c r="AQ107" s="122" t="n">
        <f aca="false">AQ59-AQ104</f>
        <v>0</v>
      </c>
      <c r="AR107" s="96"/>
      <c r="AS107" s="96"/>
      <c r="AT107" s="96"/>
      <c r="AU107" s="96"/>
    </row>
    <row r="108" customFormat="false" ht="14.65" hidden="false" customHeight="false" outlineLevel="0" collapsed="false">
      <c r="A108" s="108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3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</row>
    <row r="109" customFormat="false" ht="14.65" hidden="false" customHeight="false" outlineLevel="0" collapsed="false">
      <c r="A109" s="108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3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</row>
    <row r="110" customFormat="false" ht="14.65" hidden="false" customHeight="false" outlineLevel="0" collapsed="false">
      <c r="A110" s="124" t="s">
        <v>490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 t="str">
        <f aca="false">A110</f>
        <v>Working Capital Changes</v>
      </c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</row>
    <row r="111" customFormat="false" ht="14.65" hidden="false" customHeight="false" outlineLevel="0" collapsed="false">
      <c r="A111" s="124" t="s">
        <v>493</v>
      </c>
      <c r="B111" s="96"/>
      <c r="C111" s="96"/>
      <c r="D111" s="135" t="n">
        <f aca="false">SUM(D82:D84)</f>
        <v>2341</v>
      </c>
      <c r="E111" s="135" t="n">
        <f aca="false">SUM(E82:E84)</f>
        <v>-317</v>
      </c>
      <c r="F111" s="135" t="n">
        <f aca="false">SUM(F82:F84)</f>
        <v>3107</v>
      </c>
      <c r="G111" s="135" t="n">
        <f aca="false">SUM(G82:G84)</f>
        <v>-14721</v>
      </c>
      <c r="H111" s="135" t="n">
        <f aca="false">SUM(H82:H84)</f>
        <v>-2413</v>
      </c>
      <c r="I111" s="135" t="n">
        <f aca="false">SUM(I82:I84)</f>
        <v>13572</v>
      </c>
      <c r="J111" s="135" t="n">
        <f aca="false">SUM(J82:J84)</f>
        <v>-11643</v>
      </c>
      <c r="K111" s="135" t="n">
        <f aca="false">SUM(K82:K84)</f>
        <v>244</v>
      </c>
      <c r="L111" s="135" t="n">
        <f aca="false">SUM(L82:L84)</f>
        <v>4500</v>
      </c>
      <c r="M111" s="135" t="n">
        <f aca="false">SUM(M82:M84)</f>
        <v>-2859</v>
      </c>
      <c r="N111" s="135" t="n">
        <f aca="false">SUM(N82:N84)</f>
        <v>2463</v>
      </c>
      <c r="O111" s="135" t="n">
        <f aca="false">SUM(O82:O84)</f>
        <v>-1769</v>
      </c>
      <c r="P111" s="135" t="n">
        <f aca="false">SUM(P82:P84)</f>
        <v>-7495</v>
      </c>
      <c r="Q111" s="135" t="n">
        <f aca="false">SUM(Q82:Q84)</f>
        <v>-10074</v>
      </c>
      <c r="R111" s="135" t="n">
        <f aca="false">SUM(R82:R84)</f>
        <v>2579</v>
      </c>
      <c r="S111" s="96"/>
      <c r="T111" s="135" t="n">
        <f aca="false">SUM(T82:T84)</f>
        <v>-7196</v>
      </c>
      <c r="U111" s="135" t="n">
        <f aca="false">SUM(U82:U84)</f>
        <v>-3872</v>
      </c>
      <c r="V111" s="135" t="n">
        <f aca="false">SUM(V82:V84)</f>
        <v>-3324</v>
      </c>
      <c r="W111" s="96"/>
      <c r="X111" s="96"/>
      <c r="Y111" s="96"/>
      <c r="Z111" s="96"/>
      <c r="AA111" s="96" t="str">
        <f aca="false">A111</f>
        <v>      Others, Net </v>
      </c>
      <c r="AB111" s="135" t="n">
        <f aca="false">SUM(AB82:AB84)</f>
        <v>-7495</v>
      </c>
      <c r="AC111" s="135" t="n">
        <f aca="false">SUM(AC82:AC84)</f>
        <v>-5330</v>
      </c>
      <c r="AD111" s="135" t="n">
        <f aca="false">SUM(AD82:AD84)</f>
        <v>-2165</v>
      </c>
      <c r="AE111" s="96"/>
      <c r="AF111" s="135" t="n">
        <f aca="false">SUM(AF82:AF84)</f>
        <v>-7196</v>
      </c>
      <c r="AG111" s="135" t="n">
        <f aca="false">SUM(AG82:AG84)</f>
        <v>-3872</v>
      </c>
      <c r="AH111" s="135" t="n">
        <f aca="false">SUM(AH82:AH84)</f>
        <v>-3324</v>
      </c>
      <c r="AI111" s="96"/>
      <c r="AJ111" s="135" t="n">
        <f aca="false">SUM(AJ82:AJ84)</f>
        <v>-1458</v>
      </c>
      <c r="AK111" s="135" t="n">
        <f aca="false">SUM(AK82:AK84)</f>
        <v>-299</v>
      </c>
      <c r="AL111" s="96"/>
      <c r="AM111" s="135" t="n">
        <f aca="false">SUM(AM82:AM84)</f>
        <v>-11588</v>
      </c>
      <c r="AN111" s="135" t="n">
        <f aca="false">SUM(AN82:AN84)</f>
        <v>4093</v>
      </c>
      <c r="AO111" s="96"/>
      <c r="AP111" s="135" t="n">
        <f aca="false">SUM(AP82:AP84)</f>
        <v>-6944</v>
      </c>
      <c r="AQ111" s="135" t="n">
        <f aca="false">SUM(AQ82:AQ84)</f>
        <v>1614</v>
      </c>
      <c r="AR111" s="96"/>
      <c r="AS111" s="96"/>
      <c r="AT111" s="96"/>
      <c r="AU111" s="96"/>
    </row>
    <row r="112" customFormat="false" ht="3.95" hidden="false" customHeight="true" outlineLevel="0" collapsed="false">
      <c r="A112" s="108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</row>
    <row r="113" customFormat="false" ht="14.65" hidden="false" customHeight="false" outlineLevel="0" collapsed="false">
      <c r="A113" s="124" t="s">
        <v>509</v>
      </c>
      <c r="B113" s="96"/>
      <c r="C113" s="96"/>
      <c r="D113" s="135" t="n">
        <f aca="false">SUM(D111)</f>
        <v>2341</v>
      </c>
      <c r="E113" s="135" t="n">
        <f aca="false">SUM(E111)</f>
        <v>-317</v>
      </c>
      <c r="F113" s="135" t="n">
        <f aca="false">SUM(F111)</f>
        <v>3107</v>
      </c>
      <c r="G113" s="135" t="n">
        <f aca="false">SUM(G111)</f>
        <v>-14721</v>
      </c>
      <c r="H113" s="135" t="n">
        <f aca="false">SUM(H111)</f>
        <v>-2413</v>
      </c>
      <c r="I113" s="135" t="n">
        <f aca="false">SUM(I111)</f>
        <v>13572</v>
      </c>
      <c r="J113" s="135" t="n">
        <f aca="false">SUM(J111)</f>
        <v>-11643</v>
      </c>
      <c r="K113" s="135" t="n">
        <f aca="false">SUM(K111)</f>
        <v>244</v>
      </c>
      <c r="L113" s="135" t="n">
        <f aca="false">SUM(L111)</f>
        <v>4500</v>
      </c>
      <c r="M113" s="135" t="n">
        <f aca="false">SUM(M111)</f>
        <v>-2859</v>
      </c>
      <c r="N113" s="135" t="n">
        <f aca="false">SUM(N111)</f>
        <v>2463</v>
      </c>
      <c r="O113" s="135" t="n">
        <f aca="false">SUM(O111)</f>
        <v>-1769</v>
      </c>
      <c r="P113" s="135" t="n">
        <f aca="false">SUM(P111)</f>
        <v>-7495</v>
      </c>
      <c r="Q113" s="135" t="n">
        <f aca="false">SUM(Q111)</f>
        <v>-10074</v>
      </c>
      <c r="R113" s="135" t="n">
        <f aca="false">SUM(R111)</f>
        <v>2579</v>
      </c>
      <c r="S113" s="96"/>
      <c r="T113" s="135" t="n">
        <f aca="false">SUM(T111)</f>
        <v>-7196</v>
      </c>
      <c r="U113" s="135" t="n">
        <f aca="false">SUM(U111)</f>
        <v>-3872</v>
      </c>
      <c r="V113" s="135" t="n">
        <f aca="false">SUM(V111)</f>
        <v>-3324</v>
      </c>
      <c r="W113" s="96"/>
      <c r="X113" s="96"/>
      <c r="Y113" s="96"/>
      <c r="Z113" s="96"/>
      <c r="AA113" s="96" t="str">
        <f aca="false">A113</f>
        <v>         Total Working Capital Changes</v>
      </c>
      <c r="AB113" s="135" t="n">
        <f aca="false">SUM(AB111)</f>
        <v>-7495</v>
      </c>
      <c r="AC113" s="135" t="n">
        <f aca="false">SUM(AC111)</f>
        <v>-5330</v>
      </c>
      <c r="AD113" s="135" t="n">
        <f aca="false">SUM(AD111)</f>
        <v>-2165</v>
      </c>
      <c r="AE113" s="96"/>
      <c r="AF113" s="135" t="n">
        <f aca="false">SUM(AF111)</f>
        <v>-7196</v>
      </c>
      <c r="AG113" s="135" t="n">
        <f aca="false">SUM(AG111)</f>
        <v>-3872</v>
      </c>
      <c r="AH113" s="135" t="n">
        <f aca="false">SUM(AH111)</f>
        <v>-3324</v>
      </c>
      <c r="AI113" s="96"/>
      <c r="AJ113" s="135" t="n">
        <f aca="false">SUM(AJ111)</f>
        <v>-1458</v>
      </c>
      <c r="AK113" s="135" t="n">
        <f aca="false">SUM(AK111)</f>
        <v>-299</v>
      </c>
      <c r="AL113" s="96"/>
      <c r="AM113" s="135" t="n">
        <f aca="false">SUM(AM111)</f>
        <v>-11588</v>
      </c>
      <c r="AN113" s="135" t="n">
        <f aca="false">SUM(AN111)</f>
        <v>4093</v>
      </c>
      <c r="AO113" s="96"/>
      <c r="AP113" s="135" t="n">
        <f aca="false">SUM(AP111)</f>
        <v>-6944</v>
      </c>
      <c r="AQ113" s="135" t="n">
        <f aca="false">SUM(AQ111)</f>
        <v>1614</v>
      </c>
      <c r="AR113" s="96"/>
      <c r="AS113" s="96"/>
      <c r="AT113" s="96"/>
      <c r="AU113" s="96"/>
    </row>
    <row r="114" customFormat="false" ht="14.65" hidden="false" customHeight="false" outlineLevel="0" collapsed="false">
      <c r="A114" s="108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3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</row>
    <row r="115" customFormat="false" ht="14.65" hidden="false" customHeight="fals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3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</row>
    <row r="116" customFormat="false" ht="8.1" hidden="fals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3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</row>
    <row r="117" customFormat="false" ht="12.75" hidden="fals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3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</row>
    <row r="118" customFormat="false" ht="12.75" hidden="false" customHeight="true" outlineLevel="0" collapsed="false">
      <c r="A118" s="146" t="str">
        <f aca="false">A1</f>
        <v>'file:///mnt/12tb/@roms/datasets/enron/EDRM Enron Email Data Set v2 XML/filtered-attachments/xls/TW3rdCECF.xls'#$BACKUP</v>
      </c>
      <c r="B118" s="96"/>
      <c r="C118" s="96"/>
      <c r="D118" s="96"/>
      <c r="E118" s="96"/>
      <c r="F118" s="96"/>
      <c r="G118" s="96"/>
      <c r="H118" s="96"/>
      <c r="I118" s="147" t="str">
        <f aca="false">I1</f>
        <v>TRANSWESTERN PIPELINE GROUP (Including Co. 92)</v>
      </c>
      <c r="J118" s="147"/>
      <c r="K118" s="147"/>
      <c r="L118" s="147"/>
      <c r="M118" s="96"/>
      <c r="N118" s="96"/>
      <c r="O118" s="96"/>
      <c r="P118" s="96"/>
      <c r="Q118" s="96"/>
      <c r="R118" s="96"/>
      <c r="S118" s="96"/>
      <c r="T118" s="96"/>
      <c r="U118" s="96"/>
      <c r="V118" s="95" t="n">
        <f aca="true">NOW()</f>
        <v>45926.9584325509</v>
      </c>
      <c r="W118" s="96"/>
      <c r="X118" s="96"/>
      <c r="Y118" s="96"/>
      <c r="Z118" s="96"/>
      <c r="AA118" s="97" t="str">
        <f aca="false">A1</f>
        <v>'file:///mnt/12tb/@roms/datasets/enron/EDRM Enron Email Data Set v2 XML/filtered-attachments/xls/TW3rdCECF.xls'#$BACKUP</v>
      </c>
      <c r="AB118" s="96"/>
      <c r="AC118" s="96"/>
      <c r="AD118" s="147" t="str">
        <f aca="false">I1</f>
        <v>TRANSWESTERN PIPELINE GROUP (Including Co. 92)</v>
      </c>
      <c r="AE118" s="147"/>
      <c r="AF118" s="147"/>
      <c r="AG118" s="147"/>
      <c r="AH118" s="96"/>
      <c r="AI118" s="96"/>
      <c r="AJ118" s="96"/>
      <c r="AK118" s="96"/>
      <c r="AL118" s="96"/>
      <c r="AM118" s="96"/>
      <c r="AN118" s="96"/>
      <c r="AO118" s="96"/>
      <c r="AP118" s="96"/>
      <c r="AQ118" s="95" t="n">
        <f aca="true">NOW()</f>
        <v>45926.958432551</v>
      </c>
      <c r="AR118" s="96"/>
      <c r="AS118" s="96"/>
      <c r="AT118" s="96"/>
      <c r="AU118" s="96"/>
    </row>
    <row r="119" customFormat="false" ht="12.75" hidden="false" customHeight="true" outlineLevel="0" collapsed="false">
      <c r="A119" s="100" t="s">
        <v>510</v>
      </c>
      <c r="B119" s="96"/>
      <c r="C119" s="96"/>
      <c r="D119" s="96"/>
      <c r="E119" s="96"/>
      <c r="F119" s="96"/>
      <c r="G119" s="96"/>
      <c r="H119" s="96"/>
      <c r="I119" s="101" t="s">
        <v>511</v>
      </c>
      <c r="J119" s="101"/>
      <c r="K119" s="101"/>
      <c r="L119" s="101"/>
      <c r="M119" s="96"/>
      <c r="N119" s="96"/>
      <c r="O119" s="96"/>
      <c r="P119" s="96"/>
      <c r="Q119" s="96"/>
      <c r="R119" s="96"/>
      <c r="S119" s="96"/>
      <c r="T119" s="96"/>
      <c r="U119" s="96"/>
      <c r="V119" s="102" t="n">
        <f aca="true">NOW()</f>
        <v>45926.9584325511</v>
      </c>
      <c r="W119" s="96"/>
      <c r="X119" s="96"/>
      <c r="Y119" s="96"/>
      <c r="Z119" s="96"/>
      <c r="AA119" s="100" t="s">
        <v>512</v>
      </c>
      <c r="AB119" s="96"/>
      <c r="AC119" s="96"/>
      <c r="AD119" s="147" t="str">
        <f aca="false">I119</f>
        <v>FUNDS FLOW STATEMENT</v>
      </c>
      <c r="AE119" s="147"/>
      <c r="AF119" s="147"/>
      <c r="AG119" s="147"/>
      <c r="AH119" s="96"/>
      <c r="AI119" s="96"/>
      <c r="AJ119" s="96"/>
      <c r="AK119" s="96"/>
      <c r="AL119" s="96"/>
      <c r="AM119" s="96"/>
      <c r="AN119" s="96"/>
      <c r="AO119" s="96"/>
      <c r="AP119" s="96"/>
      <c r="AQ119" s="102" t="n">
        <f aca="true">NOW()</f>
        <v>45926.9584325511</v>
      </c>
      <c r="AR119" s="96"/>
      <c r="AS119" s="96"/>
      <c r="AT119" s="96"/>
      <c r="AU119" s="96"/>
    </row>
    <row r="120" customFormat="false" ht="12.75" hidden="fals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147" t="str">
        <f aca="false">I3</f>
        <v>2001 ACTUAL / ESTIMATE</v>
      </c>
      <c r="J120" s="147"/>
      <c r="K120" s="147"/>
      <c r="L120" s="147"/>
      <c r="M120" s="96"/>
      <c r="N120" s="96"/>
      <c r="O120" s="96"/>
      <c r="P120" s="96"/>
      <c r="Q120" s="96"/>
      <c r="R120" s="96"/>
      <c r="S120" s="96"/>
      <c r="T120" s="96"/>
      <c r="U120" s="96"/>
      <c r="V120" s="0"/>
      <c r="W120" s="96"/>
      <c r="X120" s="96"/>
      <c r="Y120" s="96"/>
      <c r="Z120" s="96"/>
      <c r="AA120" s="93"/>
      <c r="AB120" s="96"/>
      <c r="AC120" s="96"/>
      <c r="AD120" s="147" t="str">
        <f aca="false">I3</f>
        <v>2001 ACTUAL / ESTIMATE</v>
      </c>
      <c r="AE120" s="147"/>
      <c r="AF120" s="147"/>
      <c r="AG120" s="147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</row>
    <row r="121" customFormat="false" ht="12.75" hidden="fals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147" t="str">
        <f aca="false">I4</f>
        <v>(Thousands of Dollars)</v>
      </c>
      <c r="J121" s="147"/>
      <c r="K121" s="147"/>
      <c r="L121" s="147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3"/>
      <c r="AB121" s="96"/>
      <c r="AC121" s="96"/>
      <c r="AD121" s="147" t="str">
        <f aca="false">I4</f>
        <v>(Thousands of Dollars)</v>
      </c>
      <c r="AE121" s="147"/>
      <c r="AF121" s="147"/>
      <c r="AG121" s="147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</row>
    <row r="122" customFormat="false" ht="12.75" hidden="false" customHeight="true" outlineLevel="0" collapsed="false">
      <c r="A122" s="96"/>
      <c r="B122" s="96"/>
      <c r="C122" s="96"/>
      <c r="D122" s="148" t="n">
        <f aca="false">D5</f>
        <v>0</v>
      </c>
      <c r="E122" s="148" t="n">
        <f aca="false">E5</f>
        <v>0</v>
      </c>
      <c r="F122" s="148" t="n">
        <f aca="false">F5</f>
        <v>0</v>
      </c>
      <c r="G122" s="148" t="n">
        <f aca="false">G5</f>
        <v>0</v>
      </c>
      <c r="H122" s="148" t="n">
        <f aca="false">H5</f>
        <v>0</v>
      </c>
      <c r="I122" s="148" t="n">
        <f aca="false">I5</f>
        <v>0</v>
      </c>
      <c r="J122" s="148" t="n">
        <f aca="false">J5</f>
        <v>0</v>
      </c>
      <c r="K122" s="148" t="str">
        <f aca="false">K5</f>
        <v>PRE</v>
      </c>
      <c r="L122" s="148" t="n">
        <f aca="false">L5</f>
        <v>0</v>
      </c>
      <c r="M122" s="148" t="n">
        <f aca="false">M5</f>
        <v>0</v>
      </c>
      <c r="N122" s="148" t="n">
        <f aca="false">N5</f>
        <v>0</v>
      </c>
      <c r="O122" s="148" t="n">
        <f aca="false">O5</f>
        <v>0</v>
      </c>
      <c r="P122" s="96"/>
      <c r="Q122" s="96"/>
      <c r="R122" s="96"/>
      <c r="S122" s="96"/>
      <c r="T122" s="148" t="n">
        <f aca="false">T5</f>
        <v>0</v>
      </c>
      <c r="U122" s="96"/>
      <c r="V122" s="148" t="n">
        <f aca="false">V5</f>
        <v>0</v>
      </c>
      <c r="W122" s="96"/>
      <c r="X122" s="96"/>
      <c r="Y122" s="96"/>
      <c r="Z122" s="96"/>
      <c r="AA122" s="93"/>
      <c r="AB122" s="96"/>
      <c r="AC122" s="96"/>
      <c r="AD122" s="96"/>
      <c r="AE122" s="96"/>
      <c r="AF122" s="148" t="n">
        <f aca="false">AF5</f>
        <v>0</v>
      </c>
      <c r="AG122" s="96"/>
      <c r="AH122" s="148" t="n">
        <f aca="false">AH5</f>
        <v>0</v>
      </c>
      <c r="AI122" s="96"/>
      <c r="AJ122" s="96"/>
      <c r="AK122" s="148" t="n">
        <f aca="false">AK5</f>
        <v>0</v>
      </c>
      <c r="AL122" s="96"/>
      <c r="AM122" s="96"/>
      <c r="AN122" s="96"/>
      <c r="AO122" s="96"/>
      <c r="AP122" s="147"/>
      <c r="AQ122" s="143"/>
      <c r="AR122" s="96"/>
      <c r="AS122" s="96"/>
      <c r="AT122" s="96"/>
      <c r="AU122" s="96"/>
    </row>
    <row r="123" customFormat="false" ht="12.75" hidden="false" customHeight="true" outlineLevel="0" collapsed="false">
      <c r="A123" s="96"/>
      <c r="B123" s="96"/>
      <c r="C123" s="96"/>
      <c r="D123" s="148" t="str">
        <f aca="false">D6</f>
        <v>ACT.</v>
      </c>
      <c r="E123" s="148" t="str">
        <f aca="false">E6</f>
        <v>ACT.</v>
      </c>
      <c r="F123" s="148" t="str">
        <f aca="false">F6</f>
        <v>ACT.</v>
      </c>
      <c r="G123" s="148" t="str">
        <f aca="false">G6</f>
        <v>ACT.</v>
      </c>
      <c r="H123" s="148" t="str">
        <f aca="false">H6</f>
        <v>ACT.</v>
      </c>
      <c r="I123" s="148" t="str">
        <f aca="false">I6</f>
        <v>ACT.</v>
      </c>
      <c r="J123" s="148" t="str">
        <f aca="false">J6</f>
        <v>ACT.</v>
      </c>
      <c r="K123" s="148" t="str">
        <f aca="false">K6</f>
        <v>ACT.</v>
      </c>
      <c r="L123" s="148" t="str">
        <f aca="false">L6</f>
        <v>3rd CE</v>
      </c>
      <c r="M123" s="148" t="str">
        <f aca="false">M6</f>
        <v>3rd CE</v>
      </c>
      <c r="N123" s="148" t="str">
        <f aca="false">N6</f>
        <v>3rd CE</v>
      </c>
      <c r="O123" s="148" t="str">
        <f aca="false">O6</f>
        <v>3rd CE</v>
      </c>
      <c r="P123" s="148" t="str">
        <f aca="false">P6</f>
        <v>TOTAL</v>
      </c>
      <c r="Q123" s="148" t="str">
        <f aca="false">Q6</f>
        <v>JULY</v>
      </c>
      <c r="R123" s="148" t="str">
        <f aca="false">R6</f>
        <v>ESTIMATED</v>
      </c>
      <c r="S123" s="96"/>
      <c r="T123" s="148" t="str">
        <f aca="false">T6</f>
        <v>PLAN</v>
      </c>
      <c r="U123" s="148" t="str">
        <f aca="false">U6</f>
        <v>SEPT.</v>
      </c>
      <c r="V123" s="148" t="str">
        <f aca="false">V6</f>
        <v>PLAN</v>
      </c>
      <c r="W123" s="96"/>
      <c r="X123" s="96"/>
      <c r="Y123" s="96"/>
      <c r="Z123" s="96"/>
      <c r="AA123" s="93"/>
      <c r="AB123" s="148" t="str">
        <f aca="false">AB6</f>
        <v>TOTAL</v>
      </c>
      <c r="AC123" s="148" t="str">
        <f aca="false">AC6</f>
        <v>SEPT.</v>
      </c>
      <c r="AD123" s="148" t="str">
        <f aca="false">AD6</f>
        <v>ESTIMATED</v>
      </c>
      <c r="AE123" s="96"/>
      <c r="AF123" s="148" t="str">
        <f aca="false">AF6</f>
        <v>PLAN</v>
      </c>
      <c r="AG123" s="148" t="str">
        <f aca="false">AG6</f>
        <v>SEPT.</v>
      </c>
      <c r="AH123" s="148" t="str">
        <f aca="false">AH6</f>
        <v>PLAN</v>
      </c>
      <c r="AI123" s="96"/>
      <c r="AJ123" s="149" t="str">
        <f aca="false">AJ6</f>
        <v>ACT./EST. vs. PLAN</v>
      </c>
      <c r="AK123" s="149"/>
      <c r="AL123" s="148"/>
      <c r="AM123" s="149" t="str">
        <f aca="false">AM6</f>
        <v>2nd C.E.</v>
      </c>
      <c r="AN123" s="149"/>
      <c r="AO123" s="96"/>
      <c r="AP123" s="149" t="str">
        <f aca="false">AP6</f>
        <v>Sept. YTD</v>
      </c>
      <c r="AQ123" s="149"/>
      <c r="AR123" s="96"/>
      <c r="AS123" s="96"/>
      <c r="AT123" s="96"/>
      <c r="AU123" s="96"/>
    </row>
    <row r="124" customFormat="false" ht="12.75" hidden="false" customHeight="true" outlineLevel="0" collapsed="false">
      <c r="A124" s="96"/>
      <c r="B124" s="96"/>
      <c r="C124" s="96"/>
      <c r="D124" s="118" t="str">
        <f aca="false">D7</f>
        <v>JAN</v>
      </c>
      <c r="E124" s="118" t="str">
        <f aca="false">E7</f>
        <v>FEB</v>
      </c>
      <c r="F124" s="118" t="str">
        <f aca="false">F7</f>
        <v>MAR</v>
      </c>
      <c r="G124" s="118" t="str">
        <f aca="false">G7</f>
        <v>APR</v>
      </c>
      <c r="H124" s="118" t="str">
        <f aca="false">H7</f>
        <v>MAY</v>
      </c>
      <c r="I124" s="118" t="str">
        <f aca="false">I7</f>
        <v>JUN</v>
      </c>
      <c r="J124" s="118" t="str">
        <f aca="false">J7</f>
        <v>JUL</v>
      </c>
      <c r="K124" s="118" t="str">
        <f aca="false">K7</f>
        <v>AUG</v>
      </c>
      <c r="L124" s="118" t="str">
        <f aca="false">L7</f>
        <v>SEP</v>
      </c>
      <c r="M124" s="118" t="str">
        <f aca="false">M7</f>
        <v>OCT</v>
      </c>
      <c r="N124" s="118" t="str">
        <f aca="false">N7</f>
        <v>NOV</v>
      </c>
      <c r="O124" s="118" t="str">
        <f aca="false">O7</f>
        <v>DEC</v>
      </c>
      <c r="P124" s="118" t="n">
        <f aca="false">P7</f>
        <v>2001</v>
      </c>
      <c r="Q124" s="118" t="str">
        <f aca="false">Q7</f>
        <v>Y-T-D</v>
      </c>
      <c r="R124" s="118" t="str">
        <f aca="false">R7</f>
        <v>R.M.</v>
      </c>
      <c r="S124" s="96"/>
      <c r="T124" s="118" t="n">
        <f aca="false">T7</f>
        <v>2001</v>
      </c>
      <c r="U124" s="118" t="str">
        <f aca="false">U7</f>
        <v>Y-T-D</v>
      </c>
      <c r="V124" s="118" t="str">
        <f aca="false">V7</f>
        <v>R.M.</v>
      </c>
      <c r="W124" s="96"/>
      <c r="X124" s="96"/>
      <c r="Y124" s="96"/>
      <c r="Z124" s="96"/>
      <c r="AA124" s="93"/>
      <c r="AB124" s="118" t="n">
        <f aca="false">AB7</f>
        <v>2001</v>
      </c>
      <c r="AC124" s="118" t="str">
        <f aca="false">AC7</f>
        <v>Y-T-D</v>
      </c>
      <c r="AD124" s="118" t="str">
        <f aca="false">AD7</f>
        <v>R.M.</v>
      </c>
      <c r="AE124" s="96"/>
      <c r="AF124" s="118" t="n">
        <f aca="false">AF7</f>
        <v>2001</v>
      </c>
      <c r="AG124" s="118" t="str">
        <f aca="false">AG7</f>
        <v>Y-T-D</v>
      </c>
      <c r="AH124" s="118" t="str">
        <f aca="false">AH7</f>
        <v>R.M.</v>
      </c>
      <c r="AI124" s="96"/>
      <c r="AJ124" s="118" t="str">
        <f aca="false">AJ7</f>
        <v>Y-T-D</v>
      </c>
      <c r="AK124" s="118" t="str">
        <f aca="false">AK7</f>
        <v>ANNUAL</v>
      </c>
      <c r="AL124" s="118"/>
      <c r="AM124" s="118" t="str">
        <f aca="false">AM7</f>
        <v>ANNUAL</v>
      </c>
      <c r="AN124" s="118" t="str">
        <f aca="false">AN7</f>
        <v>Variance</v>
      </c>
      <c r="AO124" s="96"/>
      <c r="AP124" s="118" t="str">
        <f aca="false">AP7</f>
        <v>2nd C.E.</v>
      </c>
      <c r="AQ124" s="118" t="str">
        <f aca="false">AQ7</f>
        <v>Variance</v>
      </c>
      <c r="AR124" s="96"/>
      <c r="AS124" s="96"/>
      <c r="AT124" s="96"/>
      <c r="AU124" s="96"/>
    </row>
    <row r="125" customFormat="false" ht="12.75" hidden="false" customHeight="true" outlineLevel="0" collapsed="false">
      <c r="A125" s="150" t="str">
        <f aca="false">A8</f>
        <v>CASH FLOW FROM OPERATING ACTIVITIES</v>
      </c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3" t="str">
        <f aca="false">A125</f>
        <v>CASH FLOW FROM OPERATING ACTIVITIES</v>
      </c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</row>
    <row r="126" customFormat="false" ht="12.75" hidden="false" customHeight="true" outlineLevel="0" collapsed="false">
      <c r="A126" s="96" t="str">
        <f aca="false">A9</f>
        <v>   Net Income </v>
      </c>
      <c r="B126" s="96"/>
      <c r="C126" s="96"/>
      <c r="D126" s="151" t="n">
        <f aca="false">D9</f>
        <v>6658</v>
      </c>
      <c r="E126" s="151" t="n">
        <f aca="false">E9</f>
        <v>8540</v>
      </c>
      <c r="F126" s="151" t="n">
        <f aca="false">F9</f>
        <v>3341</v>
      </c>
      <c r="G126" s="151" t="n">
        <f aca="false">G9</f>
        <v>8154</v>
      </c>
      <c r="H126" s="151" t="n">
        <f aca="false">H9</f>
        <v>7578</v>
      </c>
      <c r="I126" s="151" t="n">
        <f aca="false">I9</f>
        <v>6296</v>
      </c>
      <c r="J126" s="151" t="n">
        <f aca="false">J9</f>
        <v>6729</v>
      </c>
      <c r="K126" s="151" t="n">
        <f aca="false">K9</f>
        <v>6322</v>
      </c>
      <c r="L126" s="151" t="n">
        <f aca="false">L9</f>
        <v>11911</v>
      </c>
      <c r="M126" s="151" t="n">
        <f aca="false">M9</f>
        <v>6314</v>
      </c>
      <c r="N126" s="151" t="n">
        <f aca="false">N9</f>
        <v>6047</v>
      </c>
      <c r="O126" s="151" t="n">
        <f aca="false">O9</f>
        <v>6386</v>
      </c>
      <c r="P126" s="151" t="n">
        <f aca="false">P9</f>
        <v>84276</v>
      </c>
      <c r="Q126" s="151" t="n">
        <f aca="false">Q9</f>
        <v>47296</v>
      </c>
      <c r="R126" s="151" t="n">
        <f aca="false">R9</f>
        <v>36980</v>
      </c>
      <c r="S126" s="96"/>
      <c r="T126" s="151" t="n">
        <f aca="false">T9</f>
        <v>72797</v>
      </c>
      <c r="U126" s="151" t="n">
        <f aca="false">U9</f>
        <v>54234</v>
      </c>
      <c r="V126" s="151" t="n">
        <f aca="false">V9</f>
        <v>18563</v>
      </c>
      <c r="W126" s="96"/>
      <c r="X126" s="96"/>
      <c r="Y126" s="96"/>
      <c r="Z126" s="96"/>
      <c r="AA126" s="152" t="str">
        <f aca="false">A126</f>
        <v>   Net Income </v>
      </c>
      <c r="AB126" s="151" t="n">
        <f aca="false">P126</f>
        <v>84276</v>
      </c>
      <c r="AC126" s="151" t="n">
        <f aca="false">AC9</f>
        <v>65529</v>
      </c>
      <c r="AD126" s="122" t="n">
        <f aca="false">AB126-AC126</f>
        <v>18747</v>
      </c>
      <c r="AE126" s="96"/>
      <c r="AF126" s="122" t="n">
        <f aca="false">T126</f>
        <v>72797</v>
      </c>
      <c r="AG126" s="151" t="n">
        <f aca="false">AG9</f>
        <v>54234</v>
      </c>
      <c r="AH126" s="122" t="n">
        <f aca="false">AF126-AG126</f>
        <v>18563</v>
      </c>
      <c r="AI126" s="96"/>
      <c r="AJ126" s="122" t="n">
        <f aca="false">AC126-AG126</f>
        <v>11295</v>
      </c>
      <c r="AK126" s="122" t="n">
        <f aca="false">AB126-AF126</f>
        <v>11479</v>
      </c>
      <c r="AL126" s="96"/>
      <c r="AM126" s="151" t="n">
        <f aca="false">AM9</f>
        <v>84501</v>
      </c>
      <c r="AN126" s="122" t="n">
        <f aca="false">AB126-AM126</f>
        <v>-225</v>
      </c>
      <c r="AO126" s="96"/>
      <c r="AP126" s="151" t="n">
        <f aca="false">AP9</f>
        <v>65754</v>
      </c>
      <c r="AQ126" s="122" t="n">
        <f aca="false">AC126-AP126</f>
        <v>-225</v>
      </c>
      <c r="AR126" s="96"/>
      <c r="AS126" s="96"/>
      <c r="AT126" s="96"/>
      <c r="AU126" s="96"/>
    </row>
    <row r="127" customFormat="false" ht="12.75" hidden="false" customHeight="true" outlineLevel="0" collapsed="false">
      <c r="A127" s="124" t="s">
        <v>513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152" t="str">
        <f aca="false">A127</f>
        <v>   Items not affecting Cash:</v>
      </c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</row>
    <row r="128" customFormat="false" ht="12.75" hidden="false" customHeight="true" outlineLevel="0" collapsed="false">
      <c r="A128" s="96" t="str">
        <f aca="false">A11</f>
        <v>      Depreciation and Amortization</v>
      </c>
      <c r="B128" s="96"/>
      <c r="C128" s="96"/>
      <c r="D128" s="151" t="n">
        <f aca="false">D11</f>
        <v>1621</v>
      </c>
      <c r="E128" s="151" t="n">
        <f aca="false">E11</f>
        <v>1587</v>
      </c>
      <c r="F128" s="151" t="n">
        <f aca="false">F11</f>
        <v>1631</v>
      </c>
      <c r="G128" s="151" t="n">
        <f aca="false">G11</f>
        <v>1643</v>
      </c>
      <c r="H128" s="151" t="n">
        <f aca="false">H11</f>
        <v>1600</v>
      </c>
      <c r="I128" s="151" t="n">
        <f aca="false">I11</f>
        <v>1710</v>
      </c>
      <c r="J128" s="151" t="n">
        <f aca="false">J11</f>
        <v>1700</v>
      </c>
      <c r="K128" s="151" t="n">
        <f aca="false">K11</f>
        <v>1750</v>
      </c>
      <c r="L128" s="151" t="n">
        <f aca="false">L11</f>
        <v>1750</v>
      </c>
      <c r="M128" s="151" t="n">
        <f aca="false">M11</f>
        <v>1850</v>
      </c>
      <c r="N128" s="151" t="n">
        <f aca="false">N11</f>
        <v>1850</v>
      </c>
      <c r="O128" s="151" t="n">
        <f aca="false">O11</f>
        <v>1850</v>
      </c>
      <c r="P128" s="151" t="n">
        <f aca="false">P11</f>
        <v>20542</v>
      </c>
      <c r="Q128" s="151" t="n">
        <f aca="false">Q11</f>
        <v>11492</v>
      </c>
      <c r="R128" s="151" t="n">
        <f aca="false">R11</f>
        <v>9050</v>
      </c>
      <c r="S128" s="96"/>
      <c r="T128" s="151" t="n">
        <f aca="false">T11</f>
        <v>21996</v>
      </c>
      <c r="U128" s="151" t="n">
        <f aca="false">U11</f>
        <v>16497</v>
      </c>
      <c r="V128" s="151" t="n">
        <f aca="false">V11</f>
        <v>5499</v>
      </c>
      <c r="W128" s="96"/>
      <c r="X128" s="96"/>
      <c r="Y128" s="96"/>
      <c r="Z128" s="96"/>
      <c r="AA128" s="152" t="str">
        <f aca="false">A128</f>
        <v>      Depreciation and Amortization</v>
      </c>
      <c r="AB128" s="151" t="n">
        <f aca="false">P128</f>
        <v>20542</v>
      </c>
      <c r="AC128" s="151" t="n">
        <f aca="false">AC11</f>
        <v>14992</v>
      </c>
      <c r="AD128" s="122" t="n">
        <f aca="false">AB128-AC128</f>
        <v>5550</v>
      </c>
      <c r="AE128" s="96"/>
      <c r="AF128" s="122" t="n">
        <f aca="false">T128</f>
        <v>21996</v>
      </c>
      <c r="AG128" s="151" t="n">
        <f aca="false">AG11</f>
        <v>16497</v>
      </c>
      <c r="AH128" s="122" t="n">
        <f aca="false">AF128-AG128</f>
        <v>5499</v>
      </c>
      <c r="AI128" s="96"/>
      <c r="AJ128" s="122" t="n">
        <f aca="false">AC128-AG128</f>
        <v>-1505</v>
      </c>
      <c r="AK128" s="122" t="n">
        <f aca="false">AB128-AF128</f>
        <v>-1454</v>
      </c>
      <c r="AL128" s="96"/>
      <c r="AM128" s="151" t="n">
        <f aca="false">AM11</f>
        <v>20542</v>
      </c>
      <c r="AN128" s="122" t="n">
        <f aca="false">AB128-AM128</f>
        <v>0</v>
      </c>
      <c r="AO128" s="96"/>
      <c r="AP128" s="151" t="n">
        <f aca="false">AP11</f>
        <v>14992</v>
      </c>
      <c r="AQ128" s="122" t="n">
        <f aca="false">AC128-AP128</f>
        <v>0</v>
      </c>
      <c r="AR128" s="96"/>
      <c r="AS128" s="96"/>
      <c r="AT128" s="96"/>
      <c r="AU128" s="96"/>
    </row>
    <row r="129" customFormat="false" ht="12.75" hidden="false" customHeight="true" outlineLevel="0" collapsed="false">
      <c r="A129" s="124" t="s">
        <v>514</v>
      </c>
      <c r="B129" s="96"/>
      <c r="C129" s="96"/>
      <c r="D129" s="151" t="n">
        <f aca="false">D13</f>
        <v>150</v>
      </c>
      <c r="E129" s="151" t="n">
        <f aca="false">E13</f>
        <v>92</v>
      </c>
      <c r="F129" s="151" t="n">
        <f aca="false">F13</f>
        <v>-4693</v>
      </c>
      <c r="G129" s="151" t="n">
        <f aca="false">G13</f>
        <v>802</v>
      </c>
      <c r="H129" s="151" t="n">
        <f aca="false">H13</f>
        <v>259</v>
      </c>
      <c r="I129" s="151" t="n">
        <f aca="false">I13</f>
        <v>6</v>
      </c>
      <c r="J129" s="151" t="n">
        <f aca="false">J13</f>
        <v>135</v>
      </c>
      <c r="K129" s="151" t="n">
        <f aca="false">K13</f>
        <v>127</v>
      </c>
      <c r="L129" s="151" t="n">
        <f aca="false">L13</f>
        <v>5365</v>
      </c>
      <c r="M129" s="151" t="n">
        <f aca="false">M13</f>
        <v>3241</v>
      </c>
      <c r="N129" s="151" t="n">
        <f aca="false">N13</f>
        <v>-730</v>
      </c>
      <c r="O129" s="151" t="n">
        <f aca="false">O13</f>
        <v>45</v>
      </c>
      <c r="P129" s="151" t="n">
        <f aca="false">P13</f>
        <v>4799</v>
      </c>
      <c r="Q129" s="151" t="n">
        <f aca="false">Q13</f>
        <v>-3249</v>
      </c>
      <c r="R129" s="151" t="n">
        <f aca="false">R13</f>
        <v>8048</v>
      </c>
      <c r="S129" s="96"/>
      <c r="T129" s="151" t="n">
        <f aca="false">T13</f>
        <v>298</v>
      </c>
      <c r="U129" s="151" t="n">
        <f aca="false">U13</f>
        <v>921</v>
      </c>
      <c r="V129" s="151" t="n">
        <f aca="false">V13</f>
        <v>-623</v>
      </c>
      <c r="W129" s="96"/>
      <c r="X129" s="96"/>
      <c r="Y129" s="96"/>
      <c r="Z129" s="96"/>
      <c r="AA129" s="152" t="str">
        <f aca="false">A129</f>
        <v>      Deferred Income Taxes</v>
      </c>
      <c r="AB129" s="151" t="n">
        <f aca="false">P129</f>
        <v>4799</v>
      </c>
      <c r="AC129" s="151" t="n">
        <f aca="false">AC13</f>
        <v>2243</v>
      </c>
      <c r="AD129" s="122" t="n">
        <f aca="false">AB129-AC129</f>
        <v>2556</v>
      </c>
      <c r="AE129" s="96"/>
      <c r="AF129" s="122" t="n">
        <f aca="false">T129</f>
        <v>298</v>
      </c>
      <c r="AG129" s="151" t="n">
        <f aca="false">AG13</f>
        <v>921</v>
      </c>
      <c r="AH129" s="122" t="n">
        <f aca="false">AF129-AG129</f>
        <v>-623</v>
      </c>
      <c r="AI129" s="96"/>
      <c r="AJ129" s="122" t="n">
        <f aca="false">AC129-AG129</f>
        <v>1322</v>
      </c>
      <c r="AK129" s="122" t="n">
        <f aca="false">AB129-AF129</f>
        <v>4501</v>
      </c>
      <c r="AL129" s="96"/>
      <c r="AM129" s="151" t="n">
        <f aca="false">AM13</f>
        <v>4799</v>
      </c>
      <c r="AN129" s="122" t="n">
        <f aca="false">AB129-AM129</f>
        <v>0</v>
      </c>
      <c r="AO129" s="96"/>
      <c r="AP129" s="151" t="n">
        <f aca="false">AP13</f>
        <v>2243</v>
      </c>
      <c r="AQ129" s="122" t="n">
        <f aca="false">AC129-AP129</f>
        <v>0</v>
      </c>
      <c r="AR129" s="96"/>
      <c r="AS129" s="96"/>
      <c r="AT129" s="96"/>
      <c r="AU129" s="96"/>
    </row>
    <row r="130" customFormat="false" ht="12.75" hidden="false" customHeight="true" outlineLevel="0" collapsed="false">
      <c r="A130" s="124" t="s">
        <v>515</v>
      </c>
      <c r="B130" s="96"/>
      <c r="C130" s="96"/>
      <c r="D130" s="153" t="n">
        <f aca="false">D30</f>
        <v>-0</v>
      </c>
      <c r="E130" s="153" t="n">
        <f aca="false">E30</f>
        <v>-0</v>
      </c>
      <c r="F130" s="153" t="n">
        <f aca="false">F30</f>
        <v>106</v>
      </c>
      <c r="G130" s="153" t="n">
        <f aca="false">G30</f>
        <v>-0</v>
      </c>
      <c r="H130" s="153" t="n">
        <f aca="false">H30</f>
        <v>-0</v>
      </c>
      <c r="I130" s="153" t="n">
        <f aca="false">I30</f>
        <v>-0</v>
      </c>
      <c r="J130" s="153" t="n">
        <f aca="false">J30</f>
        <v>-18</v>
      </c>
      <c r="K130" s="153" t="n">
        <f aca="false">K30</f>
        <v>-0</v>
      </c>
      <c r="L130" s="153" t="n">
        <f aca="false">L30</f>
        <v>-0</v>
      </c>
      <c r="M130" s="153" t="n">
        <f aca="false">M30</f>
        <v>-0</v>
      </c>
      <c r="N130" s="153" t="n">
        <f aca="false">N30</f>
        <v>-0</v>
      </c>
      <c r="O130" s="153" t="n">
        <f aca="false">O30</f>
        <v>-0</v>
      </c>
      <c r="P130" s="153" t="n">
        <f aca="false">P30</f>
        <v>88</v>
      </c>
      <c r="Q130" s="153" t="n">
        <f aca="false">Q30</f>
        <v>88</v>
      </c>
      <c r="R130" s="153" t="n">
        <f aca="false">R30</f>
        <v>0</v>
      </c>
      <c r="S130" s="96"/>
      <c r="T130" s="153" t="n">
        <f aca="false">T30</f>
        <v>0</v>
      </c>
      <c r="U130" s="153" t="n">
        <f aca="false">U30</f>
        <v>0</v>
      </c>
      <c r="V130" s="153" t="n">
        <f aca="false">V30</f>
        <v>0</v>
      </c>
      <c r="W130" s="96"/>
      <c r="X130" s="96"/>
      <c r="Y130" s="96"/>
      <c r="Z130" s="96"/>
      <c r="AA130" s="152" t="str">
        <f aca="false">A130</f>
        <v>      Net (Gain) / Loss on Sale of Assets</v>
      </c>
      <c r="AB130" s="153" t="n">
        <f aca="false">P130</f>
        <v>88</v>
      </c>
      <c r="AC130" s="153" t="n">
        <f aca="false">AC30</f>
        <v>88</v>
      </c>
      <c r="AD130" s="135" t="n">
        <f aca="false">AB130-AC130</f>
        <v>0</v>
      </c>
      <c r="AE130" s="96"/>
      <c r="AF130" s="135" t="n">
        <f aca="false">T130</f>
        <v>0</v>
      </c>
      <c r="AG130" s="153" t="n">
        <f aca="false">AG30</f>
        <v>0</v>
      </c>
      <c r="AH130" s="135" t="n">
        <f aca="false">AF130-AG130</f>
        <v>0</v>
      </c>
      <c r="AI130" s="96"/>
      <c r="AJ130" s="135" t="n">
        <f aca="false">AC130-AG130</f>
        <v>88</v>
      </c>
      <c r="AK130" s="135" t="n">
        <f aca="false">AB130-AF130</f>
        <v>88</v>
      </c>
      <c r="AL130" s="96"/>
      <c r="AM130" s="153" t="n">
        <f aca="false">AM30</f>
        <v>106</v>
      </c>
      <c r="AN130" s="135" t="n">
        <f aca="false">AB130-AM130</f>
        <v>-18</v>
      </c>
      <c r="AO130" s="96"/>
      <c r="AP130" s="153" t="n">
        <f aca="false">AP30</f>
        <v>106</v>
      </c>
      <c r="AQ130" s="135" t="n">
        <f aca="false">AC130-AP130</f>
        <v>-18</v>
      </c>
      <c r="AR130" s="96"/>
      <c r="AS130" s="96"/>
      <c r="AT130" s="96"/>
      <c r="AU130" s="96"/>
    </row>
    <row r="131" customFormat="false" ht="3.95" hidden="fals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3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</row>
    <row r="132" customFormat="false" ht="12.75" hidden="false" customHeight="true" outlineLevel="0" collapsed="false">
      <c r="A132" s="154" t="str">
        <f aca="false">A79</f>
        <v>            Total Cash Flow From Operations</v>
      </c>
      <c r="B132" s="96"/>
      <c r="C132" s="96"/>
      <c r="D132" s="151" t="n">
        <f aca="false">SUM(D126:D130)</f>
        <v>8429</v>
      </c>
      <c r="E132" s="151" t="n">
        <f aca="false">SUM(E126:E130)</f>
        <v>10219</v>
      </c>
      <c r="F132" s="151" t="n">
        <f aca="false">SUM(F126:F130)</f>
        <v>385</v>
      </c>
      <c r="G132" s="151" t="n">
        <f aca="false">SUM(G126:G130)</f>
        <v>10599</v>
      </c>
      <c r="H132" s="151" t="n">
        <f aca="false">SUM(H126:H130)</f>
        <v>9437</v>
      </c>
      <c r="I132" s="151" t="n">
        <f aca="false">SUM(I126:I130)</f>
        <v>8012</v>
      </c>
      <c r="J132" s="151" t="n">
        <f aca="false">SUM(J126:J130)</f>
        <v>8546</v>
      </c>
      <c r="K132" s="151" t="n">
        <f aca="false">SUM(K126:K130)</f>
        <v>8199</v>
      </c>
      <c r="L132" s="151" t="n">
        <f aca="false">SUM(L126:L130)</f>
        <v>19026</v>
      </c>
      <c r="M132" s="151" t="n">
        <f aca="false">SUM(M126:M130)</f>
        <v>11405</v>
      </c>
      <c r="N132" s="151" t="n">
        <f aca="false">SUM(N126:N130)</f>
        <v>7167</v>
      </c>
      <c r="O132" s="151" t="n">
        <f aca="false">SUM(O126:O130)</f>
        <v>8281</v>
      </c>
      <c r="P132" s="151" t="n">
        <f aca="false">SUM(P126:P130)</f>
        <v>109705</v>
      </c>
      <c r="Q132" s="151" t="n">
        <f aca="false">SUM(Q126:Q130)</f>
        <v>55627</v>
      </c>
      <c r="R132" s="151" t="n">
        <f aca="false">SUM(R126:R130)</f>
        <v>54078</v>
      </c>
      <c r="S132" s="96"/>
      <c r="T132" s="151" t="n">
        <f aca="false">SUM(T126:T130)</f>
        <v>95091</v>
      </c>
      <c r="U132" s="151" t="n">
        <f aca="false">SUM(U126:U130)</f>
        <v>71652</v>
      </c>
      <c r="V132" s="151" t="n">
        <f aca="false">SUM(V126:V130)</f>
        <v>23439</v>
      </c>
      <c r="W132" s="96"/>
      <c r="X132" s="96"/>
      <c r="Y132" s="96"/>
      <c r="Z132" s="96"/>
      <c r="AA132" s="152" t="str">
        <f aca="false">A132</f>
        <v>            Total Cash Flow From Operations</v>
      </c>
      <c r="AB132" s="151" t="n">
        <f aca="false">SUM(AB126:AB130)</f>
        <v>109705</v>
      </c>
      <c r="AC132" s="151" t="n">
        <f aca="false">SUM(AC126:AC130)</f>
        <v>82852</v>
      </c>
      <c r="AD132" s="151" t="n">
        <f aca="false">SUM(AD126:AD130)</f>
        <v>26853</v>
      </c>
      <c r="AE132" s="151"/>
      <c r="AF132" s="151" t="n">
        <f aca="false">SUM(AF126:AF130)</f>
        <v>95091</v>
      </c>
      <c r="AG132" s="151" t="n">
        <f aca="false">SUM(AG126:AG130)</f>
        <v>71652</v>
      </c>
      <c r="AH132" s="151" t="n">
        <f aca="false">SUM(AH126:AH130)</f>
        <v>23439</v>
      </c>
      <c r="AI132" s="96"/>
      <c r="AJ132" s="151" t="n">
        <f aca="false">SUM(AJ126:AJ130)</f>
        <v>11200</v>
      </c>
      <c r="AK132" s="151" t="n">
        <f aca="false">SUM(AK126:AK130)</f>
        <v>14614</v>
      </c>
      <c r="AL132" s="96"/>
      <c r="AM132" s="151" t="n">
        <f aca="false">SUM(AM126:AM130)</f>
        <v>109948</v>
      </c>
      <c r="AN132" s="151" t="n">
        <f aca="false">SUM(AN126:AN130)</f>
        <v>-243</v>
      </c>
      <c r="AO132" s="96"/>
      <c r="AP132" s="151" t="n">
        <f aca="false">SUM(AP126:AP130)</f>
        <v>83095</v>
      </c>
      <c r="AQ132" s="151" t="n">
        <f aca="false">SUM(AQ126:AQ130)</f>
        <v>-243</v>
      </c>
      <c r="AR132" s="96"/>
      <c r="AS132" s="96"/>
      <c r="AT132" s="96"/>
      <c r="AU132" s="96"/>
    </row>
    <row r="133" customFormat="false" ht="3.95" hidden="fals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3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</row>
    <row r="134" customFormat="false" ht="12.75" hidden="false" customHeight="true" outlineLevel="0" collapsed="false">
      <c r="A134" s="155" t="str">
        <f aca="false">A31</f>
        <v>   Other Regulatory Assets / Liabilities</v>
      </c>
      <c r="B134" s="96"/>
      <c r="C134" s="96"/>
      <c r="D134" s="151" t="n">
        <f aca="false">D31</f>
        <v>463</v>
      </c>
      <c r="E134" s="151" t="n">
        <f aca="false">E31</f>
        <v>429</v>
      </c>
      <c r="F134" s="151" t="n">
        <f aca="false">F31</f>
        <v>469</v>
      </c>
      <c r="G134" s="151" t="n">
        <f aca="false">G31</f>
        <v>469</v>
      </c>
      <c r="H134" s="151" t="n">
        <f aca="false">H31</f>
        <v>469</v>
      </c>
      <c r="I134" s="151" t="n">
        <f aca="false">I31</f>
        <v>467</v>
      </c>
      <c r="J134" s="151" t="n">
        <f aca="false">J31</f>
        <v>448</v>
      </c>
      <c r="K134" s="151" t="n">
        <f aca="false">K31</f>
        <v>463</v>
      </c>
      <c r="L134" s="151" t="n">
        <f aca="false">L31</f>
        <v>461</v>
      </c>
      <c r="M134" s="151" t="n">
        <f aca="false">M31</f>
        <v>468</v>
      </c>
      <c r="N134" s="151" t="n">
        <f aca="false">N31</f>
        <v>462</v>
      </c>
      <c r="O134" s="151" t="n">
        <f aca="false">O31</f>
        <v>-36</v>
      </c>
      <c r="P134" s="151" t="n">
        <f aca="false">P31</f>
        <v>5032</v>
      </c>
      <c r="Q134" s="151" t="n">
        <f aca="false">Q31</f>
        <v>3214</v>
      </c>
      <c r="R134" s="151" t="n">
        <f aca="false">R31</f>
        <v>1818</v>
      </c>
      <c r="S134" s="96"/>
      <c r="T134" s="151" t="n">
        <f aca="false">T31</f>
        <v>4981</v>
      </c>
      <c r="U134" s="151" t="n">
        <f aca="false">U31</f>
        <v>4108</v>
      </c>
      <c r="V134" s="151" t="n">
        <f aca="false">V31</f>
        <v>873</v>
      </c>
      <c r="W134" s="96"/>
      <c r="X134" s="96"/>
      <c r="Y134" s="96"/>
      <c r="Z134" s="96"/>
      <c r="AA134" s="152" t="str">
        <f aca="false">A134</f>
        <v>   Other Regulatory Assets / Liabilities</v>
      </c>
      <c r="AB134" s="151" t="n">
        <f aca="false">P134</f>
        <v>5032</v>
      </c>
      <c r="AC134" s="151" t="n">
        <f aca="false">AC31</f>
        <v>4138</v>
      </c>
      <c r="AD134" s="122" t="n">
        <f aca="false">AB134-AC134</f>
        <v>894</v>
      </c>
      <c r="AE134" s="96"/>
      <c r="AF134" s="122" t="n">
        <f aca="false">T134</f>
        <v>4981</v>
      </c>
      <c r="AG134" s="151" t="n">
        <f aca="false">AG31</f>
        <v>4108</v>
      </c>
      <c r="AH134" s="122" t="n">
        <f aca="false">AF134-AG134</f>
        <v>873</v>
      </c>
      <c r="AI134" s="96"/>
      <c r="AJ134" s="122" t="n">
        <f aca="false">AC134-AG134</f>
        <v>30</v>
      </c>
      <c r="AK134" s="122" t="n">
        <f aca="false">AB134-AF134</f>
        <v>51</v>
      </c>
      <c r="AL134" s="96"/>
      <c r="AM134" s="151" t="n">
        <f aca="false">AM31</f>
        <v>5050</v>
      </c>
      <c r="AN134" s="122" t="n">
        <f aca="false">AB134-AM134</f>
        <v>-18</v>
      </c>
      <c r="AO134" s="96"/>
      <c r="AP134" s="151" t="n">
        <f aca="false">AP31</f>
        <v>4156</v>
      </c>
      <c r="AQ134" s="122" t="n">
        <f aca="false">AC134-AP134</f>
        <v>-18</v>
      </c>
      <c r="AR134" s="96"/>
      <c r="AS134" s="96"/>
      <c r="AT134" s="96"/>
      <c r="AU134" s="96"/>
    </row>
    <row r="135" customFormat="false" ht="12.75" hidden="false" customHeight="true" outlineLevel="0" collapsed="false">
      <c r="A135" s="155" t="str">
        <f aca="false">A27</f>
        <v>   Price Risk Management Activities (Net)</v>
      </c>
      <c r="B135" s="96"/>
      <c r="C135" s="96"/>
      <c r="D135" s="151" t="n">
        <f aca="false">D27</f>
        <v>-128</v>
      </c>
      <c r="E135" s="151" t="n">
        <f aca="false">E27</f>
        <v>0</v>
      </c>
      <c r="F135" s="151" t="n">
        <f aca="false">F27</f>
        <v>0</v>
      </c>
      <c r="G135" s="151" t="n">
        <f aca="false">G27</f>
        <v>0</v>
      </c>
      <c r="H135" s="151" t="n">
        <f aca="false">H27</f>
        <v>0</v>
      </c>
      <c r="I135" s="151" t="n">
        <f aca="false">I27</f>
        <v>1</v>
      </c>
      <c r="J135" s="151" t="n">
        <f aca="false">J27</f>
        <v>-7</v>
      </c>
      <c r="K135" s="151" t="n">
        <f aca="false">K27</f>
        <v>0</v>
      </c>
      <c r="L135" s="151" t="n">
        <f aca="false">L27</f>
        <v>0</v>
      </c>
      <c r="M135" s="151" t="n">
        <f aca="false">M27</f>
        <v>0</v>
      </c>
      <c r="N135" s="151" t="n">
        <f aca="false">N27</f>
        <v>0</v>
      </c>
      <c r="O135" s="151" t="n">
        <f aca="false">O27</f>
        <v>0</v>
      </c>
      <c r="P135" s="151" t="n">
        <f aca="false">P27</f>
        <v>-134</v>
      </c>
      <c r="Q135" s="151" t="n">
        <f aca="false">Q27</f>
        <v>-134</v>
      </c>
      <c r="R135" s="151" t="n">
        <f aca="false">R27</f>
        <v>0</v>
      </c>
      <c r="S135" s="96"/>
      <c r="T135" s="151" t="n">
        <f aca="false">T27</f>
        <v>0</v>
      </c>
      <c r="U135" s="151" t="n">
        <f aca="false">U27</f>
        <v>0</v>
      </c>
      <c r="V135" s="151" t="n">
        <f aca="false">V27</f>
        <v>0</v>
      </c>
      <c r="W135" s="96"/>
      <c r="X135" s="96"/>
      <c r="Y135" s="96"/>
      <c r="Z135" s="96"/>
      <c r="AA135" s="152" t="str">
        <f aca="false">A135</f>
        <v>   Price Risk Management Activities (Net)</v>
      </c>
      <c r="AB135" s="151" t="n">
        <f aca="false">P135</f>
        <v>-134</v>
      </c>
      <c r="AC135" s="151" t="n">
        <f aca="false">AC27</f>
        <v>-134</v>
      </c>
      <c r="AD135" s="122" t="n">
        <f aca="false">AB135-AC135</f>
        <v>0</v>
      </c>
      <c r="AE135" s="96"/>
      <c r="AF135" s="122" t="n">
        <f aca="false">T135</f>
        <v>0</v>
      </c>
      <c r="AG135" s="151" t="n">
        <f aca="false">AG27</f>
        <v>0</v>
      </c>
      <c r="AH135" s="122" t="n">
        <f aca="false">AF135-AG135</f>
        <v>0</v>
      </c>
      <c r="AI135" s="96"/>
      <c r="AJ135" s="122" t="n">
        <f aca="false">AC135-AG135</f>
        <v>-134</v>
      </c>
      <c r="AK135" s="122" t="n">
        <f aca="false">AB135-AF135</f>
        <v>-134</v>
      </c>
      <c r="AL135" s="96"/>
      <c r="AM135" s="151" t="n">
        <f aca="false">AM27</f>
        <v>-128</v>
      </c>
      <c r="AN135" s="122" t="n">
        <f aca="false">AB135-AM135</f>
        <v>-6</v>
      </c>
      <c r="AO135" s="96"/>
      <c r="AP135" s="151" t="n">
        <f aca="false">AP27</f>
        <v>-128</v>
      </c>
      <c r="AQ135" s="122" t="n">
        <f aca="false">AC135-AP135</f>
        <v>-6</v>
      </c>
      <c r="AR135" s="96"/>
      <c r="AS135" s="96"/>
      <c r="AT135" s="96"/>
      <c r="AU135" s="96"/>
    </row>
    <row r="136" customFormat="false" ht="12.75" hidden="false" customHeight="true" outlineLevel="0" collapsed="false">
      <c r="A136" s="155" t="str">
        <f aca="false">A28</f>
        <v>   Equity Earnings</v>
      </c>
      <c r="B136" s="96"/>
      <c r="C136" s="96"/>
      <c r="D136" s="151" t="n">
        <f aca="false">D28</f>
        <v>-0</v>
      </c>
      <c r="E136" s="151" t="n">
        <f aca="false">E28</f>
        <v>-0</v>
      </c>
      <c r="F136" s="151" t="n">
        <f aca="false">F28</f>
        <v>-0</v>
      </c>
      <c r="G136" s="151" t="n">
        <f aca="false">G28</f>
        <v>-0</v>
      </c>
      <c r="H136" s="151" t="n">
        <f aca="false">H28</f>
        <v>-0</v>
      </c>
      <c r="I136" s="151" t="n">
        <f aca="false">I28</f>
        <v>-0</v>
      </c>
      <c r="J136" s="151" t="n">
        <f aca="false">J28</f>
        <v>-0</v>
      </c>
      <c r="K136" s="151" t="n">
        <f aca="false">K28</f>
        <v>-0</v>
      </c>
      <c r="L136" s="151" t="n">
        <f aca="false">L28</f>
        <v>-0</v>
      </c>
      <c r="M136" s="151" t="n">
        <f aca="false">M28</f>
        <v>-0</v>
      </c>
      <c r="N136" s="151" t="n">
        <f aca="false">N28</f>
        <v>-0</v>
      </c>
      <c r="O136" s="151" t="n">
        <f aca="false">O28</f>
        <v>-0</v>
      </c>
      <c r="P136" s="151" t="n">
        <f aca="false">P28</f>
        <v>0</v>
      </c>
      <c r="Q136" s="151" t="n">
        <f aca="false">Q28</f>
        <v>0</v>
      </c>
      <c r="R136" s="151" t="n">
        <f aca="false">R28</f>
        <v>0</v>
      </c>
      <c r="S136" s="96"/>
      <c r="T136" s="151" t="n">
        <f aca="false">T28</f>
        <v>0</v>
      </c>
      <c r="U136" s="151" t="n">
        <f aca="false">U28</f>
        <v>0</v>
      </c>
      <c r="V136" s="151" t="n">
        <f aca="false">V28</f>
        <v>0</v>
      </c>
      <c r="W136" s="96"/>
      <c r="X136" s="96"/>
      <c r="Y136" s="96"/>
      <c r="Z136" s="96"/>
      <c r="AA136" s="152" t="str">
        <f aca="false">A136</f>
        <v>   Equity Earnings</v>
      </c>
      <c r="AB136" s="151" t="n">
        <f aca="false">P136</f>
        <v>0</v>
      </c>
      <c r="AC136" s="151" t="n">
        <f aca="false">AC28</f>
        <v>0</v>
      </c>
      <c r="AD136" s="122" t="n">
        <f aca="false">AB136-AC136</f>
        <v>0</v>
      </c>
      <c r="AE136" s="96"/>
      <c r="AF136" s="122" t="n">
        <f aca="false">T136</f>
        <v>0</v>
      </c>
      <c r="AG136" s="151" t="n">
        <f aca="false">AG28</f>
        <v>0</v>
      </c>
      <c r="AH136" s="122" t="n">
        <f aca="false">AF136-AG136</f>
        <v>0</v>
      </c>
      <c r="AI136" s="96"/>
      <c r="AJ136" s="122" t="n">
        <f aca="false">AC136-AG136</f>
        <v>0</v>
      </c>
      <c r="AK136" s="122" t="n">
        <f aca="false">AB136-AF136</f>
        <v>0</v>
      </c>
      <c r="AL136" s="96"/>
      <c r="AM136" s="151" t="n">
        <f aca="false">AM28</f>
        <v>0</v>
      </c>
      <c r="AN136" s="122" t="n">
        <f aca="false">AB136-AM136</f>
        <v>0</v>
      </c>
      <c r="AO136" s="96"/>
      <c r="AP136" s="151" t="n">
        <f aca="false">AP28</f>
        <v>0</v>
      </c>
      <c r="AQ136" s="122" t="n">
        <f aca="false">AC136-AP136</f>
        <v>0</v>
      </c>
      <c r="AR136" s="96"/>
      <c r="AS136" s="96"/>
      <c r="AT136" s="96"/>
      <c r="AU136" s="96"/>
    </row>
    <row r="137" customFormat="false" ht="12.75" hidden="false" customHeight="true" outlineLevel="0" collapsed="false">
      <c r="A137" s="155" t="str">
        <f aca="false">A29</f>
        <v>   Equity / Partnership Distributions</v>
      </c>
      <c r="B137" s="96"/>
      <c r="C137" s="96"/>
      <c r="D137" s="151" t="n">
        <f aca="false">D29</f>
        <v>-0</v>
      </c>
      <c r="E137" s="151" t="n">
        <f aca="false">E29</f>
        <v>-0</v>
      </c>
      <c r="F137" s="151" t="n">
        <f aca="false">F29</f>
        <v>-0</v>
      </c>
      <c r="G137" s="151" t="n">
        <f aca="false">G29</f>
        <v>-0</v>
      </c>
      <c r="H137" s="151" t="n">
        <f aca="false">H29</f>
        <v>-0</v>
      </c>
      <c r="I137" s="151" t="n">
        <f aca="false">I29</f>
        <v>-0</v>
      </c>
      <c r="J137" s="151" t="n">
        <f aca="false">J29</f>
        <v>-0</v>
      </c>
      <c r="K137" s="151" t="n">
        <f aca="false">K29</f>
        <v>-0</v>
      </c>
      <c r="L137" s="151" t="n">
        <f aca="false">L29</f>
        <v>-0</v>
      </c>
      <c r="M137" s="151" t="n">
        <f aca="false">M29</f>
        <v>-0</v>
      </c>
      <c r="N137" s="151" t="n">
        <f aca="false">N29</f>
        <v>-0</v>
      </c>
      <c r="O137" s="151" t="n">
        <f aca="false">O29</f>
        <v>-0</v>
      </c>
      <c r="P137" s="151" t="n">
        <f aca="false">P29</f>
        <v>0</v>
      </c>
      <c r="Q137" s="151" t="n">
        <f aca="false">Q29</f>
        <v>0</v>
      </c>
      <c r="R137" s="151" t="n">
        <f aca="false">R29</f>
        <v>0</v>
      </c>
      <c r="S137" s="96"/>
      <c r="T137" s="151" t="n">
        <f aca="false">T29</f>
        <v>0</v>
      </c>
      <c r="U137" s="151" t="n">
        <f aca="false">U29</f>
        <v>0</v>
      </c>
      <c r="V137" s="151" t="n">
        <f aca="false">V29</f>
        <v>0</v>
      </c>
      <c r="W137" s="96"/>
      <c r="X137" s="96"/>
      <c r="Y137" s="96"/>
      <c r="Z137" s="96"/>
      <c r="AA137" s="152" t="str">
        <f aca="false">A137</f>
        <v>   Equity / Partnership Distributions</v>
      </c>
      <c r="AB137" s="151" t="n">
        <f aca="false">P137</f>
        <v>0</v>
      </c>
      <c r="AC137" s="151" t="n">
        <f aca="false">AC29</f>
        <v>0</v>
      </c>
      <c r="AD137" s="122" t="n">
        <f aca="false">AB137-AC137</f>
        <v>0</v>
      </c>
      <c r="AE137" s="96"/>
      <c r="AF137" s="122" t="n">
        <f aca="false">T137</f>
        <v>0</v>
      </c>
      <c r="AG137" s="151" t="n">
        <f aca="false">AG29</f>
        <v>0</v>
      </c>
      <c r="AH137" s="122" t="n">
        <f aca="false">AF137-AG137</f>
        <v>0</v>
      </c>
      <c r="AI137" s="96"/>
      <c r="AJ137" s="122" t="n">
        <f aca="false">AC137-AG137</f>
        <v>0</v>
      </c>
      <c r="AK137" s="122" t="n">
        <f aca="false">AB137-AF137</f>
        <v>0</v>
      </c>
      <c r="AL137" s="96"/>
      <c r="AM137" s="151" t="n">
        <f aca="false">AM29</f>
        <v>0</v>
      </c>
      <c r="AN137" s="122" t="n">
        <f aca="false">AB137-AM137</f>
        <v>0</v>
      </c>
      <c r="AO137" s="96"/>
      <c r="AP137" s="151" t="n">
        <f aca="false">AP29</f>
        <v>0</v>
      </c>
      <c r="AQ137" s="122" t="n">
        <f aca="false">AC137-AP137</f>
        <v>0</v>
      </c>
      <c r="AR137" s="96"/>
      <c r="AS137" s="96"/>
      <c r="AT137" s="96"/>
      <c r="AU137" s="96"/>
    </row>
    <row r="138" customFormat="false" ht="12.75" hidden="false" customHeight="true" outlineLevel="0" collapsed="false">
      <c r="A138" s="155" t="str">
        <f aca="false">A32</f>
        <v>   Other (Incl. All Capital Costs &amp; Current Reserve Activity)</v>
      </c>
      <c r="B138" s="96"/>
      <c r="C138" s="96"/>
      <c r="D138" s="153" t="n">
        <f aca="false">D12+D32</f>
        <v>-33</v>
      </c>
      <c r="E138" s="153" t="n">
        <f aca="false">E12+E32</f>
        <v>-577</v>
      </c>
      <c r="F138" s="153" t="n">
        <f aca="false">F12+F32</f>
        <v>11526</v>
      </c>
      <c r="G138" s="153" t="n">
        <f aca="false">G12+G32</f>
        <v>395</v>
      </c>
      <c r="H138" s="153" t="n">
        <f aca="false">H12+H32</f>
        <v>-931</v>
      </c>
      <c r="I138" s="153" t="n">
        <f aca="false">I12+I32</f>
        <v>-152</v>
      </c>
      <c r="J138" s="153" t="n">
        <f aca="false">J12+J32</f>
        <v>-293</v>
      </c>
      <c r="K138" s="153" t="n">
        <f aca="false">K12+K32</f>
        <v>-76</v>
      </c>
      <c r="L138" s="153" t="n">
        <f aca="false">L12+L32</f>
        <v>-12356</v>
      </c>
      <c r="M138" s="153" t="n">
        <f aca="false">M12+M32</f>
        <v>-75</v>
      </c>
      <c r="N138" s="153" t="n">
        <f aca="false">N12+N32</f>
        <v>-77</v>
      </c>
      <c r="O138" s="153" t="n">
        <f aca="false">O12+O32</f>
        <v>-76</v>
      </c>
      <c r="P138" s="153" t="n">
        <f aca="false">P12+P32</f>
        <v>-2725</v>
      </c>
      <c r="Q138" s="153" t="n">
        <f aca="false">Q12+Q32</f>
        <v>9935</v>
      </c>
      <c r="R138" s="153" t="n">
        <f aca="false">R12+R32</f>
        <v>-12660</v>
      </c>
      <c r="S138" s="156"/>
      <c r="T138" s="153" t="n">
        <f aca="false">T12+T32</f>
        <v>-10936</v>
      </c>
      <c r="U138" s="153" t="n">
        <f aca="false">U12+U32</f>
        <v>-8188</v>
      </c>
      <c r="V138" s="153" t="n">
        <f aca="false">V12+V32</f>
        <v>-2748</v>
      </c>
      <c r="W138" s="96"/>
      <c r="X138" s="96"/>
      <c r="Y138" s="96"/>
      <c r="Z138" s="96"/>
      <c r="AA138" s="152" t="str">
        <f aca="false">A138</f>
        <v>   Other (Incl. All Capital Costs &amp; Current Reserve Activity)</v>
      </c>
      <c r="AB138" s="153" t="n">
        <f aca="false">P138</f>
        <v>-2725</v>
      </c>
      <c r="AC138" s="153" t="n">
        <f aca="false">AC12+AC32</f>
        <v>-2497</v>
      </c>
      <c r="AD138" s="135" t="n">
        <f aca="false">AB138-AC138</f>
        <v>-228</v>
      </c>
      <c r="AE138" s="156"/>
      <c r="AF138" s="135" t="n">
        <f aca="false">T138</f>
        <v>-10936</v>
      </c>
      <c r="AG138" s="153" t="n">
        <f aca="false">AG12+AG32</f>
        <v>-8188</v>
      </c>
      <c r="AH138" s="135" t="n">
        <f aca="false">AF138-AG138</f>
        <v>-2748</v>
      </c>
      <c r="AI138" s="96"/>
      <c r="AJ138" s="135" t="n">
        <f aca="false">AC138-AG138</f>
        <v>5691</v>
      </c>
      <c r="AK138" s="135" t="n">
        <f aca="false">AB138-AF138</f>
        <v>8211</v>
      </c>
      <c r="AL138" s="96"/>
      <c r="AM138" s="153" t="n">
        <f aca="false">AM12+AM32</f>
        <v>-2503</v>
      </c>
      <c r="AN138" s="135" t="n">
        <f aca="false">AB138-AM138</f>
        <v>-222</v>
      </c>
      <c r="AO138" s="96"/>
      <c r="AP138" s="153" t="n">
        <f aca="false">AP12+AP32</f>
        <v>-2275</v>
      </c>
      <c r="AQ138" s="135" t="n">
        <f aca="false">AC138-AP138</f>
        <v>-222</v>
      </c>
      <c r="AR138" s="96"/>
      <c r="AS138" s="96"/>
      <c r="AT138" s="96"/>
      <c r="AU138" s="96"/>
    </row>
    <row r="139" customFormat="false" ht="3.95" hidden="fals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3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</row>
    <row r="140" customFormat="false" ht="12.75" hidden="false" customHeight="true" outlineLevel="0" collapsed="false">
      <c r="A140" s="157" t="s">
        <v>516</v>
      </c>
      <c r="B140" s="96"/>
      <c r="C140" s="96"/>
      <c r="D140" s="158" t="n">
        <f aca="false">SUM(D132:D138)</f>
        <v>8731</v>
      </c>
      <c r="E140" s="158" t="n">
        <f aca="false">SUM(E132:E138)</f>
        <v>10071</v>
      </c>
      <c r="F140" s="158" t="n">
        <f aca="false">SUM(F132:F138)</f>
        <v>12380</v>
      </c>
      <c r="G140" s="158" t="n">
        <f aca="false">SUM(G132:G138)</f>
        <v>11463</v>
      </c>
      <c r="H140" s="158" t="n">
        <f aca="false">SUM(H132:H138)</f>
        <v>8975</v>
      </c>
      <c r="I140" s="158" t="n">
        <f aca="false">SUM(I132:I138)</f>
        <v>8328</v>
      </c>
      <c r="J140" s="158" t="n">
        <f aca="false">SUM(J132:J138)</f>
        <v>8694</v>
      </c>
      <c r="K140" s="158" t="n">
        <f aca="false">SUM(K132:K138)</f>
        <v>8586</v>
      </c>
      <c r="L140" s="158" t="n">
        <f aca="false">SUM(L132:L138)</f>
        <v>7131</v>
      </c>
      <c r="M140" s="158" t="n">
        <f aca="false">SUM(M132:M138)</f>
        <v>11798</v>
      </c>
      <c r="N140" s="158" t="n">
        <f aca="false">SUM(N132:N138)</f>
        <v>7552</v>
      </c>
      <c r="O140" s="158" t="n">
        <f aca="false">SUM(O132:O138)</f>
        <v>8169</v>
      </c>
      <c r="P140" s="158" t="n">
        <f aca="false">SUM(P132:P138)</f>
        <v>111878</v>
      </c>
      <c r="Q140" s="158" t="n">
        <f aca="false">SUM(Q132:Q138)</f>
        <v>68642</v>
      </c>
      <c r="R140" s="158" t="n">
        <f aca="false">SUM(R132:R138)</f>
        <v>43236</v>
      </c>
      <c r="S140" s="159"/>
      <c r="T140" s="158" t="n">
        <f aca="false">SUM(T132:T138)</f>
        <v>89136</v>
      </c>
      <c r="U140" s="158" t="n">
        <f aca="false">SUM(U132:U138)</f>
        <v>67572</v>
      </c>
      <c r="V140" s="158" t="n">
        <f aca="false">SUM(V132:V138)</f>
        <v>21564</v>
      </c>
      <c r="W140" s="96"/>
      <c r="X140" s="96"/>
      <c r="Y140" s="96"/>
      <c r="Z140" s="96"/>
      <c r="AA140" s="93" t="str">
        <f aca="false">A140</f>
        <v>            Total Funds Flow From Operations</v>
      </c>
      <c r="AB140" s="158" t="n">
        <f aca="false">SUM(AB132:AB138)</f>
        <v>111878</v>
      </c>
      <c r="AC140" s="158" t="n">
        <f aca="false">SUM(AC132:AC138)</f>
        <v>84359</v>
      </c>
      <c r="AD140" s="158" t="n">
        <f aca="false">SUM(AD132:AD138)</f>
        <v>27519</v>
      </c>
      <c r="AE140" s="158"/>
      <c r="AF140" s="158" t="n">
        <f aca="false">SUM(AF132:AF138)</f>
        <v>89136</v>
      </c>
      <c r="AG140" s="158" t="n">
        <f aca="false">SUM(AG132:AG138)</f>
        <v>67572</v>
      </c>
      <c r="AH140" s="158" t="n">
        <f aca="false">SUM(AH132:AH138)</f>
        <v>21564</v>
      </c>
      <c r="AI140" s="96"/>
      <c r="AJ140" s="158" t="n">
        <f aca="false">SUM(AJ132:AJ138)</f>
        <v>16787</v>
      </c>
      <c r="AK140" s="158" t="n">
        <f aca="false">SUM(AK132:AK138)</f>
        <v>22742</v>
      </c>
      <c r="AL140" s="96"/>
      <c r="AM140" s="158" t="n">
        <f aca="false">SUM(AM132:AM138)</f>
        <v>112367</v>
      </c>
      <c r="AN140" s="158" t="n">
        <f aca="false">SUM(AN132:AN138)</f>
        <v>-489</v>
      </c>
      <c r="AO140" s="96"/>
      <c r="AP140" s="158" t="n">
        <f aca="false">SUM(AP132:AP138)</f>
        <v>84848</v>
      </c>
      <c r="AQ140" s="158" t="n">
        <f aca="false">SUM(AQ132:AQ138)</f>
        <v>-489</v>
      </c>
      <c r="AR140" s="96"/>
      <c r="AS140" s="96"/>
      <c r="AT140" s="96"/>
      <c r="AU140" s="96"/>
    </row>
    <row r="141" customFormat="false" ht="3.95" hidden="fals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3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</row>
    <row r="142" customFormat="false" ht="12.75" hidden="false" customHeight="true" outlineLevel="0" collapsed="false">
      <c r="A142" s="96" t="str">
        <f aca="false">A15</f>
        <v>   Working Capital Changes: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152" t="str">
        <f aca="false">A142</f>
        <v>   Working Capital Changes:</v>
      </c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</row>
    <row r="143" customFormat="false" ht="12.75" hidden="false" customHeight="true" outlineLevel="0" collapsed="false">
      <c r="A143" s="124" t="s">
        <v>517</v>
      </c>
      <c r="B143" s="96"/>
      <c r="C143" s="96"/>
      <c r="D143" s="151" t="n">
        <f aca="false">D16+D20</f>
        <v>-1171</v>
      </c>
      <c r="E143" s="151" t="n">
        <f aca="false">E16+E20</f>
        <v>967</v>
      </c>
      <c r="F143" s="151" t="n">
        <f aca="false">F16+F20</f>
        <v>-14227</v>
      </c>
      <c r="G143" s="151" t="n">
        <f aca="false">G16+G20</f>
        <v>2655</v>
      </c>
      <c r="H143" s="151" t="n">
        <f aca="false">H16+H20</f>
        <v>-3421</v>
      </c>
      <c r="I143" s="151" t="n">
        <f aca="false">I16+I20</f>
        <v>11284</v>
      </c>
      <c r="J143" s="151" t="n">
        <f aca="false">J16+J20</f>
        <v>-10874</v>
      </c>
      <c r="K143" s="151" t="n">
        <f aca="false">K16+K20</f>
        <v>-3055</v>
      </c>
      <c r="L143" s="151" t="n">
        <f aca="false">L16+L20</f>
        <v>562</v>
      </c>
      <c r="M143" s="151" t="n">
        <f aca="false">M16+M20</f>
        <v>-886</v>
      </c>
      <c r="N143" s="151" t="n">
        <f aca="false">N16+N20</f>
        <v>637</v>
      </c>
      <c r="O143" s="151" t="n">
        <f aca="false">O16+O20</f>
        <v>-387</v>
      </c>
      <c r="P143" s="151" t="n">
        <f aca="false">P16+P20</f>
        <v>-17916</v>
      </c>
      <c r="Q143" s="151" t="n">
        <f aca="false">Q16+Q20</f>
        <v>-14787</v>
      </c>
      <c r="R143" s="151" t="n">
        <f aca="false">R16+R20</f>
        <v>-3129</v>
      </c>
      <c r="S143" s="96"/>
      <c r="T143" s="151" t="n">
        <f aca="false">T16+T20</f>
        <v>829</v>
      </c>
      <c r="U143" s="151" t="n">
        <f aca="false">U16+U20</f>
        <v>482</v>
      </c>
      <c r="V143" s="151" t="n">
        <f aca="false">V16+V20</f>
        <v>347</v>
      </c>
      <c r="W143" s="96"/>
      <c r="X143" s="96"/>
      <c r="Y143" s="96"/>
      <c r="Z143" s="96"/>
      <c r="AA143" s="152" t="str">
        <f aca="false">A143</f>
        <v>      Accounts Receivable (Including Exchange Gas Rec.)</v>
      </c>
      <c r="AB143" s="151" t="n">
        <f aca="false">P143</f>
        <v>-17916</v>
      </c>
      <c r="AC143" s="151" t="n">
        <f aca="false">AC16+AC20</f>
        <v>-17280</v>
      </c>
      <c r="AD143" s="122" t="n">
        <f aca="false">AB143-AC143</f>
        <v>-636</v>
      </c>
      <c r="AE143" s="96"/>
      <c r="AF143" s="122" t="n">
        <f aca="false">T143</f>
        <v>829</v>
      </c>
      <c r="AG143" s="151" t="n">
        <f aca="false">AG16+AG20</f>
        <v>482</v>
      </c>
      <c r="AH143" s="122" t="n">
        <f aca="false">AF143-AG143</f>
        <v>347</v>
      </c>
      <c r="AI143" s="96"/>
      <c r="AJ143" s="122" t="n">
        <f aca="false">AC143-AG143</f>
        <v>-17762</v>
      </c>
      <c r="AK143" s="122" t="n">
        <f aca="false">AB143-AF143</f>
        <v>-18745</v>
      </c>
      <c r="AL143" s="96"/>
      <c r="AM143" s="151" t="n">
        <f aca="false">AM16+AM20</f>
        <v>-6180</v>
      </c>
      <c r="AN143" s="122" t="n">
        <f aca="false">AB143-AM143</f>
        <v>-11736</v>
      </c>
      <c r="AO143" s="96"/>
      <c r="AP143" s="151" t="n">
        <f aca="false">AP16+AP20</f>
        <v>-5544</v>
      </c>
      <c r="AQ143" s="122" t="n">
        <f aca="false">AC143-AP143</f>
        <v>-11736</v>
      </c>
      <c r="AR143" s="96"/>
      <c r="AS143" s="96"/>
      <c r="AT143" s="96"/>
      <c r="AU143" s="96"/>
    </row>
    <row r="144" customFormat="false" ht="12.75" hidden="false" customHeight="true" outlineLevel="0" collapsed="false">
      <c r="A144" s="124" t="s">
        <v>518</v>
      </c>
      <c r="B144" s="96"/>
      <c r="C144" s="96"/>
      <c r="D144" s="151" t="n">
        <f aca="false">D18+D19+D21</f>
        <v>3673</v>
      </c>
      <c r="E144" s="151" t="n">
        <f aca="false">E18+E19+E21</f>
        <v>-2849</v>
      </c>
      <c r="F144" s="151" t="n">
        <f aca="false">F18+F19+F21</f>
        <v>13285</v>
      </c>
      <c r="G144" s="151" t="n">
        <f aca="false">G18+G19+G21</f>
        <v>-9795</v>
      </c>
      <c r="H144" s="151" t="n">
        <f aca="false">H18+H19+H21</f>
        <v>485</v>
      </c>
      <c r="I144" s="151" t="n">
        <f aca="false">I18+I19+I21</f>
        <v>2893</v>
      </c>
      <c r="J144" s="151" t="n">
        <f aca="false">J18+J19+J21</f>
        <v>-1696</v>
      </c>
      <c r="K144" s="151" t="n">
        <f aca="false">K18+K19+K21</f>
        <v>2571</v>
      </c>
      <c r="L144" s="151" t="n">
        <f aca="false">L18+L19+L21</f>
        <v>4194</v>
      </c>
      <c r="M144" s="151" t="n">
        <f aca="false">M18+M19+M21</f>
        <v>311</v>
      </c>
      <c r="N144" s="151" t="n">
        <f aca="false">N18+N19+N21</f>
        <v>1692</v>
      </c>
      <c r="O144" s="151" t="n">
        <f aca="false">O18+O19+O21</f>
        <v>-1034</v>
      </c>
      <c r="P144" s="151" t="n">
        <f aca="false">P18+P19+P21</f>
        <v>13730</v>
      </c>
      <c r="Q144" s="151" t="n">
        <f aca="false">Q18+Q19+Q21</f>
        <v>5996</v>
      </c>
      <c r="R144" s="151" t="n">
        <f aca="false">R18+R19+R21</f>
        <v>7734</v>
      </c>
      <c r="S144" s="96"/>
      <c r="T144" s="151" t="n">
        <f aca="false">T18+T19+T21</f>
        <v>-8475</v>
      </c>
      <c r="U144" s="151" t="n">
        <f aca="false">U18+U19+U21</f>
        <v>-9645</v>
      </c>
      <c r="V144" s="151" t="n">
        <f aca="false">V18+V19+V21</f>
        <v>1170</v>
      </c>
      <c r="W144" s="96"/>
      <c r="X144" s="96"/>
      <c r="Y144" s="96"/>
      <c r="Z144" s="96"/>
      <c r="AA144" s="152" t="str">
        <f aca="false">A144</f>
        <v>      Accounts Payable &amp; Other (Including Exchange Gas Pay.)</v>
      </c>
      <c r="AB144" s="151" t="n">
        <f aca="false">P144</f>
        <v>13730</v>
      </c>
      <c r="AC144" s="151" t="n">
        <f aca="false">AC18+AC19+AC21</f>
        <v>12761</v>
      </c>
      <c r="AD144" s="122" t="n">
        <f aca="false">AB144-AC144</f>
        <v>969</v>
      </c>
      <c r="AE144" s="96"/>
      <c r="AF144" s="122" t="n">
        <f aca="false">T144</f>
        <v>-8475</v>
      </c>
      <c r="AG144" s="151" t="n">
        <f aca="false">AG18+AG19+AG21</f>
        <v>-9645</v>
      </c>
      <c r="AH144" s="122" t="n">
        <f aca="false">AF144-AG144</f>
        <v>1170</v>
      </c>
      <c r="AI144" s="96"/>
      <c r="AJ144" s="122" t="n">
        <f aca="false">AC144-AG144</f>
        <v>22406</v>
      </c>
      <c r="AK144" s="122" t="n">
        <f aca="false">AB144-AF144</f>
        <v>22205</v>
      </c>
      <c r="AL144" s="96"/>
      <c r="AM144" s="151" t="n">
        <f aca="false">AM18+AM19+AM21</f>
        <v>-2132</v>
      </c>
      <c r="AN144" s="122" t="n">
        <f aca="false">AB144-AM144</f>
        <v>15862</v>
      </c>
      <c r="AO144" s="96"/>
      <c r="AP144" s="151" t="n">
        <f aca="false">AP18+AP19+AP21</f>
        <v>-622</v>
      </c>
      <c r="AQ144" s="122" t="n">
        <f aca="false">AC144-AP144</f>
        <v>13383</v>
      </c>
      <c r="AR144" s="96"/>
      <c r="AS144" s="96"/>
      <c r="AT144" s="96"/>
      <c r="AU144" s="96"/>
    </row>
    <row r="145" customFormat="false" ht="12.75" hidden="false" customHeight="true" outlineLevel="0" collapsed="false">
      <c r="A145" s="96" t="str">
        <f aca="false">A23</f>
        <v>      Accrued Interest - Third Party</v>
      </c>
      <c r="B145" s="96"/>
      <c r="C145" s="96"/>
      <c r="D145" s="151" t="n">
        <f aca="false">D23</f>
        <v>1043</v>
      </c>
      <c r="E145" s="151" t="n">
        <f aca="false">E23</f>
        <v>1044</v>
      </c>
      <c r="F145" s="151" t="n">
        <f aca="false">F23</f>
        <v>1043</v>
      </c>
      <c r="G145" s="151" t="n">
        <f aca="false">G23</f>
        <v>-4775</v>
      </c>
      <c r="H145" s="151" t="n">
        <f aca="false">H23</f>
        <v>86</v>
      </c>
      <c r="I145" s="151" t="n">
        <f aca="false">I23</f>
        <v>-1216</v>
      </c>
      <c r="J145" s="151" t="n">
        <f aca="false">J23</f>
        <v>118</v>
      </c>
      <c r="K145" s="151" t="n">
        <f aca="false">K23</f>
        <v>118</v>
      </c>
      <c r="L145" s="151" t="n">
        <f aca="false">L23</f>
        <v>119</v>
      </c>
      <c r="M145" s="151" t="n">
        <f aca="false">M23</f>
        <v>118</v>
      </c>
      <c r="N145" s="151" t="n">
        <f aca="false">N23</f>
        <v>-591</v>
      </c>
      <c r="O145" s="151" t="n">
        <f aca="false">O23</f>
        <v>89</v>
      </c>
      <c r="P145" s="151" t="n">
        <f aca="false">P23</f>
        <v>-2804</v>
      </c>
      <c r="Q145" s="151" t="n">
        <f aca="false">Q23</f>
        <v>-2657</v>
      </c>
      <c r="R145" s="151" t="n">
        <f aca="false">R23</f>
        <v>-147</v>
      </c>
      <c r="S145" s="96"/>
      <c r="T145" s="151" t="n">
        <f aca="false">T23</f>
        <v>50</v>
      </c>
      <c r="U145" s="151" t="n">
        <f aca="false">U23</f>
        <v>3159</v>
      </c>
      <c r="V145" s="151" t="n">
        <f aca="false">V23</f>
        <v>-3109</v>
      </c>
      <c r="W145" s="96"/>
      <c r="X145" s="96"/>
      <c r="Y145" s="96"/>
      <c r="Z145" s="96"/>
      <c r="AA145" s="152" t="str">
        <f aca="false">A145</f>
        <v>      Accrued Interest - Third Party</v>
      </c>
      <c r="AB145" s="151" t="n">
        <f aca="false">P145</f>
        <v>-2804</v>
      </c>
      <c r="AC145" s="151" t="n">
        <f aca="false">AC23</f>
        <v>-2420</v>
      </c>
      <c r="AD145" s="122" t="n">
        <f aca="false">AB145-AC145</f>
        <v>-384</v>
      </c>
      <c r="AE145" s="96"/>
      <c r="AF145" s="122" t="n">
        <f aca="false">T145</f>
        <v>50</v>
      </c>
      <c r="AG145" s="151" t="n">
        <f aca="false">AG23</f>
        <v>3159</v>
      </c>
      <c r="AH145" s="122" t="n">
        <f aca="false">AF145-AG145</f>
        <v>-3109</v>
      </c>
      <c r="AI145" s="96"/>
      <c r="AJ145" s="122" t="n">
        <f aca="false">AC145-AG145</f>
        <v>-5579</v>
      </c>
      <c r="AK145" s="122" t="n">
        <f aca="false">AB145-AF145</f>
        <v>-2854</v>
      </c>
      <c r="AL145" s="96"/>
      <c r="AM145" s="151" t="n">
        <f aca="false">AM23</f>
        <v>-2804</v>
      </c>
      <c r="AN145" s="122" t="n">
        <f aca="false">AB145-AM145</f>
        <v>0</v>
      </c>
      <c r="AO145" s="96"/>
      <c r="AP145" s="151" t="n">
        <f aca="false">AP23</f>
        <v>-2420</v>
      </c>
      <c r="AQ145" s="122" t="n">
        <f aca="false">AC145-AP145</f>
        <v>0</v>
      </c>
      <c r="AR145" s="96"/>
      <c r="AS145" s="96"/>
      <c r="AT145" s="96"/>
      <c r="AU145" s="96"/>
    </row>
    <row r="146" customFormat="false" ht="12.75" hidden="false" customHeight="true" outlineLevel="0" collapsed="false">
      <c r="A146" s="108" t="s">
        <v>491</v>
      </c>
      <c r="B146" s="96"/>
      <c r="C146" s="96"/>
      <c r="D146" s="123" t="n">
        <v>0</v>
      </c>
      <c r="E146" s="123" t="n">
        <v>0</v>
      </c>
      <c r="F146" s="123" t="n">
        <v>0</v>
      </c>
      <c r="G146" s="123" t="n">
        <v>0</v>
      </c>
      <c r="H146" s="123" t="n">
        <v>0</v>
      </c>
      <c r="I146" s="123" t="n">
        <v>0</v>
      </c>
      <c r="J146" s="123" t="n">
        <v>0</v>
      </c>
      <c r="K146" s="123" t="n">
        <v>0</v>
      </c>
      <c r="L146" s="123" t="n">
        <v>0</v>
      </c>
      <c r="M146" s="123" t="n">
        <v>0</v>
      </c>
      <c r="N146" s="123" t="n">
        <v>0</v>
      </c>
      <c r="O146" s="123" t="n">
        <v>0</v>
      </c>
      <c r="P146" s="122" t="n">
        <f aca="false">SUM(D146:O146)</f>
        <v>0</v>
      </c>
      <c r="Q146" s="123" t="n">
        <f aca="false">SUM(D146:J146)</f>
        <v>0</v>
      </c>
      <c r="R146" s="122" t="n">
        <f aca="false">P146-Q146</f>
        <v>0</v>
      </c>
      <c r="S146" s="96"/>
      <c r="T146" s="123" t="n">
        <v>0</v>
      </c>
      <c r="U146" s="123" t="n">
        <v>0</v>
      </c>
      <c r="V146" s="123" t="n">
        <v>0</v>
      </c>
      <c r="W146" s="96"/>
      <c r="X146" s="96"/>
      <c r="Y146" s="96"/>
      <c r="Z146" s="96"/>
      <c r="AA146" s="152" t="str">
        <f aca="false">A146</f>
        <v>      Accrued Income Taxes</v>
      </c>
      <c r="AB146" s="151" t="n">
        <f aca="false">P146</f>
        <v>0</v>
      </c>
      <c r="AC146" s="123" t="n">
        <f aca="false">SUM(D146:L146)</f>
        <v>0</v>
      </c>
      <c r="AD146" s="122" t="n">
        <f aca="false">AB146-AC146</f>
        <v>0</v>
      </c>
      <c r="AE146" s="96"/>
      <c r="AF146" s="122" t="n">
        <f aca="false">T146</f>
        <v>0</v>
      </c>
      <c r="AG146" s="123" t="n">
        <v>0</v>
      </c>
      <c r="AH146" s="122" t="n">
        <f aca="false">AF146-AG146</f>
        <v>0</v>
      </c>
      <c r="AI146" s="96"/>
      <c r="AJ146" s="122" t="n">
        <f aca="false">AC146-AG146</f>
        <v>0</v>
      </c>
      <c r="AK146" s="122" t="n">
        <f aca="false">AB146-AF146</f>
        <v>0</v>
      </c>
      <c r="AL146" s="96"/>
      <c r="AM146" s="123" t="n">
        <v>0</v>
      </c>
      <c r="AN146" s="122" t="n">
        <f aca="false">AB146-AM146</f>
        <v>0</v>
      </c>
      <c r="AO146" s="96"/>
      <c r="AP146" s="123" t="n">
        <v>0</v>
      </c>
      <c r="AQ146" s="122" t="n">
        <f aca="false">AC146-AP146</f>
        <v>0</v>
      </c>
      <c r="AR146" s="96"/>
      <c r="AS146" s="96"/>
      <c r="AT146" s="96"/>
      <c r="AU146" s="96"/>
    </row>
    <row r="147" customFormat="false" ht="12.75" hidden="false" customHeight="true" outlineLevel="0" collapsed="false">
      <c r="A147" s="96" t="str">
        <f aca="false">A24</f>
        <v>      Accrued Taxes, Other Than Income</v>
      </c>
      <c r="B147" s="96"/>
      <c r="C147" s="96"/>
      <c r="D147" s="151" t="n">
        <f aca="false">D24</f>
        <v>-732</v>
      </c>
      <c r="E147" s="151" t="n">
        <f aca="false">E24</f>
        <v>1060</v>
      </c>
      <c r="F147" s="151" t="n">
        <f aca="false">F24</f>
        <v>1049</v>
      </c>
      <c r="G147" s="151" t="n">
        <f aca="false">G24</f>
        <v>-2482</v>
      </c>
      <c r="H147" s="151" t="n">
        <f aca="false">H24</f>
        <v>74</v>
      </c>
      <c r="I147" s="151" t="n">
        <f aca="false">I24</f>
        <v>574</v>
      </c>
      <c r="J147" s="151" t="n">
        <f aca="false">J24</f>
        <v>765</v>
      </c>
      <c r="K147" s="151" t="n">
        <f aca="false">K24</f>
        <v>610</v>
      </c>
      <c r="L147" s="151" t="n">
        <f aca="false">L24</f>
        <v>825</v>
      </c>
      <c r="M147" s="151" t="n">
        <f aca="false">M24</f>
        <v>-2502</v>
      </c>
      <c r="N147" s="151" t="n">
        <f aca="false">N24</f>
        <v>625</v>
      </c>
      <c r="O147" s="151" t="n">
        <f aca="false">O24</f>
        <v>-381</v>
      </c>
      <c r="P147" s="151" t="n">
        <f aca="false">P24</f>
        <v>-515</v>
      </c>
      <c r="Q147" s="151" t="n">
        <f aca="false">Q24</f>
        <v>308</v>
      </c>
      <c r="R147" s="151" t="n">
        <f aca="false">R24</f>
        <v>-823</v>
      </c>
      <c r="S147" s="96"/>
      <c r="T147" s="151" t="n">
        <f aca="false">T24</f>
        <v>422</v>
      </c>
      <c r="U147" s="151" t="n">
        <f aca="false">U24</f>
        <v>2602</v>
      </c>
      <c r="V147" s="151" t="n">
        <f aca="false">V24</f>
        <v>-2180</v>
      </c>
      <c r="W147" s="96"/>
      <c r="X147" s="96"/>
      <c r="Y147" s="96"/>
      <c r="Z147" s="96"/>
      <c r="AA147" s="152" t="str">
        <f aca="false">A147</f>
        <v>      Accrued Taxes, Other Than Income</v>
      </c>
      <c r="AB147" s="151" t="n">
        <f aca="false">P147</f>
        <v>-515</v>
      </c>
      <c r="AC147" s="151" t="n">
        <f aca="false">AC24</f>
        <v>1743</v>
      </c>
      <c r="AD147" s="122" t="n">
        <f aca="false">AB147-AC147</f>
        <v>-2258</v>
      </c>
      <c r="AE147" s="96"/>
      <c r="AF147" s="122" t="n">
        <f aca="false">T147</f>
        <v>422</v>
      </c>
      <c r="AG147" s="151" t="n">
        <f aca="false">AG24</f>
        <v>2602</v>
      </c>
      <c r="AH147" s="122" t="n">
        <f aca="false">AF147-AG147</f>
        <v>-2180</v>
      </c>
      <c r="AI147" s="96"/>
      <c r="AJ147" s="122" t="n">
        <f aca="false">AC147-AG147</f>
        <v>-859</v>
      </c>
      <c r="AK147" s="122" t="n">
        <f aca="false">AB147-AF147</f>
        <v>-937</v>
      </c>
      <c r="AL147" s="96"/>
      <c r="AM147" s="151" t="n">
        <f aca="false">AM24</f>
        <v>-441</v>
      </c>
      <c r="AN147" s="122" t="n">
        <f aca="false">AB147-AM147</f>
        <v>-74</v>
      </c>
      <c r="AO147" s="96"/>
      <c r="AP147" s="151" t="n">
        <f aca="false">AP24</f>
        <v>1817</v>
      </c>
      <c r="AQ147" s="122" t="n">
        <f aca="false">AC147-AP147</f>
        <v>-74</v>
      </c>
      <c r="AR147" s="96"/>
      <c r="AS147" s="96"/>
      <c r="AT147" s="96"/>
      <c r="AU147" s="96"/>
    </row>
    <row r="148" customFormat="false" ht="12.75" hidden="false" customHeight="true" outlineLevel="0" collapsed="false">
      <c r="A148" s="124" t="s">
        <v>492</v>
      </c>
      <c r="B148" s="96"/>
      <c r="C148" s="96"/>
      <c r="D148" s="123" t="n">
        <v>0</v>
      </c>
      <c r="E148" s="123" t="n">
        <v>0</v>
      </c>
      <c r="F148" s="123" t="n">
        <v>0</v>
      </c>
      <c r="G148" s="123" t="n">
        <v>0</v>
      </c>
      <c r="H148" s="123" t="n">
        <v>0</v>
      </c>
      <c r="I148" s="123" t="n">
        <v>0</v>
      </c>
      <c r="J148" s="123" t="n">
        <v>0</v>
      </c>
      <c r="K148" s="123" t="n">
        <v>0</v>
      </c>
      <c r="L148" s="123" t="n">
        <v>0</v>
      </c>
      <c r="M148" s="123" t="n">
        <v>0</v>
      </c>
      <c r="N148" s="123" t="n">
        <v>0</v>
      </c>
      <c r="O148" s="123" t="n">
        <v>0</v>
      </c>
      <c r="P148" s="122" t="n">
        <f aca="false">SUM(D148:O148)</f>
        <v>0</v>
      </c>
      <c r="Q148" s="123" t="n">
        <f aca="false">SUM(D148:J148)</f>
        <v>0</v>
      </c>
      <c r="R148" s="122" t="n">
        <f aca="false">P148-Q148</f>
        <v>0</v>
      </c>
      <c r="S148" s="96"/>
      <c r="T148" s="123" t="n">
        <v>0</v>
      </c>
      <c r="U148" s="123" t="n">
        <v>0</v>
      </c>
      <c r="V148" s="123" t="n">
        <v>0</v>
      </c>
      <c r="W148" s="96"/>
      <c r="X148" s="96"/>
      <c r="Y148" s="96"/>
      <c r="Z148" s="96"/>
      <c r="AA148" s="152" t="str">
        <f aca="false">A148</f>
        <v>      Tax Refunds / Payments</v>
      </c>
      <c r="AB148" s="151" t="n">
        <f aca="false">P148</f>
        <v>0</v>
      </c>
      <c r="AC148" s="123" t="n">
        <f aca="false">SUM(D148:L148)</f>
        <v>0</v>
      </c>
      <c r="AD148" s="122" t="n">
        <f aca="false">AB148-AC148</f>
        <v>0</v>
      </c>
      <c r="AE148" s="96"/>
      <c r="AF148" s="122" t="n">
        <f aca="false">T148</f>
        <v>0</v>
      </c>
      <c r="AG148" s="123" t="n">
        <v>0</v>
      </c>
      <c r="AH148" s="122" t="n">
        <f aca="false">AF148-AG148</f>
        <v>0</v>
      </c>
      <c r="AI148" s="96"/>
      <c r="AJ148" s="122" t="n">
        <f aca="false">AC148-AG148</f>
        <v>0</v>
      </c>
      <c r="AK148" s="122" t="n">
        <f aca="false">AB148-AF148</f>
        <v>0</v>
      </c>
      <c r="AL148" s="96"/>
      <c r="AM148" s="123" t="n">
        <v>0</v>
      </c>
      <c r="AN148" s="122" t="n">
        <f aca="false">AB148-AM148</f>
        <v>0</v>
      </c>
      <c r="AO148" s="96"/>
      <c r="AP148" s="123" t="n">
        <v>0</v>
      </c>
      <c r="AQ148" s="122" t="n">
        <f aca="false">AC148-AP148</f>
        <v>0</v>
      </c>
      <c r="AR148" s="96"/>
      <c r="AS148" s="96"/>
      <c r="AT148" s="96"/>
      <c r="AU148" s="96"/>
    </row>
    <row r="149" customFormat="false" ht="12.75" hidden="false" customHeight="true" outlineLevel="0" collapsed="false">
      <c r="A149" s="124" t="s">
        <v>519</v>
      </c>
      <c r="B149" s="96"/>
      <c r="C149" s="96"/>
      <c r="D149" s="153" t="n">
        <f aca="false">D17+D22+D25</f>
        <v>-472</v>
      </c>
      <c r="E149" s="153" t="n">
        <f aca="false">E17+E22+E25</f>
        <v>-539</v>
      </c>
      <c r="F149" s="153" t="n">
        <f aca="false">F17+F22+F25</f>
        <v>1957</v>
      </c>
      <c r="G149" s="153" t="n">
        <f aca="false">G17+G22+G25</f>
        <v>-324</v>
      </c>
      <c r="H149" s="153" t="n">
        <f aca="false">H17+H22+H25</f>
        <v>363</v>
      </c>
      <c r="I149" s="153" t="n">
        <f aca="false">I17+I22+I25</f>
        <v>37</v>
      </c>
      <c r="J149" s="153" t="n">
        <f aca="false">J17+J22+J25</f>
        <v>44</v>
      </c>
      <c r="K149" s="153" t="n">
        <f aca="false">K17+K22+K25</f>
        <v>0</v>
      </c>
      <c r="L149" s="153" t="n">
        <f aca="false">L17+L22+L25</f>
        <v>-1200</v>
      </c>
      <c r="M149" s="153" t="n">
        <f aca="false">M17+M22+M25</f>
        <v>100</v>
      </c>
      <c r="N149" s="153" t="n">
        <f aca="false">N17+N22+N25</f>
        <v>100</v>
      </c>
      <c r="O149" s="153" t="n">
        <f aca="false">O17+O22+O25</f>
        <v>-56</v>
      </c>
      <c r="P149" s="153" t="n">
        <f aca="false">P17+P22+P25</f>
        <v>10</v>
      </c>
      <c r="Q149" s="153" t="n">
        <f aca="false">Q17+Q22+Q25</f>
        <v>1066</v>
      </c>
      <c r="R149" s="153" t="n">
        <f aca="false">R17+R22+R25</f>
        <v>-1056</v>
      </c>
      <c r="S149" s="96"/>
      <c r="T149" s="153" t="n">
        <f aca="false">T17+T22+T25</f>
        <v>-22</v>
      </c>
      <c r="U149" s="153" t="n">
        <f aca="false">U17+U22+U25</f>
        <v>-470</v>
      </c>
      <c r="V149" s="153" t="n">
        <f aca="false">V17+V22+V25</f>
        <v>448</v>
      </c>
      <c r="W149" s="96"/>
      <c r="X149" s="96"/>
      <c r="Y149" s="96"/>
      <c r="Z149" s="96"/>
      <c r="AA149" s="152" t="str">
        <f aca="false">A149</f>
        <v>      Other (Including Inventory and Prepayments)</v>
      </c>
      <c r="AB149" s="153" t="n">
        <f aca="false">P149</f>
        <v>10</v>
      </c>
      <c r="AC149" s="153" t="n">
        <f aca="false">AC17+AC22+AC25</f>
        <v>-134</v>
      </c>
      <c r="AD149" s="135" t="n">
        <f aca="false">AB149-AC149</f>
        <v>144</v>
      </c>
      <c r="AE149" s="156"/>
      <c r="AF149" s="135" t="n">
        <f aca="false">T149</f>
        <v>-22</v>
      </c>
      <c r="AG149" s="153" t="n">
        <f aca="false">AG17+AG22+AG25</f>
        <v>-470</v>
      </c>
      <c r="AH149" s="135" t="n">
        <f aca="false">AF149-AG149</f>
        <v>448</v>
      </c>
      <c r="AI149" s="96"/>
      <c r="AJ149" s="135" t="n">
        <f aca="false">AC149-AG149</f>
        <v>336</v>
      </c>
      <c r="AK149" s="135" t="n">
        <f aca="false">AB149-AF149</f>
        <v>32</v>
      </c>
      <c r="AL149" s="96"/>
      <c r="AM149" s="153" t="n">
        <f aca="false">AM17+AM22+AM25</f>
        <v>-31</v>
      </c>
      <c r="AN149" s="135" t="n">
        <f aca="false">AB149-AM149</f>
        <v>41</v>
      </c>
      <c r="AO149" s="96"/>
      <c r="AP149" s="153" t="n">
        <f aca="false">AP17+AP22+AP25</f>
        <v>-175</v>
      </c>
      <c r="AQ149" s="135" t="n">
        <f aca="false">AC149-AP149</f>
        <v>41</v>
      </c>
      <c r="AR149" s="96"/>
      <c r="AS149" s="96"/>
      <c r="AT149" s="96"/>
      <c r="AU149" s="96"/>
    </row>
    <row r="150" customFormat="false" ht="3.95" hidden="fals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3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</row>
    <row r="151" customFormat="false" ht="12.75" hidden="false" customHeight="true" outlineLevel="0" collapsed="false">
      <c r="A151" s="124" t="s">
        <v>520</v>
      </c>
      <c r="B151" s="96"/>
      <c r="C151" s="96"/>
      <c r="D151" s="153" t="n">
        <f aca="false">SUM(D143:D149)</f>
        <v>2341</v>
      </c>
      <c r="E151" s="153" t="n">
        <f aca="false">SUM(E143:E149)</f>
        <v>-317</v>
      </c>
      <c r="F151" s="153" t="n">
        <f aca="false">SUM(F143:F149)</f>
        <v>3107</v>
      </c>
      <c r="G151" s="153" t="n">
        <f aca="false">SUM(G143:G149)</f>
        <v>-14721</v>
      </c>
      <c r="H151" s="153" t="n">
        <f aca="false">SUM(H143:H149)</f>
        <v>-2413</v>
      </c>
      <c r="I151" s="153" t="n">
        <f aca="false">SUM(I143:I149)</f>
        <v>13572</v>
      </c>
      <c r="J151" s="153" t="n">
        <f aca="false">SUM(J143:J149)</f>
        <v>-11643</v>
      </c>
      <c r="K151" s="153" t="n">
        <f aca="false">SUM(K143:K149)</f>
        <v>244</v>
      </c>
      <c r="L151" s="153" t="n">
        <f aca="false">SUM(L143:L149)</f>
        <v>4500</v>
      </c>
      <c r="M151" s="153" t="n">
        <f aca="false">SUM(M143:M149)</f>
        <v>-2859</v>
      </c>
      <c r="N151" s="153" t="n">
        <f aca="false">SUM(N143:N149)</f>
        <v>2463</v>
      </c>
      <c r="O151" s="153" t="n">
        <f aca="false">SUM(O143:O149)</f>
        <v>-1769</v>
      </c>
      <c r="P151" s="153" t="n">
        <f aca="false">SUM(P143:P149)</f>
        <v>-7495</v>
      </c>
      <c r="Q151" s="153" t="n">
        <f aca="false">SUM(Q143:Q149)</f>
        <v>-10074</v>
      </c>
      <c r="R151" s="153" t="n">
        <f aca="false">SUM(R143:R149)</f>
        <v>2579</v>
      </c>
      <c r="S151" s="96"/>
      <c r="T151" s="153" t="n">
        <f aca="false">SUM(T143:T149)</f>
        <v>-7196</v>
      </c>
      <c r="U151" s="153" t="n">
        <f aca="false">SUM(U143:U149)</f>
        <v>-3872</v>
      </c>
      <c r="V151" s="153" t="n">
        <f aca="false">SUM(V143:V149)</f>
        <v>-3324</v>
      </c>
      <c r="W151" s="96"/>
      <c r="X151" s="96"/>
      <c r="Y151" s="96"/>
      <c r="Z151" s="96"/>
      <c r="AA151" s="152" t="str">
        <f aca="false">A151</f>
        <v>            Total Working Capital Changes</v>
      </c>
      <c r="AB151" s="153" t="n">
        <f aca="false">SUM(AB143:AB149)</f>
        <v>-7495</v>
      </c>
      <c r="AC151" s="153" t="n">
        <f aca="false">SUM(AC143:AC149)</f>
        <v>-5330</v>
      </c>
      <c r="AD151" s="153" t="n">
        <f aca="false">SUM(AD143:AD149)</f>
        <v>-2165</v>
      </c>
      <c r="AE151" s="96"/>
      <c r="AF151" s="153" t="n">
        <f aca="false">SUM(AF143:AF149)</f>
        <v>-7196</v>
      </c>
      <c r="AG151" s="153" t="n">
        <f aca="false">SUM(AG143:AG149)</f>
        <v>-3872</v>
      </c>
      <c r="AH151" s="153" t="n">
        <f aca="false">SUM(AH143:AH149)</f>
        <v>-3324</v>
      </c>
      <c r="AI151" s="96"/>
      <c r="AJ151" s="153" t="n">
        <f aca="false">SUM(AJ143:AJ149)</f>
        <v>-1458</v>
      </c>
      <c r="AK151" s="153" t="n">
        <f aca="false">SUM(AK143:AK149)</f>
        <v>-299</v>
      </c>
      <c r="AL151" s="96"/>
      <c r="AM151" s="153" t="n">
        <f aca="false">SUM(AM143:AM149)</f>
        <v>-11588</v>
      </c>
      <c r="AN151" s="153" t="n">
        <f aca="false">SUM(AN143:AN149)</f>
        <v>4093</v>
      </c>
      <c r="AO151" s="96"/>
      <c r="AP151" s="153" t="n">
        <f aca="false">SUM(AP143:AP149)</f>
        <v>-6944</v>
      </c>
      <c r="AQ151" s="153" t="n">
        <f aca="false">SUM(AQ143:AQ149)</f>
        <v>1614</v>
      </c>
      <c r="AR151" s="96"/>
      <c r="AS151" s="96"/>
      <c r="AT151" s="96"/>
      <c r="AU151" s="96"/>
    </row>
    <row r="152" customFormat="false" ht="6" hidden="fals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3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</row>
    <row r="153" customFormat="false" ht="12.75" hidden="false" customHeight="true" outlineLevel="0" collapsed="false">
      <c r="A153" s="160" t="s">
        <v>521</v>
      </c>
      <c r="B153" s="96"/>
      <c r="C153" s="96"/>
      <c r="D153" s="151" t="n">
        <f aca="false">D140+D151</f>
        <v>11072</v>
      </c>
      <c r="E153" s="151" t="n">
        <f aca="false">E140+E151</f>
        <v>9754</v>
      </c>
      <c r="F153" s="151" t="n">
        <f aca="false">F140+F151</f>
        <v>15487</v>
      </c>
      <c r="G153" s="151" t="n">
        <f aca="false">G140+G151</f>
        <v>-3258</v>
      </c>
      <c r="H153" s="151" t="n">
        <f aca="false">H140+H151</f>
        <v>6562</v>
      </c>
      <c r="I153" s="151" t="n">
        <f aca="false">I140+I151</f>
        <v>21900</v>
      </c>
      <c r="J153" s="151" t="n">
        <f aca="false">J140+J151</f>
        <v>-2949</v>
      </c>
      <c r="K153" s="151" t="n">
        <f aca="false">K140+K151</f>
        <v>8830</v>
      </c>
      <c r="L153" s="151" t="n">
        <f aca="false">L140+L151</f>
        <v>11631</v>
      </c>
      <c r="M153" s="151" t="n">
        <f aca="false">M140+M151</f>
        <v>8939</v>
      </c>
      <c r="N153" s="151" t="n">
        <f aca="false">N140+N151</f>
        <v>10015</v>
      </c>
      <c r="O153" s="151" t="n">
        <f aca="false">O140+O151</f>
        <v>6400</v>
      </c>
      <c r="P153" s="151" t="n">
        <f aca="false">P140+P151</f>
        <v>104383</v>
      </c>
      <c r="Q153" s="151" t="n">
        <f aca="false">Q140+Q151</f>
        <v>58568</v>
      </c>
      <c r="R153" s="151" t="n">
        <f aca="false">R140+R151</f>
        <v>45815</v>
      </c>
      <c r="S153" s="96"/>
      <c r="T153" s="151" t="n">
        <f aca="false">T140+T151</f>
        <v>81940</v>
      </c>
      <c r="U153" s="151" t="n">
        <f aca="false">U140+U151</f>
        <v>63700</v>
      </c>
      <c r="V153" s="151" t="n">
        <f aca="false">V140+V151</f>
        <v>18240</v>
      </c>
      <c r="W153" s="96"/>
      <c r="X153" s="96"/>
      <c r="Y153" s="96"/>
      <c r="Z153" s="96"/>
      <c r="AA153" s="150" t="str">
        <f aca="false">A153</f>
        <v>TOTAL CASH FLOW FROM OPERATING ACTIVITIES</v>
      </c>
      <c r="AB153" s="151" t="n">
        <f aca="false">AB140+AB151</f>
        <v>104383</v>
      </c>
      <c r="AC153" s="151" t="n">
        <f aca="false">AC140+AC151</f>
        <v>79029</v>
      </c>
      <c r="AD153" s="151" t="n">
        <f aca="false">AD140+AD151</f>
        <v>25354</v>
      </c>
      <c r="AE153" s="96"/>
      <c r="AF153" s="151" t="n">
        <f aca="false">AF140+AF151</f>
        <v>81940</v>
      </c>
      <c r="AG153" s="151" t="n">
        <f aca="false">AG140+AG151</f>
        <v>63700</v>
      </c>
      <c r="AH153" s="151" t="n">
        <f aca="false">AH140+AH151</f>
        <v>18240</v>
      </c>
      <c r="AI153" s="96"/>
      <c r="AJ153" s="151" t="n">
        <f aca="false">AJ140+AJ151</f>
        <v>15329</v>
      </c>
      <c r="AK153" s="151" t="n">
        <f aca="false">AK140+AK151</f>
        <v>22443</v>
      </c>
      <c r="AL153" s="96"/>
      <c r="AM153" s="151" t="n">
        <f aca="false">AM140+AM151</f>
        <v>100779</v>
      </c>
      <c r="AN153" s="151" t="n">
        <f aca="false">AN140+AN151</f>
        <v>3604</v>
      </c>
      <c r="AO153" s="96"/>
      <c r="AP153" s="151" t="n">
        <f aca="false">AP140+AP151</f>
        <v>77904</v>
      </c>
      <c r="AQ153" s="151" t="n">
        <f aca="false">AQ140+AQ151</f>
        <v>1125</v>
      </c>
      <c r="AR153" s="96"/>
      <c r="AS153" s="96"/>
      <c r="AT153" s="96"/>
      <c r="AU153" s="96"/>
    </row>
    <row r="154" customFormat="false" ht="6" hidden="fals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3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</row>
    <row r="155" customFormat="false" ht="12.75" hidden="false" customHeight="true" outlineLevel="0" collapsed="false">
      <c r="A155" s="96" t="str">
        <f aca="false">A36</f>
        <v>CASH FLOW FROM INVESTING ACTIVITIES</v>
      </c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152" t="str">
        <f aca="false">A155</f>
        <v>CASH FLOW FROM INVESTING ACTIVITIES</v>
      </c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</row>
    <row r="156" customFormat="false" ht="12.75" hidden="false" customHeight="true" outlineLevel="0" collapsed="false">
      <c r="A156" s="96" t="str">
        <f aca="false">A37</f>
        <v>   Proceeds from Sale of Investments</v>
      </c>
      <c r="B156" s="96"/>
      <c r="C156" s="96"/>
      <c r="D156" s="151" t="n">
        <f aca="false">D37</f>
        <v>0</v>
      </c>
      <c r="E156" s="151" t="n">
        <f aca="false">E37</f>
        <v>0</v>
      </c>
      <c r="F156" s="151" t="n">
        <f aca="false">F37</f>
        <v>0</v>
      </c>
      <c r="G156" s="151" t="n">
        <f aca="false">G37</f>
        <v>0</v>
      </c>
      <c r="H156" s="151" t="n">
        <f aca="false">H37</f>
        <v>0</v>
      </c>
      <c r="I156" s="151" t="n">
        <f aca="false">I37</f>
        <v>0</v>
      </c>
      <c r="J156" s="151" t="n">
        <f aca="false">J37</f>
        <v>18</v>
      </c>
      <c r="K156" s="151" t="n">
        <f aca="false">K37</f>
        <v>0</v>
      </c>
      <c r="L156" s="151" t="n">
        <f aca="false">L37</f>
        <v>0</v>
      </c>
      <c r="M156" s="151" t="n">
        <f aca="false">M37</f>
        <v>0</v>
      </c>
      <c r="N156" s="151" t="n">
        <f aca="false">N37</f>
        <v>0</v>
      </c>
      <c r="O156" s="151" t="n">
        <f aca="false">O37</f>
        <v>0</v>
      </c>
      <c r="P156" s="151" t="n">
        <f aca="false">P37</f>
        <v>18</v>
      </c>
      <c r="Q156" s="151" t="n">
        <f aca="false">Q37</f>
        <v>18</v>
      </c>
      <c r="R156" s="151" t="n">
        <f aca="false">R37</f>
        <v>0</v>
      </c>
      <c r="S156" s="96"/>
      <c r="T156" s="151" t="n">
        <f aca="false">T37</f>
        <v>0</v>
      </c>
      <c r="U156" s="151" t="n">
        <f aca="false">U37</f>
        <v>0</v>
      </c>
      <c r="V156" s="151" t="n">
        <f aca="false">V37</f>
        <v>0</v>
      </c>
      <c r="W156" s="96"/>
      <c r="X156" s="96"/>
      <c r="Y156" s="96"/>
      <c r="Z156" s="96"/>
      <c r="AA156" s="152" t="str">
        <f aca="false">A156</f>
        <v>   Proceeds from Sale of Investments</v>
      </c>
      <c r="AB156" s="151" t="n">
        <f aca="false">P156</f>
        <v>18</v>
      </c>
      <c r="AC156" s="151" t="n">
        <f aca="false">AC37</f>
        <v>18</v>
      </c>
      <c r="AD156" s="122" t="n">
        <f aca="false">AB156-AC156</f>
        <v>0</v>
      </c>
      <c r="AE156" s="96"/>
      <c r="AF156" s="122" t="n">
        <f aca="false">T156</f>
        <v>0</v>
      </c>
      <c r="AG156" s="151" t="n">
        <f aca="false">AG37</f>
        <v>0</v>
      </c>
      <c r="AH156" s="122" t="n">
        <f aca="false">AF156-AG156</f>
        <v>0</v>
      </c>
      <c r="AI156" s="96"/>
      <c r="AJ156" s="122" t="n">
        <f aca="false">AC156-AG156</f>
        <v>18</v>
      </c>
      <c r="AK156" s="122" t="n">
        <f aca="false">AB156-AF156</f>
        <v>18</v>
      </c>
      <c r="AL156" s="96"/>
      <c r="AM156" s="151" t="n">
        <f aca="false">AM37</f>
        <v>0</v>
      </c>
      <c r="AN156" s="122" t="n">
        <f aca="false">AB156-AM156</f>
        <v>18</v>
      </c>
      <c r="AO156" s="96"/>
      <c r="AP156" s="151" t="n">
        <f aca="false">AP37</f>
        <v>0</v>
      </c>
      <c r="AQ156" s="122" t="n">
        <f aca="false">AC156-AP156</f>
        <v>18</v>
      </c>
      <c r="AR156" s="96"/>
      <c r="AS156" s="96"/>
      <c r="AT156" s="96"/>
      <c r="AU156" s="96"/>
    </row>
    <row r="157" customFormat="false" ht="12.75" hidden="false" customHeight="true" outlineLevel="0" collapsed="false">
      <c r="A157" s="96" t="str">
        <f aca="false">A38</f>
        <v>   Additions to Property </v>
      </c>
      <c r="B157" s="96"/>
      <c r="C157" s="96"/>
      <c r="D157" s="151" t="n">
        <f aca="false">D38</f>
        <v>-366</v>
      </c>
      <c r="E157" s="151" t="n">
        <f aca="false">E38</f>
        <v>-242</v>
      </c>
      <c r="F157" s="151" t="n">
        <f aca="false">F38</f>
        <v>-906</v>
      </c>
      <c r="G157" s="151" t="n">
        <f aca="false">G38</f>
        <v>-1317</v>
      </c>
      <c r="H157" s="151" t="n">
        <f aca="false">H38</f>
        <v>-16105</v>
      </c>
      <c r="I157" s="151" t="n">
        <f aca="false">I38</f>
        <v>-3523</v>
      </c>
      <c r="J157" s="151" t="n">
        <f aca="false">J38</f>
        <v>-1281</v>
      </c>
      <c r="K157" s="151" t="n">
        <f aca="false">K38</f>
        <v>-1900</v>
      </c>
      <c r="L157" s="151" t="n">
        <f aca="false">L38</f>
        <v>-13043</v>
      </c>
      <c r="M157" s="151" t="n">
        <f aca="false">M38</f>
        <v>-5817</v>
      </c>
      <c r="N157" s="151" t="n">
        <f aca="false">N38</f>
        <v>-11852</v>
      </c>
      <c r="O157" s="151" t="n">
        <f aca="false">O38</f>
        <v>-11548</v>
      </c>
      <c r="P157" s="151" t="n">
        <f aca="false">P38</f>
        <v>-67900</v>
      </c>
      <c r="Q157" s="151" t="n">
        <f aca="false">Q38</f>
        <v>-23740</v>
      </c>
      <c r="R157" s="151" t="n">
        <f aca="false">R38</f>
        <v>-44160</v>
      </c>
      <c r="S157" s="96"/>
      <c r="T157" s="151" t="n">
        <f aca="false">T38</f>
        <v>-47600</v>
      </c>
      <c r="U157" s="151" t="n">
        <f aca="false">U38</f>
        <v>-40100</v>
      </c>
      <c r="V157" s="151" t="n">
        <f aca="false">V38</f>
        <v>-7500</v>
      </c>
      <c r="W157" s="96"/>
      <c r="X157" s="96"/>
      <c r="Y157" s="96"/>
      <c r="Z157" s="96"/>
      <c r="AA157" s="152" t="str">
        <f aca="false">A157</f>
        <v>   Additions to Property </v>
      </c>
      <c r="AB157" s="151" t="n">
        <f aca="false">P157</f>
        <v>-67900</v>
      </c>
      <c r="AC157" s="151" t="n">
        <f aca="false">AC38</f>
        <v>-38683</v>
      </c>
      <c r="AD157" s="122" t="n">
        <f aca="false">AB157-AC157</f>
        <v>-29217</v>
      </c>
      <c r="AE157" s="96"/>
      <c r="AF157" s="122" t="n">
        <f aca="false">T157</f>
        <v>-47600</v>
      </c>
      <c r="AG157" s="151" t="n">
        <f aca="false">AG38</f>
        <v>-40100</v>
      </c>
      <c r="AH157" s="122" t="n">
        <f aca="false">AF157-AG157</f>
        <v>-7500</v>
      </c>
      <c r="AI157" s="96"/>
      <c r="AJ157" s="122" t="n">
        <f aca="false">AC157-AG157</f>
        <v>1417</v>
      </c>
      <c r="AK157" s="122" t="n">
        <f aca="false">AB157-AF157</f>
        <v>-20300</v>
      </c>
      <c r="AL157" s="96"/>
      <c r="AM157" s="151" t="n">
        <f aca="false">AM38</f>
        <v>-88300</v>
      </c>
      <c r="AN157" s="122" t="n">
        <f aca="false">AB157-AM157</f>
        <v>20400</v>
      </c>
      <c r="AO157" s="96"/>
      <c r="AP157" s="151" t="n">
        <f aca="false">AP38</f>
        <v>-52575</v>
      </c>
      <c r="AQ157" s="122" t="n">
        <f aca="false">AC157-AP157</f>
        <v>13892</v>
      </c>
      <c r="AR157" s="96"/>
      <c r="AS157" s="96"/>
      <c r="AT157" s="96"/>
      <c r="AU157" s="96"/>
    </row>
    <row r="158" customFormat="false" ht="12.75" hidden="false" customHeight="true" outlineLevel="0" collapsed="false">
      <c r="A158" s="96" t="str">
        <f aca="false">A39</f>
        <v>   Other Capital Expenditures</v>
      </c>
      <c r="B158" s="96"/>
      <c r="C158" s="96"/>
      <c r="D158" s="151" t="n">
        <f aca="false">D39</f>
        <v>-69</v>
      </c>
      <c r="E158" s="151" t="n">
        <f aca="false">E39</f>
        <v>862</v>
      </c>
      <c r="F158" s="151" t="n">
        <f aca="false">F39</f>
        <v>17</v>
      </c>
      <c r="G158" s="151" t="n">
        <f aca="false">G39</f>
        <v>-1468</v>
      </c>
      <c r="H158" s="151" t="n">
        <f aca="false">H39</f>
        <v>154</v>
      </c>
      <c r="I158" s="151" t="n">
        <f aca="false">I39</f>
        <v>67</v>
      </c>
      <c r="J158" s="151" t="n">
        <f aca="false">J39</f>
        <v>200</v>
      </c>
      <c r="K158" s="151" t="n">
        <f aca="false">K39</f>
        <v>-0</v>
      </c>
      <c r="L158" s="151" t="n">
        <f aca="false">L39</f>
        <v>-0</v>
      </c>
      <c r="M158" s="151" t="n">
        <f aca="false">M39</f>
        <v>-0</v>
      </c>
      <c r="N158" s="151" t="n">
        <f aca="false">N39</f>
        <v>-0</v>
      </c>
      <c r="O158" s="151" t="n">
        <f aca="false">O39</f>
        <v>-0</v>
      </c>
      <c r="P158" s="151" t="n">
        <f aca="false">P39</f>
        <v>-237</v>
      </c>
      <c r="Q158" s="151" t="n">
        <f aca="false">Q39</f>
        <v>-237</v>
      </c>
      <c r="R158" s="151" t="n">
        <f aca="false">R39</f>
        <v>0</v>
      </c>
      <c r="S158" s="96"/>
      <c r="T158" s="151" t="n">
        <f aca="false">T39</f>
        <v>0</v>
      </c>
      <c r="U158" s="151" t="n">
        <f aca="false">U39</f>
        <v>0</v>
      </c>
      <c r="V158" s="151" t="n">
        <f aca="false">V39</f>
        <v>0</v>
      </c>
      <c r="W158" s="96"/>
      <c r="X158" s="96"/>
      <c r="Y158" s="96"/>
      <c r="Z158" s="96"/>
      <c r="AA158" s="152" t="str">
        <f aca="false">A158</f>
        <v>   Other Capital Expenditures</v>
      </c>
      <c r="AB158" s="151" t="n">
        <f aca="false">P158</f>
        <v>-237</v>
      </c>
      <c r="AC158" s="151" t="n">
        <f aca="false">AC39</f>
        <v>-237</v>
      </c>
      <c r="AD158" s="122" t="n">
        <f aca="false">AB158-AC158</f>
        <v>0</v>
      </c>
      <c r="AE158" s="96"/>
      <c r="AF158" s="122" t="n">
        <f aca="false">T158</f>
        <v>0</v>
      </c>
      <c r="AG158" s="151" t="n">
        <f aca="false">AG39</f>
        <v>0</v>
      </c>
      <c r="AH158" s="122" t="n">
        <f aca="false">AF158-AG158</f>
        <v>0</v>
      </c>
      <c r="AI158" s="96"/>
      <c r="AJ158" s="122" t="n">
        <f aca="false">AC158-AG158</f>
        <v>-237</v>
      </c>
      <c r="AK158" s="122" t="n">
        <f aca="false">AB158-AF158</f>
        <v>-237</v>
      </c>
      <c r="AL158" s="96"/>
      <c r="AM158" s="151" t="n">
        <f aca="false">AM39</f>
        <v>-504</v>
      </c>
      <c r="AN158" s="122" t="n">
        <f aca="false">AB158-AM158</f>
        <v>267</v>
      </c>
      <c r="AO158" s="96"/>
      <c r="AP158" s="151" t="n">
        <f aca="false">AP39</f>
        <v>-504</v>
      </c>
      <c r="AQ158" s="122" t="n">
        <f aca="false">AC158-AP158</f>
        <v>267</v>
      </c>
      <c r="AR158" s="96"/>
      <c r="AS158" s="96"/>
      <c r="AT158" s="96"/>
      <c r="AU158" s="96"/>
    </row>
    <row r="159" customFormat="false" ht="12.75" hidden="false" customHeight="true" outlineLevel="0" collapsed="false">
      <c r="A159" s="96" t="str">
        <f aca="false">A40</f>
        <v>   Other Investments</v>
      </c>
      <c r="B159" s="96"/>
      <c r="C159" s="96"/>
      <c r="D159" s="151" t="n">
        <f aca="false">D40</f>
        <v>0</v>
      </c>
      <c r="E159" s="151" t="n">
        <f aca="false">E40</f>
        <v>0</v>
      </c>
      <c r="F159" s="151" t="n">
        <f aca="false">F40</f>
        <v>0</v>
      </c>
      <c r="G159" s="151" t="n">
        <f aca="false">G40</f>
        <v>0</v>
      </c>
      <c r="H159" s="151" t="n">
        <f aca="false">H40</f>
        <v>0</v>
      </c>
      <c r="I159" s="151" t="n">
        <f aca="false">I40</f>
        <v>0</v>
      </c>
      <c r="J159" s="151" t="n">
        <f aca="false">J40</f>
        <v>0</v>
      </c>
      <c r="K159" s="151" t="n">
        <f aca="false">K40</f>
        <v>0</v>
      </c>
      <c r="L159" s="151" t="n">
        <f aca="false">L40</f>
        <v>0</v>
      </c>
      <c r="M159" s="151" t="n">
        <f aca="false">M40</f>
        <v>0</v>
      </c>
      <c r="N159" s="151" t="n">
        <f aca="false">N40</f>
        <v>0</v>
      </c>
      <c r="O159" s="151" t="n">
        <f aca="false">O40</f>
        <v>0</v>
      </c>
      <c r="P159" s="151" t="n">
        <f aca="false">P40</f>
        <v>0</v>
      </c>
      <c r="Q159" s="151" t="n">
        <f aca="false">Q40</f>
        <v>0</v>
      </c>
      <c r="R159" s="151" t="n">
        <f aca="false">R40</f>
        <v>0</v>
      </c>
      <c r="S159" s="96"/>
      <c r="T159" s="151" t="n">
        <f aca="false">T40</f>
        <v>0</v>
      </c>
      <c r="U159" s="151" t="n">
        <f aca="false">U40</f>
        <v>0</v>
      </c>
      <c r="V159" s="151" t="n">
        <f aca="false">V40</f>
        <v>0</v>
      </c>
      <c r="W159" s="96"/>
      <c r="X159" s="96"/>
      <c r="Y159" s="96"/>
      <c r="Z159" s="96"/>
      <c r="AA159" s="96" t="str">
        <f aca="false">A159</f>
        <v>   Other Investments</v>
      </c>
      <c r="AB159" s="151" t="n">
        <f aca="false">P159</f>
        <v>0</v>
      </c>
      <c r="AC159" s="151" t="n">
        <f aca="false">AC40</f>
        <v>0</v>
      </c>
      <c r="AD159" s="122" t="n">
        <f aca="false">AB159-AC159</f>
        <v>0</v>
      </c>
      <c r="AE159" s="96"/>
      <c r="AF159" s="122" t="n">
        <f aca="false">T159</f>
        <v>0</v>
      </c>
      <c r="AG159" s="151" t="n">
        <f aca="false">AG40</f>
        <v>0</v>
      </c>
      <c r="AH159" s="122" t="n">
        <f aca="false">AF159-AG159</f>
        <v>0</v>
      </c>
      <c r="AI159" s="96"/>
      <c r="AJ159" s="122" t="n">
        <f aca="false">AC159-AG159</f>
        <v>0</v>
      </c>
      <c r="AK159" s="122" t="n">
        <f aca="false">AB159-AF159</f>
        <v>0</v>
      </c>
      <c r="AL159" s="96"/>
      <c r="AM159" s="151" t="n">
        <f aca="false">AM40</f>
        <v>0</v>
      </c>
      <c r="AN159" s="122" t="n">
        <f aca="false">AB159-AM159</f>
        <v>0</v>
      </c>
      <c r="AO159" s="96"/>
      <c r="AP159" s="151" t="n">
        <f aca="false">AP40</f>
        <v>0</v>
      </c>
      <c r="AQ159" s="122" t="n">
        <f aca="false">AC159-AP159</f>
        <v>0</v>
      </c>
      <c r="AR159" s="96"/>
      <c r="AS159" s="96"/>
      <c r="AT159" s="96"/>
      <c r="AU159" s="96"/>
    </row>
    <row r="160" customFormat="false" ht="12.75" hidden="false" customHeight="true" outlineLevel="0" collapsed="false">
      <c r="A160" s="96" t="str">
        <f aca="false">A41</f>
        <v>   Other (Net Salvage &amp; Removal)</v>
      </c>
      <c r="B160" s="96"/>
      <c r="C160" s="96"/>
      <c r="D160" s="153" t="n">
        <f aca="false">D41</f>
        <v>-14</v>
      </c>
      <c r="E160" s="153" t="n">
        <f aca="false">E41</f>
        <v>-19</v>
      </c>
      <c r="F160" s="153" t="n">
        <f aca="false">F41</f>
        <v>76</v>
      </c>
      <c r="G160" s="153" t="n">
        <f aca="false">G41</f>
        <v>57</v>
      </c>
      <c r="H160" s="153" t="n">
        <f aca="false">H41</f>
        <v>-70</v>
      </c>
      <c r="I160" s="153" t="n">
        <f aca="false">I41</f>
        <v>29</v>
      </c>
      <c r="J160" s="153" t="n">
        <f aca="false">J41</f>
        <v>-45</v>
      </c>
      <c r="K160" s="153" t="n">
        <f aca="false">K41</f>
        <v>0</v>
      </c>
      <c r="L160" s="153" t="n">
        <f aca="false">L41</f>
        <v>0</v>
      </c>
      <c r="M160" s="153" t="n">
        <f aca="false">M41</f>
        <v>0</v>
      </c>
      <c r="N160" s="153" t="n">
        <f aca="false">N41</f>
        <v>0</v>
      </c>
      <c r="O160" s="153" t="n">
        <f aca="false">O41</f>
        <v>0</v>
      </c>
      <c r="P160" s="153" t="n">
        <f aca="false">P41</f>
        <v>14</v>
      </c>
      <c r="Q160" s="153" t="n">
        <f aca="false">Q41</f>
        <v>14</v>
      </c>
      <c r="R160" s="153" t="n">
        <f aca="false">R41</f>
        <v>0</v>
      </c>
      <c r="S160" s="156"/>
      <c r="T160" s="153" t="n">
        <f aca="false">T41</f>
        <v>0</v>
      </c>
      <c r="U160" s="153" t="n">
        <f aca="false">U41</f>
        <v>0</v>
      </c>
      <c r="V160" s="153" t="n">
        <f aca="false">V41</f>
        <v>0</v>
      </c>
      <c r="W160" s="156"/>
      <c r="X160" s="156"/>
      <c r="Y160" s="156"/>
      <c r="Z160" s="156"/>
      <c r="AA160" s="96" t="str">
        <f aca="false">A160</f>
        <v>   Other (Net Salvage &amp; Removal)</v>
      </c>
      <c r="AB160" s="153" t="n">
        <f aca="false">P160</f>
        <v>14</v>
      </c>
      <c r="AC160" s="153" t="n">
        <f aca="false">AC41</f>
        <v>14</v>
      </c>
      <c r="AD160" s="135" t="n">
        <f aca="false">AB160-AC160</f>
        <v>0</v>
      </c>
      <c r="AE160" s="156"/>
      <c r="AF160" s="135" t="n">
        <f aca="false">T160</f>
        <v>0</v>
      </c>
      <c r="AG160" s="153" t="n">
        <f aca="false">AG41</f>
        <v>0</v>
      </c>
      <c r="AH160" s="135" t="n">
        <f aca="false">AF160-AG160</f>
        <v>0</v>
      </c>
      <c r="AI160" s="156"/>
      <c r="AJ160" s="135" t="n">
        <f aca="false">AC160-AG160</f>
        <v>14</v>
      </c>
      <c r="AK160" s="135" t="n">
        <f aca="false">AB160-AF160</f>
        <v>14</v>
      </c>
      <c r="AL160" s="156"/>
      <c r="AM160" s="153" t="n">
        <f aca="false">AM41</f>
        <v>57</v>
      </c>
      <c r="AN160" s="135" t="n">
        <f aca="false">AB160-AM160</f>
        <v>-43</v>
      </c>
      <c r="AO160" s="156"/>
      <c r="AP160" s="153" t="n">
        <f aca="false">AP41</f>
        <v>57</v>
      </c>
      <c r="AQ160" s="135" t="n">
        <f aca="false">AC160-AP160</f>
        <v>-43</v>
      </c>
      <c r="AR160" s="96"/>
      <c r="AS160" s="96"/>
      <c r="AT160" s="96"/>
      <c r="AU160" s="96"/>
    </row>
    <row r="161" customFormat="false" ht="3.95" hidden="false" customHeight="true" outlineLevel="0" collapsed="false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3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</row>
    <row r="162" customFormat="false" ht="12.75" hidden="false" customHeight="true" outlineLevel="0" collapsed="false">
      <c r="A162" s="96" t="str">
        <f aca="false">A43</f>
        <v>      Cash Provided by (Used in) Investing Activities</v>
      </c>
      <c r="B162" s="96"/>
      <c r="C162" s="96"/>
      <c r="D162" s="153" t="n">
        <f aca="false">SUM(D156:D161)</f>
        <v>-449</v>
      </c>
      <c r="E162" s="153" t="n">
        <f aca="false">SUM(E156:E161)</f>
        <v>601</v>
      </c>
      <c r="F162" s="153" t="n">
        <f aca="false">SUM(F156:F161)</f>
        <v>-813</v>
      </c>
      <c r="G162" s="153" t="n">
        <f aca="false">SUM(G156:G161)</f>
        <v>-2728</v>
      </c>
      <c r="H162" s="153" t="n">
        <f aca="false">SUM(H156:H161)</f>
        <v>-16021</v>
      </c>
      <c r="I162" s="153" t="n">
        <f aca="false">SUM(I156:I161)</f>
        <v>-3427</v>
      </c>
      <c r="J162" s="153" t="n">
        <f aca="false">SUM(J156:J161)</f>
        <v>-1108</v>
      </c>
      <c r="K162" s="153" t="n">
        <f aca="false">SUM(K156:K161)</f>
        <v>-1900</v>
      </c>
      <c r="L162" s="153" t="n">
        <f aca="false">SUM(L156:L161)</f>
        <v>-13043</v>
      </c>
      <c r="M162" s="153" t="n">
        <f aca="false">SUM(M156:M161)</f>
        <v>-5817</v>
      </c>
      <c r="N162" s="153" t="n">
        <f aca="false">SUM(N156:N161)</f>
        <v>-11852</v>
      </c>
      <c r="O162" s="153" t="n">
        <f aca="false">SUM(O156:O161)</f>
        <v>-11548</v>
      </c>
      <c r="P162" s="153" t="n">
        <f aca="false">SUM(P156:P161)</f>
        <v>-68105</v>
      </c>
      <c r="Q162" s="153" t="n">
        <f aca="false">SUM(Q156:Q161)</f>
        <v>-23945</v>
      </c>
      <c r="R162" s="153" t="n">
        <f aca="false">SUM(R156:R161)</f>
        <v>-44160</v>
      </c>
      <c r="S162" s="96"/>
      <c r="T162" s="153" t="n">
        <f aca="false">SUM(T156:T161)</f>
        <v>-47600</v>
      </c>
      <c r="U162" s="153" t="n">
        <f aca="false">SUM(U156:U161)</f>
        <v>-40100</v>
      </c>
      <c r="V162" s="153" t="n">
        <f aca="false">SUM(V156:V161)</f>
        <v>-7500</v>
      </c>
      <c r="W162" s="96"/>
      <c r="X162" s="96"/>
      <c r="Y162" s="96"/>
      <c r="Z162" s="96"/>
      <c r="AA162" s="152" t="str">
        <f aca="false">A162</f>
        <v>      Cash Provided by (Used in) Investing Activities</v>
      </c>
      <c r="AB162" s="153" t="n">
        <f aca="false">SUM(AB156:AB161)</f>
        <v>-68105</v>
      </c>
      <c r="AC162" s="153" t="n">
        <f aca="false">SUM(AC156:AC161)</f>
        <v>-38888</v>
      </c>
      <c r="AD162" s="153" t="n">
        <f aca="false">SUM(AD156:AD161)</f>
        <v>-29217</v>
      </c>
      <c r="AE162" s="96"/>
      <c r="AF162" s="153" t="n">
        <f aca="false">SUM(AF156:AF161)</f>
        <v>-47600</v>
      </c>
      <c r="AG162" s="153" t="n">
        <f aca="false">SUM(AG156:AG161)</f>
        <v>-40100</v>
      </c>
      <c r="AH162" s="153" t="n">
        <f aca="false">SUM(AH156:AH161)</f>
        <v>-7500</v>
      </c>
      <c r="AI162" s="96"/>
      <c r="AJ162" s="153" t="n">
        <f aca="false">SUM(AJ156:AJ161)</f>
        <v>1212</v>
      </c>
      <c r="AK162" s="153" t="n">
        <f aca="false">SUM(AK156:AK161)</f>
        <v>-20505</v>
      </c>
      <c r="AL162" s="96"/>
      <c r="AM162" s="153" t="n">
        <f aca="false">SUM(AM156:AM161)</f>
        <v>-88747</v>
      </c>
      <c r="AN162" s="153" t="n">
        <f aca="false">SUM(AN156:AN161)</f>
        <v>20642</v>
      </c>
      <c r="AO162" s="96"/>
      <c r="AP162" s="153" t="n">
        <f aca="false">SUM(AP156:AP161)</f>
        <v>-53022</v>
      </c>
      <c r="AQ162" s="153" t="n">
        <f aca="false">SUM(AQ156:AQ161)</f>
        <v>14134</v>
      </c>
      <c r="AR162" s="96"/>
      <c r="AS162" s="96"/>
      <c r="AT162" s="96"/>
      <c r="AU162" s="96"/>
    </row>
    <row r="163" customFormat="false" ht="6" hidden="false" customHeight="true" outlineLevel="0" collapsed="false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3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</row>
    <row r="164" customFormat="false" ht="12.75" hidden="false" customHeight="true" outlineLevel="0" collapsed="false">
      <c r="A164" s="161" t="s">
        <v>522</v>
      </c>
      <c r="B164" s="96"/>
      <c r="C164" s="96"/>
      <c r="D164" s="158" t="n">
        <f aca="false">D153+D162</f>
        <v>10623</v>
      </c>
      <c r="E164" s="158" t="n">
        <f aca="false">E153+E162</f>
        <v>10355</v>
      </c>
      <c r="F164" s="158" t="n">
        <f aca="false">F153+F162</f>
        <v>14674</v>
      </c>
      <c r="G164" s="158" t="n">
        <f aca="false">G153+G162</f>
        <v>-5986</v>
      </c>
      <c r="H164" s="158" t="n">
        <f aca="false">H153+H162</f>
        <v>-9459</v>
      </c>
      <c r="I164" s="158" t="n">
        <f aca="false">I153+I162</f>
        <v>18473</v>
      </c>
      <c r="J164" s="158" t="n">
        <f aca="false">J153+J162</f>
        <v>-4057</v>
      </c>
      <c r="K164" s="158" t="n">
        <f aca="false">K153+K162</f>
        <v>6930</v>
      </c>
      <c r="L164" s="158" t="n">
        <f aca="false">L153+L162</f>
        <v>-1412</v>
      </c>
      <c r="M164" s="158" t="n">
        <f aca="false">M153+M162</f>
        <v>3122</v>
      </c>
      <c r="N164" s="158" t="n">
        <f aca="false">N153+N162</f>
        <v>-1837</v>
      </c>
      <c r="O164" s="158" t="n">
        <f aca="false">O153+O162</f>
        <v>-5148</v>
      </c>
      <c r="P164" s="158" t="n">
        <f aca="false">P153+P162</f>
        <v>36278</v>
      </c>
      <c r="Q164" s="158" t="n">
        <f aca="false">Q153+Q162</f>
        <v>34623</v>
      </c>
      <c r="R164" s="158" t="n">
        <f aca="false">R153+R162</f>
        <v>1655</v>
      </c>
      <c r="S164" s="96"/>
      <c r="T164" s="158" t="n">
        <f aca="false">T153+T162</f>
        <v>34340</v>
      </c>
      <c r="U164" s="158" t="n">
        <f aca="false">U153+U162</f>
        <v>23600</v>
      </c>
      <c r="V164" s="158" t="n">
        <f aca="false">V153+V162</f>
        <v>10740</v>
      </c>
      <c r="W164" s="96"/>
      <c r="X164" s="96"/>
      <c r="Y164" s="96"/>
      <c r="Z164" s="96"/>
      <c r="AA164" s="93" t="str">
        <f aca="false">A164</f>
        <v>NET CASH FLOW</v>
      </c>
      <c r="AB164" s="158" t="n">
        <f aca="false">AB153+AB162</f>
        <v>36278</v>
      </c>
      <c r="AC164" s="158" t="n">
        <f aca="false">AC153+AC162</f>
        <v>40141</v>
      </c>
      <c r="AD164" s="158" t="n">
        <f aca="false">AD153+AD162</f>
        <v>-3863</v>
      </c>
      <c r="AE164" s="96"/>
      <c r="AF164" s="158" t="n">
        <f aca="false">AF153+AF162</f>
        <v>34340</v>
      </c>
      <c r="AG164" s="158" t="n">
        <f aca="false">AG153+AG162</f>
        <v>23600</v>
      </c>
      <c r="AH164" s="158" t="n">
        <f aca="false">AH153+AH162</f>
        <v>10740</v>
      </c>
      <c r="AI164" s="96"/>
      <c r="AJ164" s="158" t="n">
        <f aca="false">AJ153+AJ162</f>
        <v>16541</v>
      </c>
      <c r="AK164" s="158" t="n">
        <f aca="false">AK153+AK162</f>
        <v>1938</v>
      </c>
      <c r="AL164" s="96"/>
      <c r="AM164" s="158" t="n">
        <f aca="false">AM153+AM162</f>
        <v>12032</v>
      </c>
      <c r="AN164" s="158" t="n">
        <f aca="false">AN153+AN162</f>
        <v>24246</v>
      </c>
      <c r="AO164" s="96"/>
      <c r="AP164" s="158" t="n">
        <f aca="false">AP153+AP162</f>
        <v>24882</v>
      </c>
      <c r="AQ164" s="158" t="n">
        <f aca="false">AQ153+AQ162</f>
        <v>15259</v>
      </c>
      <c r="AR164" s="96"/>
      <c r="AS164" s="96"/>
      <c r="AT164" s="96"/>
      <c r="AU164" s="96"/>
    </row>
    <row r="165" customFormat="false" ht="6" hidden="false" customHeight="true" outlineLevel="0" collapsed="false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3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</row>
    <row r="166" customFormat="false" ht="12.75" hidden="false" customHeight="true" outlineLevel="0" collapsed="false">
      <c r="A166" s="152" t="str">
        <f aca="false">A47</f>
        <v>OTHER ITEMS AFFECTING INTERCO. (CORP.) BALANCE</v>
      </c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152" t="str">
        <f aca="false">A166</f>
        <v>OTHER ITEMS AFFECTING INTERCO. (CORP.) BALANCE</v>
      </c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</row>
    <row r="167" customFormat="false" ht="12.75" hidden="false" customHeight="true" outlineLevel="0" collapsed="false">
      <c r="A167" s="96" t="str">
        <f aca="false">A48</f>
        <v>   Dividends Transferred to Corporate</v>
      </c>
      <c r="B167" s="96"/>
      <c r="C167" s="96"/>
      <c r="D167" s="151" t="n">
        <f aca="false">D48</f>
        <v>0</v>
      </c>
      <c r="E167" s="151" t="n">
        <f aca="false">E48</f>
        <v>0</v>
      </c>
      <c r="F167" s="151" t="n">
        <f aca="false">F48</f>
        <v>0</v>
      </c>
      <c r="G167" s="151" t="n">
        <f aca="false">G48</f>
        <v>0</v>
      </c>
      <c r="H167" s="151" t="n">
        <f aca="false">H48</f>
        <v>0</v>
      </c>
      <c r="I167" s="151" t="n">
        <f aca="false">I48</f>
        <v>0</v>
      </c>
      <c r="J167" s="151" t="n">
        <f aca="false">J48</f>
        <v>0</v>
      </c>
      <c r="K167" s="151" t="n">
        <f aca="false">K48</f>
        <v>0</v>
      </c>
      <c r="L167" s="151" t="n">
        <f aca="false">L48</f>
        <v>0</v>
      </c>
      <c r="M167" s="151" t="n">
        <f aca="false">M48</f>
        <v>0</v>
      </c>
      <c r="N167" s="151" t="n">
        <f aca="false">N48</f>
        <v>0</v>
      </c>
      <c r="O167" s="151" t="n">
        <f aca="false">O48</f>
        <v>0</v>
      </c>
      <c r="P167" s="151" t="n">
        <f aca="false">P48</f>
        <v>0</v>
      </c>
      <c r="Q167" s="151" t="n">
        <f aca="false">Q48</f>
        <v>0</v>
      </c>
      <c r="R167" s="151" t="n">
        <f aca="false">R48</f>
        <v>0</v>
      </c>
      <c r="S167" s="96"/>
      <c r="T167" s="151" t="n">
        <f aca="false">T48</f>
        <v>0</v>
      </c>
      <c r="U167" s="151" t="n">
        <f aca="false">U48</f>
        <v>0</v>
      </c>
      <c r="V167" s="151" t="n">
        <f aca="false">V48</f>
        <v>0</v>
      </c>
      <c r="W167" s="96"/>
      <c r="X167" s="96"/>
      <c r="Y167" s="96"/>
      <c r="Z167" s="96"/>
      <c r="AA167" s="152" t="str">
        <f aca="false">A167</f>
        <v>   Dividends Transferred to Corporate</v>
      </c>
      <c r="AB167" s="151" t="n">
        <f aca="false">P167</f>
        <v>0</v>
      </c>
      <c r="AC167" s="151" t="n">
        <f aca="false">AC48</f>
        <v>0</v>
      </c>
      <c r="AD167" s="122" t="n">
        <f aca="false">AB167-AC167</f>
        <v>0</v>
      </c>
      <c r="AE167" s="96"/>
      <c r="AF167" s="122" t="n">
        <f aca="false">T167</f>
        <v>0</v>
      </c>
      <c r="AG167" s="151" t="n">
        <f aca="false">AG48</f>
        <v>0</v>
      </c>
      <c r="AH167" s="122" t="n">
        <f aca="false">AF167-AG167</f>
        <v>0</v>
      </c>
      <c r="AI167" s="96"/>
      <c r="AJ167" s="122" t="n">
        <f aca="false">AC167-AG167</f>
        <v>0</v>
      </c>
      <c r="AK167" s="122" t="n">
        <f aca="false">AB167-AF167</f>
        <v>0</v>
      </c>
      <c r="AL167" s="96"/>
      <c r="AM167" s="151" t="n">
        <f aca="false">AM48</f>
        <v>0</v>
      </c>
      <c r="AN167" s="122" t="n">
        <f aca="false">AB167-AM167</f>
        <v>0</v>
      </c>
      <c r="AO167" s="96"/>
      <c r="AP167" s="151" t="n">
        <f aca="false">AP48</f>
        <v>0</v>
      </c>
      <c r="AQ167" s="122" t="n">
        <f aca="false">AC167-AP167</f>
        <v>0</v>
      </c>
      <c r="AR167" s="96"/>
      <c r="AS167" s="96"/>
      <c r="AT167" s="96"/>
      <c r="AU167" s="96"/>
    </row>
    <row r="168" customFormat="false" ht="12.75" hidden="false" customHeight="true" outlineLevel="0" collapsed="false">
      <c r="A168" s="96" t="str">
        <f aca="false">A49</f>
        <v>   Other</v>
      </c>
      <c r="B168" s="96"/>
      <c r="C168" s="96"/>
      <c r="D168" s="151" t="n">
        <f aca="false">D49</f>
        <v>0</v>
      </c>
      <c r="E168" s="151" t="n">
        <f aca="false">E49</f>
        <v>0</v>
      </c>
      <c r="F168" s="151" t="n">
        <f aca="false">F49</f>
        <v>0</v>
      </c>
      <c r="G168" s="151" t="n">
        <f aca="false">G49</f>
        <v>0</v>
      </c>
      <c r="H168" s="151" t="n">
        <f aca="false">H49</f>
        <v>0</v>
      </c>
      <c r="I168" s="151" t="n">
        <f aca="false">I49</f>
        <v>0</v>
      </c>
      <c r="J168" s="151" t="n">
        <f aca="false">J49</f>
        <v>0</v>
      </c>
      <c r="K168" s="151" t="n">
        <f aca="false">K49</f>
        <v>0</v>
      </c>
      <c r="L168" s="151" t="n">
        <f aca="false">L49</f>
        <v>0</v>
      </c>
      <c r="M168" s="151" t="n">
        <f aca="false">M49</f>
        <v>0</v>
      </c>
      <c r="N168" s="151" t="n">
        <f aca="false">N49</f>
        <v>0</v>
      </c>
      <c r="O168" s="151" t="n">
        <f aca="false">O49</f>
        <v>0</v>
      </c>
      <c r="P168" s="151" t="n">
        <f aca="false">P49</f>
        <v>0</v>
      </c>
      <c r="Q168" s="151" t="n">
        <f aca="false">Q49</f>
        <v>0</v>
      </c>
      <c r="R168" s="151" t="n">
        <f aca="false">R49</f>
        <v>0</v>
      </c>
      <c r="S168" s="96"/>
      <c r="T168" s="151" t="n">
        <f aca="false">T49</f>
        <v>0</v>
      </c>
      <c r="U168" s="151" t="n">
        <f aca="false">U49</f>
        <v>0</v>
      </c>
      <c r="V168" s="151" t="n">
        <f aca="false">V49</f>
        <v>0</v>
      </c>
      <c r="W168" s="96"/>
      <c r="X168" s="96"/>
      <c r="Y168" s="96"/>
      <c r="Z168" s="96"/>
      <c r="AA168" s="152" t="str">
        <f aca="false">A168</f>
        <v>   Other</v>
      </c>
      <c r="AB168" s="151" t="n">
        <f aca="false">P168</f>
        <v>0</v>
      </c>
      <c r="AC168" s="151" t="n">
        <f aca="false">AC49</f>
        <v>0</v>
      </c>
      <c r="AD168" s="122" t="n">
        <f aca="false">AB168-AC168</f>
        <v>0</v>
      </c>
      <c r="AE168" s="96"/>
      <c r="AF168" s="122" t="n">
        <f aca="false">T168</f>
        <v>0</v>
      </c>
      <c r="AG168" s="151" t="n">
        <f aca="false">AG49</f>
        <v>0</v>
      </c>
      <c r="AH168" s="122" t="n">
        <f aca="false">AF168-AG168</f>
        <v>0</v>
      </c>
      <c r="AI168" s="96"/>
      <c r="AJ168" s="122" t="n">
        <f aca="false">AC168-AG168</f>
        <v>0</v>
      </c>
      <c r="AK168" s="122" t="n">
        <f aca="false">AB168-AF168</f>
        <v>0</v>
      </c>
      <c r="AL168" s="96"/>
      <c r="AM168" s="151" t="n">
        <f aca="false">AM49</f>
        <v>0</v>
      </c>
      <c r="AN168" s="122" t="n">
        <f aca="false">AB168-AM168</f>
        <v>0</v>
      </c>
      <c r="AO168" s="96"/>
      <c r="AP168" s="151" t="n">
        <f aca="false">AP49</f>
        <v>0</v>
      </c>
      <c r="AQ168" s="122" t="n">
        <f aca="false">AC168-AP168</f>
        <v>0</v>
      </c>
      <c r="AR168" s="96"/>
      <c r="AS168" s="96"/>
      <c r="AT168" s="96"/>
      <c r="AU168" s="96"/>
    </row>
    <row r="169" customFormat="false" ht="12.75" hidden="false" customHeight="true" outlineLevel="0" collapsed="false">
      <c r="A169" s="96" t="str">
        <f aca="false">A50</f>
        <v>   Inc. / (Dec.) in Long-Term Debt  (External)</v>
      </c>
      <c r="B169" s="96"/>
      <c r="C169" s="96"/>
      <c r="D169" s="151" t="n">
        <f aca="false">D50</f>
        <v>0</v>
      </c>
      <c r="E169" s="151" t="n">
        <f aca="false">E50</f>
        <v>0</v>
      </c>
      <c r="F169" s="151" t="n">
        <f aca="false">F50</f>
        <v>0</v>
      </c>
      <c r="G169" s="151" t="n">
        <f aca="false">G50</f>
        <v>0</v>
      </c>
      <c r="H169" s="151" t="n">
        <f aca="false">H50</f>
        <v>0</v>
      </c>
      <c r="I169" s="151" t="n">
        <f aca="false">I50</f>
        <v>-150000</v>
      </c>
      <c r="J169" s="151" t="n">
        <f aca="false">J50</f>
        <v>0</v>
      </c>
      <c r="K169" s="151" t="n">
        <f aca="false">K50</f>
        <v>0</v>
      </c>
      <c r="L169" s="151" t="n">
        <f aca="false">L50</f>
        <v>0</v>
      </c>
      <c r="M169" s="151" t="n">
        <f aca="false">M50</f>
        <v>0</v>
      </c>
      <c r="N169" s="151" t="n">
        <f aca="false">N50</f>
        <v>-3850</v>
      </c>
      <c r="O169" s="151" t="n">
        <f aca="false">O50</f>
        <v>0</v>
      </c>
      <c r="P169" s="151" t="n">
        <f aca="false">P50</f>
        <v>-153850</v>
      </c>
      <c r="Q169" s="151" t="n">
        <f aca="false">Q50</f>
        <v>-150000</v>
      </c>
      <c r="R169" s="151" t="n">
        <f aca="false">R50</f>
        <v>-3850</v>
      </c>
      <c r="S169" s="96"/>
      <c r="T169" s="151" t="n">
        <f aca="false">T50</f>
        <v>-3850</v>
      </c>
      <c r="U169" s="151" t="n">
        <f aca="false">U50</f>
        <v>0</v>
      </c>
      <c r="V169" s="151" t="n">
        <f aca="false">V50</f>
        <v>-3850</v>
      </c>
      <c r="W169" s="96"/>
      <c r="X169" s="96"/>
      <c r="Y169" s="96"/>
      <c r="Z169" s="96"/>
      <c r="AA169" s="152" t="str">
        <f aca="false">A169</f>
        <v>   Inc. / (Dec.) in Long-Term Debt  (External)</v>
      </c>
      <c r="AB169" s="151" t="n">
        <f aca="false">P169</f>
        <v>-153850</v>
      </c>
      <c r="AC169" s="151" t="n">
        <f aca="false">AC50</f>
        <v>-150000</v>
      </c>
      <c r="AD169" s="122" t="n">
        <f aca="false">AB169-AC169</f>
        <v>-3850</v>
      </c>
      <c r="AE169" s="96"/>
      <c r="AF169" s="122" t="n">
        <f aca="false">T169</f>
        <v>-3850</v>
      </c>
      <c r="AG169" s="151" t="n">
        <f aca="false">AG50</f>
        <v>0</v>
      </c>
      <c r="AH169" s="122" t="n">
        <f aca="false">AF169-AG169</f>
        <v>-3850</v>
      </c>
      <c r="AI169" s="96"/>
      <c r="AJ169" s="122" t="n">
        <f aca="false">AC169-AG169</f>
        <v>-150000</v>
      </c>
      <c r="AK169" s="122" t="n">
        <f aca="false">AB169-AF169</f>
        <v>-150000</v>
      </c>
      <c r="AL169" s="96"/>
      <c r="AM169" s="151" t="n">
        <f aca="false">AM50</f>
        <v>-153850</v>
      </c>
      <c r="AN169" s="122" t="n">
        <f aca="false">AB169-AM169</f>
        <v>0</v>
      </c>
      <c r="AO169" s="96"/>
      <c r="AP169" s="151" t="n">
        <f aca="false">AP50</f>
        <v>-150000</v>
      </c>
      <c r="AQ169" s="122" t="n">
        <f aca="false">AC169-AP169</f>
        <v>0</v>
      </c>
      <c r="AR169" s="96"/>
      <c r="AS169" s="96"/>
      <c r="AT169" s="96"/>
      <c r="AU169" s="96"/>
    </row>
    <row r="170" customFormat="false" ht="12.75" hidden="false" customHeight="true" outlineLevel="0" collapsed="false">
      <c r="A170" s="96" t="str">
        <f aca="false">A51</f>
        <v>   Inc. / (Dec.) in Sale of Receivables</v>
      </c>
      <c r="B170" s="96"/>
      <c r="C170" s="96"/>
      <c r="D170" s="153" t="n">
        <f aca="false">D51</f>
        <v>0</v>
      </c>
      <c r="E170" s="153" t="n">
        <f aca="false">E51</f>
        <v>0</v>
      </c>
      <c r="F170" s="153" t="n">
        <f aca="false">F51</f>
        <v>0</v>
      </c>
      <c r="G170" s="153" t="n">
        <f aca="false">G51</f>
        <v>0</v>
      </c>
      <c r="H170" s="153" t="n">
        <f aca="false">H51</f>
        <v>0</v>
      </c>
      <c r="I170" s="153" t="n">
        <f aca="false">I51</f>
        <v>0</v>
      </c>
      <c r="J170" s="153" t="n">
        <f aca="false">J51</f>
        <v>0</v>
      </c>
      <c r="K170" s="153" t="n">
        <f aca="false">K51</f>
        <v>0</v>
      </c>
      <c r="L170" s="153" t="n">
        <f aca="false">L51</f>
        <v>0</v>
      </c>
      <c r="M170" s="153" t="n">
        <f aca="false">M51</f>
        <v>0</v>
      </c>
      <c r="N170" s="153" t="n">
        <f aca="false">N51</f>
        <v>0</v>
      </c>
      <c r="O170" s="153" t="n">
        <f aca="false">O51</f>
        <v>0</v>
      </c>
      <c r="P170" s="153" t="n">
        <f aca="false">P51</f>
        <v>0</v>
      </c>
      <c r="Q170" s="153" t="n">
        <f aca="false">Q51</f>
        <v>0</v>
      </c>
      <c r="R170" s="153" t="n">
        <f aca="false">R51</f>
        <v>0</v>
      </c>
      <c r="S170" s="96"/>
      <c r="T170" s="153" t="n">
        <f aca="false">T51</f>
        <v>0</v>
      </c>
      <c r="U170" s="153" t="n">
        <f aca="false">U51</f>
        <v>0</v>
      </c>
      <c r="V170" s="153" t="n">
        <f aca="false">V51</f>
        <v>0</v>
      </c>
      <c r="W170" s="96"/>
      <c r="X170" s="96"/>
      <c r="Y170" s="96"/>
      <c r="Z170" s="96"/>
      <c r="AA170" s="152" t="str">
        <f aca="false">A170</f>
        <v>   Inc. / (Dec.) in Sale of Receivables</v>
      </c>
      <c r="AB170" s="153" t="n">
        <f aca="false">P170</f>
        <v>0</v>
      </c>
      <c r="AC170" s="153" t="n">
        <f aca="false">AC51</f>
        <v>0</v>
      </c>
      <c r="AD170" s="135" t="n">
        <f aca="false">AB170-AC170</f>
        <v>0</v>
      </c>
      <c r="AE170" s="156"/>
      <c r="AF170" s="135" t="n">
        <f aca="false">T170</f>
        <v>0</v>
      </c>
      <c r="AG170" s="153" t="n">
        <f aca="false">AG51</f>
        <v>0</v>
      </c>
      <c r="AH170" s="135" t="n">
        <f aca="false">AF170-AG170</f>
        <v>0</v>
      </c>
      <c r="AI170" s="96"/>
      <c r="AJ170" s="135" t="n">
        <f aca="false">AC170-AG170</f>
        <v>0</v>
      </c>
      <c r="AK170" s="135" t="n">
        <f aca="false">AB170-AF170</f>
        <v>0</v>
      </c>
      <c r="AL170" s="96"/>
      <c r="AM170" s="153" t="n">
        <f aca="false">AM51</f>
        <v>0</v>
      </c>
      <c r="AN170" s="135" t="n">
        <f aca="false">AB170-AM170</f>
        <v>0</v>
      </c>
      <c r="AO170" s="96"/>
      <c r="AP170" s="153" t="n">
        <f aca="false">AP51</f>
        <v>0</v>
      </c>
      <c r="AQ170" s="135" t="n">
        <f aca="false">AC170-AP170</f>
        <v>0</v>
      </c>
      <c r="AR170" s="96"/>
      <c r="AS170" s="96"/>
      <c r="AT170" s="96"/>
      <c r="AU170" s="96"/>
    </row>
    <row r="171" customFormat="false" ht="3.95" hidden="false" customHeight="true" outlineLevel="0" collapsed="false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3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</row>
    <row r="172" customFormat="false" ht="12.75" hidden="false" customHeight="true" outlineLevel="0" collapsed="false">
      <c r="A172" s="96" t="str">
        <f aca="false">A53</f>
        <v>      Total Items Affecting Intercompany (Corp.) Balance</v>
      </c>
      <c r="B172" s="96"/>
      <c r="C172" s="96"/>
      <c r="D172" s="153" t="n">
        <f aca="false">SUM(D167:D171)</f>
        <v>0</v>
      </c>
      <c r="E172" s="153" t="n">
        <f aca="false">SUM(E167:E171)</f>
        <v>0</v>
      </c>
      <c r="F172" s="153" t="n">
        <f aca="false">SUM(F167:F171)</f>
        <v>0</v>
      </c>
      <c r="G172" s="153" t="n">
        <f aca="false">SUM(G167:G171)</f>
        <v>0</v>
      </c>
      <c r="H172" s="153" t="n">
        <f aca="false">SUM(H167:H171)</f>
        <v>0</v>
      </c>
      <c r="I172" s="153" t="n">
        <f aca="false">SUM(I167:I171)</f>
        <v>-150000</v>
      </c>
      <c r="J172" s="153" t="n">
        <f aca="false">SUM(J167:J171)</f>
        <v>0</v>
      </c>
      <c r="K172" s="153" t="n">
        <f aca="false">SUM(K167:K171)</f>
        <v>0</v>
      </c>
      <c r="L172" s="153" t="n">
        <f aca="false">SUM(L167:L171)</f>
        <v>0</v>
      </c>
      <c r="M172" s="153" t="n">
        <f aca="false">SUM(M167:M171)</f>
        <v>0</v>
      </c>
      <c r="N172" s="153" t="n">
        <f aca="false">SUM(N167:N171)</f>
        <v>-3850</v>
      </c>
      <c r="O172" s="153" t="n">
        <f aca="false">SUM(O167:O171)</f>
        <v>0</v>
      </c>
      <c r="P172" s="153" t="n">
        <f aca="false">SUM(P167:P171)</f>
        <v>-153850</v>
      </c>
      <c r="Q172" s="153" t="n">
        <f aca="false">SUM(Q167:Q171)</f>
        <v>-150000</v>
      </c>
      <c r="R172" s="153" t="n">
        <f aca="false">SUM(R167:R171)</f>
        <v>-3850</v>
      </c>
      <c r="S172" s="96"/>
      <c r="T172" s="153" t="n">
        <f aca="false">SUM(T167:T171)</f>
        <v>-3850</v>
      </c>
      <c r="U172" s="153" t="n">
        <f aca="false">SUM(U167:U171)</f>
        <v>0</v>
      </c>
      <c r="V172" s="153" t="n">
        <f aca="false">SUM(V167:V171)</f>
        <v>-3850</v>
      </c>
      <c r="W172" s="96"/>
      <c r="X172" s="96"/>
      <c r="Y172" s="96"/>
      <c r="Z172" s="96"/>
      <c r="AA172" s="152" t="str">
        <f aca="false">A172</f>
        <v>      Total Items Affecting Intercompany (Corp.) Balance</v>
      </c>
      <c r="AB172" s="153" t="n">
        <f aca="false">SUM(AB167:AB171)</f>
        <v>-153850</v>
      </c>
      <c r="AC172" s="153" t="n">
        <f aca="false">SUM(AC167:AC171)</f>
        <v>-150000</v>
      </c>
      <c r="AD172" s="153" t="n">
        <f aca="false">SUM(AD167:AD171)</f>
        <v>-3850</v>
      </c>
      <c r="AE172" s="96"/>
      <c r="AF172" s="153" t="n">
        <f aca="false">SUM(AF167:AF171)</f>
        <v>-3850</v>
      </c>
      <c r="AG172" s="153" t="n">
        <f aca="false">SUM(AG167:AG171)</f>
        <v>0</v>
      </c>
      <c r="AH172" s="153" t="n">
        <f aca="false">SUM(AH167:AH171)</f>
        <v>-3850</v>
      </c>
      <c r="AI172" s="96"/>
      <c r="AJ172" s="153" t="n">
        <f aca="false">SUM(AJ167:AJ171)</f>
        <v>-150000</v>
      </c>
      <c r="AK172" s="153" t="n">
        <f aca="false">SUM(AK167:AK171)</f>
        <v>-150000</v>
      </c>
      <c r="AL172" s="96"/>
      <c r="AM172" s="153" t="n">
        <f aca="false">SUM(AM167:AM171)</f>
        <v>-153850</v>
      </c>
      <c r="AN172" s="153" t="n">
        <f aca="false">SUM(AN167:AN171)</f>
        <v>0</v>
      </c>
      <c r="AO172" s="96"/>
      <c r="AP172" s="153" t="n">
        <f aca="false">SUM(AP167:AP171)</f>
        <v>-150000</v>
      </c>
      <c r="AQ172" s="153" t="n">
        <f aca="false">SUM(AQ167:AQ171)</f>
        <v>0</v>
      </c>
      <c r="AR172" s="96"/>
      <c r="AS172" s="96"/>
      <c r="AT172" s="96"/>
      <c r="AU172" s="96"/>
    </row>
    <row r="173" customFormat="false" ht="6" hidden="false" customHeight="true" outlineLevel="0" collapsed="false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3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</row>
    <row r="174" customFormat="false" ht="12.75" hidden="false" customHeight="true" outlineLevel="0" collapsed="false">
      <c r="A174" s="150" t="str">
        <f aca="false">A55</f>
        <v>INCREASE / (DECREASE) IN INTERCOMPANY CASH</v>
      </c>
      <c r="B174" s="96"/>
      <c r="C174" s="96"/>
      <c r="D174" s="151" t="n">
        <f aca="false">D164+D172</f>
        <v>10623</v>
      </c>
      <c r="E174" s="151" t="n">
        <f aca="false">E164+E172</f>
        <v>10355</v>
      </c>
      <c r="F174" s="151" t="n">
        <f aca="false">F164+F172</f>
        <v>14674</v>
      </c>
      <c r="G174" s="151" t="n">
        <f aca="false">G164+G172</f>
        <v>-5986</v>
      </c>
      <c r="H174" s="151" t="n">
        <f aca="false">H164+H172</f>
        <v>-9459</v>
      </c>
      <c r="I174" s="151" t="n">
        <f aca="false">I164+I172</f>
        <v>-131527</v>
      </c>
      <c r="J174" s="151" t="n">
        <f aca="false">J164+J172</f>
        <v>-4057</v>
      </c>
      <c r="K174" s="151" t="n">
        <f aca="false">K164+K172</f>
        <v>6930</v>
      </c>
      <c r="L174" s="151" t="n">
        <f aca="false">L164+L172</f>
        <v>-1412</v>
      </c>
      <c r="M174" s="151" t="n">
        <f aca="false">M164+M172</f>
        <v>3122</v>
      </c>
      <c r="N174" s="151" t="n">
        <f aca="false">N164+N172</f>
        <v>-5687</v>
      </c>
      <c r="O174" s="151" t="n">
        <f aca="false">O164+O172</f>
        <v>-5148</v>
      </c>
      <c r="P174" s="151" t="n">
        <f aca="false">P164+P172</f>
        <v>-117572</v>
      </c>
      <c r="Q174" s="151" t="n">
        <f aca="false">Q164+Q172</f>
        <v>-115377</v>
      </c>
      <c r="R174" s="151" t="n">
        <f aca="false">R164+R172</f>
        <v>-2195</v>
      </c>
      <c r="S174" s="96"/>
      <c r="T174" s="151" t="n">
        <f aca="false">T164+T172</f>
        <v>30490</v>
      </c>
      <c r="U174" s="151" t="n">
        <f aca="false">U164+U172</f>
        <v>23600</v>
      </c>
      <c r="V174" s="151" t="n">
        <f aca="false">V164+V172</f>
        <v>6890</v>
      </c>
      <c r="W174" s="96"/>
      <c r="X174" s="96"/>
      <c r="Y174" s="96"/>
      <c r="Z174" s="96"/>
      <c r="AA174" s="150" t="str">
        <f aca="false">A174</f>
        <v>INCREASE / (DECREASE) IN INTERCOMPANY CASH</v>
      </c>
      <c r="AB174" s="151" t="n">
        <f aca="false">AB164+AB172</f>
        <v>-117572</v>
      </c>
      <c r="AC174" s="151" t="n">
        <f aca="false">AC164+AC172</f>
        <v>-109859</v>
      </c>
      <c r="AD174" s="151" t="n">
        <f aca="false">AD164+AD172</f>
        <v>-7713</v>
      </c>
      <c r="AE174" s="96"/>
      <c r="AF174" s="151" t="n">
        <f aca="false">AF164+AF172</f>
        <v>30490</v>
      </c>
      <c r="AG174" s="151" t="n">
        <f aca="false">AG164+AG172</f>
        <v>23600</v>
      </c>
      <c r="AH174" s="151" t="n">
        <f aca="false">AH164+AH172</f>
        <v>6890</v>
      </c>
      <c r="AI174" s="96"/>
      <c r="AJ174" s="151" t="n">
        <f aca="false">AJ164+AJ172</f>
        <v>-133459</v>
      </c>
      <c r="AK174" s="151" t="n">
        <f aca="false">AK164+AK172</f>
        <v>-148062</v>
      </c>
      <c r="AL174" s="96"/>
      <c r="AM174" s="151" t="n">
        <f aca="false">AM164+AM172</f>
        <v>-141818</v>
      </c>
      <c r="AN174" s="151" t="n">
        <f aca="false">AN164+AN172</f>
        <v>24246</v>
      </c>
      <c r="AO174" s="96"/>
      <c r="AP174" s="151" t="n">
        <f aca="false">AP164+AP172</f>
        <v>-125118</v>
      </c>
      <c r="AQ174" s="151" t="n">
        <f aca="false">AQ164+AQ172</f>
        <v>15259</v>
      </c>
      <c r="AR174" s="96"/>
      <c r="AS174" s="96"/>
      <c r="AT174" s="96"/>
      <c r="AU174" s="96"/>
    </row>
    <row r="175" customFormat="false" ht="6" hidden="false" customHeight="true" outlineLevel="0" collapsed="false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3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</row>
    <row r="176" customFormat="false" ht="12.75" hidden="false" customHeight="true" outlineLevel="0" collapsed="false">
      <c r="A176" s="150" t="str">
        <f aca="false">A57</f>
        <v>      Change in Other Obligations</v>
      </c>
      <c r="B176" s="96"/>
      <c r="C176" s="96"/>
      <c r="D176" s="153" t="n">
        <f aca="false">D57</f>
        <v>-0</v>
      </c>
      <c r="E176" s="153" t="n">
        <f aca="false">E57</f>
        <v>-0</v>
      </c>
      <c r="F176" s="153" t="n">
        <f aca="false">F57</f>
        <v>-0</v>
      </c>
      <c r="G176" s="153" t="n">
        <f aca="false">G57</f>
        <v>-0</v>
      </c>
      <c r="H176" s="153" t="n">
        <f aca="false">H57</f>
        <v>-0</v>
      </c>
      <c r="I176" s="153" t="n">
        <f aca="false">I57</f>
        <v>150000</v>
      </c>
      <c r="J176" s="153" t="n">
        <f aca="false">J57</f>
        <v>-0</v>
      </c>
      <c r="K176" s="153" t="n">
        <f aca="false">K57</f>
        <v>-0</v>
      </c>
      <c r="L176" s="153" t="n">
        <f aca="false">L57</f>
        <v>-0</v>
      </c>
      <c r="M176" s="153" t="n">
        <f aca="false">M57</f>
        <v>-0</v>
      </c>
      <c r="N176" s="153" t="n">
        <f aca="false">N57</f>
        <v>3850</v>
      </c>
      <c r="O176" s="153" t="n">
        <f aca="false">O57</f>
        <v>-0</v>
      </c>
      <c r="P176" s="153" t="n">
        <f aca="false">P57</f>
        <v>153850</v>
      </c>
      <c r="Q176" s="153" t="n">
        <f aca="false">Q57</f>
        <v>150000</v>
      </c>
      <c r="R176" s="153" t="n">
        <f aca="false">R57</f>
        <v>3850</v>
      </c>
      <c r="S176" s="96"/>
      <c r="T176" s="153" t="n">
        <f aca="false">T57</f>
        <v>3850</v>
      </c>
      <c r="U176" s="153" t="n">
        <f aca="false">U57</f>
        <v>0</v>
      </c>
      <c r="V176" s="153" t="n">
        <f aca="false">V57</f>
        <v>3850</v>
      </c>
      <c r="W176" s="96"/>
      <c r="X176" s="96"/>
      <c r="Y176" s="96"/>
      <c r="Z176" s="96"/>
      <c r="AA176" s="150" t="str">
        <f aca="false">A176</f>
        <v>      Change in Other Obligations</v>
      </c>
      <c r="AB176" s="153" t="n">
        <f aca="false">AB57</f>
        <v>153850</v>
      </c>
      <c r="AC176" s="153" t="n">
        <f aca="false">AC57</f>
        <v>150000</v>
      </c>
      <c r="AD176" s="135" t="n">
        <f aca="false">AB176-AC176</f>
        <v>3850</v>
      </c>
      <c r="AE176" s="96"/>
      <c r="AF176" s="153" t="n">
        <f aca="false">AF57</f>
        <v>3850</v>
      </c>
      <c r="AG176" s="153" t="n">
        <f aca="false">AG57</f>
        <v>0</v>
      </c>
      <c r="AH176" s="153" t="n">
        <f aca="false">AH57</f>
        <v>3850</v>
      </c>
      <c r="AI176" s="96"/>
      <c r="AJ176" s="135" t="n">
        <f aca="false">AC176-AG176</f>
        <v>150000</v>
      </c>
      <c r="AK176" s="135" t="n">
        <f aca="false">AB176-AF176</f>
        <v>150000</v>
      </c>
      <c r="AL176" s="96"/>
      <c r="AM176" s="153" t="n">
        <f aca="false">AM57</f>
        <v>153850</v>
      </c>
      <c r="AN176" s="135" t="n">
        <f aca="false">AB176-AM176</f>
        <v>0</v>
      </c>
      <c r="AO176" s="96"/>
      <c r="AP176" s="153" t="n">
        <f aca="false">AP57</f>
        <v>150000</v>
      </c>
      <c r="AQ176" s="135" t="n">
        <f aca="false">AC176-AP176</f>
        <v>0</v>
      </c>
      <c r="AR176" s="96"/>
      <c r="AS176" s="96"/>
      <c r="AT176" s="96"/>
      <c r="AU176" s="96"/>
    </row>
    <row r="177" customFormat="false" ht="6" hidden="false" customHeight="true" outlineLevel="0" collapsed="false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3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</row>
    <row r="178" customFormat="false" ht="12.75" hidden="false" customHeight="true" outlineLevel="0" collapsed="false">
      <c r="A178" s="150" t="str">
        <f aca="false">A59</f>
        <v>INCREASE / (DECREASE) IN TOTAL OBLIGATIONS</v>
      </c>
      <c r="B178" s="96"/>
      <c r="C178" s="96"/>
      <c r="D178" s="162" t="n">
        <f aca="false">D174+D176</f>
        <v>10623</v>
      </c>
      <c r="E178" s="162" t="n">
        <f aca="false">E174+E176</f>
        <v>10355</v>
      </c>
      <c r="F178" s="162" t="n">
        <f aca="false">F174+F176</f>
        <v>14674</v>
      </c>
      <c r="G178" s="162" t="n">
        <f aca="false">G174+G176</f>
        <v>-5986</v>
      </c>
      <c r="H178" s="162" t="n">
        <f aca="false">H174+H176</f>
        <v>-9459</v>
      </c>
      <c r="I178" s="162" t="n">
        <f aca="false">I174+I176</f>
        <v>18473</v>
      </c>
      <c r="J178" s="162" t="n">
        <f aca="false">J174+J176</f>
        <v>-4057</v>
      </c>
      <c r="K178" s="162" t="n">
        <f aca="false">K174+K176</f>
        <v>6930</v>
      </c>
      <c r="L178" s="162" t="n">
        <f aca="false">L174+L176</f>
        <v>-1412</v>
      </c>
      <c r="M178" s="162" t="n">
        <f aca="false">M174+M176</f>
        <v>3122</v>
      </c>
      <c r="N178" s="162" t="n">
        <f aca="false">N174+N176</f>
        <v>-1837</v>
      </c>
      <c r="O178" s="162" t="n">
        <f aca="false">O174+O176</f>
        <v>-5148</v>
      </c>
      <c r="P178" s="162" t="n">
        <f aca="false">P174+P176</f>
        <v>36278</v>
      </c>
      <c r="Q178" s="162" t="n">
        <f aca="false">Q174+Q176</f>
        <v>34623</v>
      </c>
      <c r="R178" s="162" t="n">
        <f aca="false">R174+R176</f>
        <v>1655</v>
      </c>
      <c r="S178" s="96"/>
      <c r="T178" s="162" t="n">
        <f aca="false">T174+T176</f>
        <v>34340</v>
      </c>
      <c r="U178" s="162" t="n">
        <f aca="false">U174+U176</f>
        <v>23600</v>
      </c>
      <c r="V178" s="162" t="n">
        <f aca="false">V174+V176</f>
        <v>10740</v>
      </c>
      <c r="W178" s="96"/>
      <c r="X178" s="96"/>
      <c r="Y178" s="96"/>
      <c r="Z178" s="96"/>
      <c r="AA178" s="150" t="str">
        <f aca="false">A178</f>
        <v>INCREASE / (DECREASE) IN TOTAL OBLIGATIONS</v>
      </c>
      <c r="AB178" s="162" t="n">
        <f aca="false">AB174+AB176</f>
        <v>36278</v>
      </c>
      <c r="AC178" s="162" t="n">
        <f aca="false">AC174+AC176</f>
        <v>40141</v>
      </c>
      <c r="AD178" s="162" t="n">
        <f aca="false">AD174+AD176</f>
        <v>-3863</v>
      </c>
      <c r="AE178" s="96"/>
      <c r="AF178" s="162" t="n">
        <f aca="false">AF174+AF176</f>
        <v>34340</v>
      </c>
      <c r="AG178" s="162" t="n">
        <f aca="false">AG174+AG176</f>
        <v>23600</v>
      </c>
      <c r="AH178" s="162" t="n">
        <f aca="false">AH174+AH176</f>
        <v>10740</v>
      </c>
      <c r="AI178" s="96"/>
      <c r="AJ178" s="162" t="n">
        <f aca="false">AJ174+AJ176</f>
        <v>16541</v>
      </c>
      <c r="AK178" s="162" t="n">
        <f aca="false">AK174+AK176</f>
        <v>1938</v>
      </c>
      <c r="AL178" s="96"/>
      <c r="AM178" s="162" t="n">
        <f aca="false">AM174+AM176</f>
        <v>12032</v>
      </c>
      <c r="AN178" s="162" t="n">
        <f aca="false">AN174+AN176</f>
        <v>24246</v>
      </c>
      <c r="AO178" s="96"/>
      <c r="AP178" s="162" t="n">
        <f aca="false">AP174+AP176</f>
        <v>24882</v>
      </c>
      <c r="AQ178" s="162" t="n">
        <f aca="false">AQ174+AQ176</f>
        <v>15259</v>
      </c>
      <c r="AR178" s="96"/>
      <c r="AS178" s="96"/>
      <c r="AT178" s="96"/>
      <c r="AU178" s="96"/>
    </row>
    <row r="179" customFormat="false" ht="12.75" hidden="false" customHeight="true" outlineLevel="0" collapsed="false">
      <c r="A179" s="150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3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</row>
    <row r="180" customFormat="false" ht="12.75" hidden="false" customHeight="true" outlineLevel="0" collapsed="false">
      <c r="A180" s="152" t="str">
        <f aca="false">A107</f>
        <v>      CHECK #</v>
      </c>
      <c r="B180" s="96"/>
      <c r="C180" s="96"/>
      <c r="D180" s="151" t="n">
        <f aca="false">D59-D178</f>
        <v>0</v>
      </c>
      <c r="E180" s="151" t="n">
        <f aca="false">E59-E178</f>
        <v>0</v>
      </c>
      <c r="F180" s="151" t="n">
        <f aca="false">F59-F178</f>
        <v>0</v>
      </c>
      <c r="G180" s="151" t="n">
        <f aca="false">G59-G178</f>
        <v>0</v>
      </c>
      <c r="H180" s="151" t="n">
        <f aca="false">H59-H178</f>
        <v>0</v>
      </c>
      <c r="I180" s="151" t="n">
        <f aca="false">I59-I178</f>
        <v>0</v>
      </c>
      <c r="J180" s="151" t="n">
        <f aca="false">J59-J178</f>
        <v>0</v>
      </c>
      <c r="K180" s="151" t="n">
        <f aca="false">K59-K178</f>
        <v>0</v>
      </c>
      <c r="L180" s="151" t="n">
        <f aca="false">L59-L178</f>
        <v>0</v>
      </c>
      <c r="M180" s="151" t="n">
        <f aca="false">M59-M178</f>
        <v>0</v>
      </c>
      <c r="N180" s="151" t="n">
        <f aca="false">N59-N178</f>
        <v>0</v>
      </c>
      <c r="O180" s="151" t="n">
        <f aca="false">O59-O178</f>
        <v>0</v>
      </c>
      <c r="P180" s="151" t="n">
        <f aca="false">P59-P178</f>
        <v>0</v>
      </c>
      <c r="Q180" s="151" t="n">
        <f aca="false">Q59-Q178</f>
        <v>0</v>
      </c>
      <c r="R180" s="151" t="n">
        <f aca="false">R59-R178</f>
        <v>0</v>
      </c>
      <c r="S180" s="151"/>
      <c r="T180" s="151" t="n">
        <f aca="false">T59-T178</f>
        <v>0</v>
      </c>
      <c r="U180" s="151" t="n">
        <f aca="false">U59-U178</f>
        <v>0</v>
      </c>
      <c r="V180" s="151" t="n">
        <f aca="false">V59-V178</f>
        <v>0</v>
      </c>
      <c r="W180" s="96"/>
      <c r="X180" s="96"/>
      <c r="Y180" s="96"/>
      <c r="Z180" s="96"/>
      <c r="AA180" s="152" t="str">
        <f aca="false">A180</f>
        <v>      CHECK #</v>
      </c>
      <c r="AB180" s="151" t="n">
        <f aca="false">AB59-AB178</f>
        <v>0</v>
      </c>
      <c r="AC180" s="151" t="n">
        <f aca="false">AC59-AC178</f>
        <v>0</v>
      </c>
      <c r="AD180" s="151" t="n">
        <f aca="false">AD59-AD178</f>
        <v>0</v>
      </c>
      <c r="AE180" s="151"/>
      <c r="AF180" s="151" t="n">
        <f aca="false">AF59-AF178</f>
        <v>0</v>
      </c>
      <c r="AG180" s="151" t="n">
        <f aca="false">AG59-AG178</f>
        <v>0</v>
      </c>
      <c r="AH180" s="151" t="n">
        <f aca="false">AH59-AH178</f>
        <v>0</v>
      </c>
      <c r="AI180" s="151"/>
      <c r="AJ180" s="151" t="n">
        <f aca="false">AJ59-AJ178</f>
        <v>0</v>
      </c>
      <c r="AK180" s="151" t="n">
        <f aca="false">AK59-AK178</f>
        <v>0</v>
      </c>
      <c r="AL180" s="151"/>
      <c r="AM180" s="151" t="n">
        <f aca="false">AM59-AM178</f>
        <v>0</v>
      </c>
      <c r="AN180" s="151" t="n">
        <f aca="false">AN59-AN178</f>
        <v>0</v>
      </c>
      <c r="AO180" s="151"/>
      <c r="AP180" s="151" t="n">
        <f aca="false">AP59-AP178</f>
        <v>0</v>
      </c>
      <c r="AQ180" s="151" t="n">
        <f aca="false">AQ59-AQ178</f>
        <v>0</v>
      </c>
      <c r="AR180" s="96"/>
      <c r="AS180" s="96"/>
      <c r="AT180" s="96"/>
      <c r="AU180" s="96"/>
    </row>
    <row r="181" customFormat="false" ht="6" hidden="false" customHeight="true" outlineLevel="0" collapsed="false">
      <c r="A181" s="150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3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</row>
    <row r="182" customFormat="false" ht="12.75" hidden="false" customHeight="true" outlineLevel="0" collapsed="false">
      <c r="A182" s="150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3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</row>
    <row r="183" customFormat="false" ht="12.75" hidden="false" customHeight="true" outlineLevel="0" collapsed="false">
      <c r="A183" s="163" t="str">
        <f aca="false">A1</f>
        <v>'file:///mnt/12tb/@roms/datasets/enron/EDRM Enron Email Data Set v2 XML/filtered-attachments/xls/TW3rdCECF.xls'#$BACKUP</v>
      </c>
      <c r="B183" s="164"/>
      <c r="C183" s="164"/>
      <c r="D183" s="164"/>
      <c r="E183" s="164"/>
      <c r="F183" s="164"/>
      <c r="G183" s="164"/>
      <c r="H183" s="164"/>
      <c r="I183" s="147" t="str">
        <f aca="false">I1</f>
        <v>TRANSWESTERN PIPELINE GROUP (Including Co. 92)</v>
      </c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95" t="n">
        <f aca="true">NOW()</f>
        <v>45926.9584325698</v>
      </c>
      <c r="W183" s="96"/>
      <c r="X183" s="96"/>
      <c r="Y183" s="96"/>
      <c r="Z183" s="96"/>
      <c r="AA183" s="97" t="str">
        <f aca="false">A1</f>
        <v>'file:///mnt/12tb/@roms/datasets/enron/EDRM Enron Email Data Set v2 XML/filtered-attachments/xls/TW3rdCECF.xls'#$BACKUP</v>
      </c>
      <c r="AB183" s="96"/>
      <c r="AC183" s="96"/>
      <c r="AD183" s="147" t="str">
        <f aca="false">I1</f>
        <v>TRANSWESTERN PIPELINE GROUP (Including Co. 92)</v>
      </c>
      <c r="AE183" s="147"/>
      <c r="AF183" s="147"/>
      <c r="AG183" s="147"/>
      <c r="AH183" s="96"/>
      <c r="AI183" s="96"/>
      <c r="AJ183" s="96"/>
      <c r="AK183" s="96"/>
      <c r="AL183" s="96"/>
      <c r="AM183" s="96"/>
      <c r="AN183" s="96"/>
      <c r="AO183" s="96"/>
      <c r="AP183" s="96"/>
      <c r="AQ183" s="95" t="n">
        <f aca="true">NOW()</f>
        <v>45926.9584325699</v>
      </c>
      <c r="AR183" s="96"/>
      <c r="AS183" s="96"/>
      <c r="AT183" s="96"/>
      <c r="AU183" s="96"/>
    </row>
    <row r="184" customFormat="false" ht="12.75" hidden="false" customHeight="true" outlineLevel="0" collapsed="false">
      <c r="A184" s="100" t="s">
        <v>523</v>
      </c>
      <c r="B184" s="164"/>
      <c r="C184" s="164"/>
      <c r="D184" s="164"/>
      <c r="E184" s="164"/>
      <c r="F184" s="164"/>
      <c r="G184" s="164"/>
      <c r="H184" s="164"/>
      <c r="I184" s="101" t="s">
        <v>524</v>
      </c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2" t="n">
        <f aca="true">NOW()</f>
        <v>45926.9584325699</v>
      </c>
      <c r="W184" s="96"/>
      <c r="X184" s="96"/>
      <c r="Y184" s="96"/>
      <c r="Z184" s="96"/>
      <c r="AA184" s="100" t="s">
        <v>525</v>
      </c>
      <c r="AB184" s="96"/>
      <c r="AC184" s="147" t="str">
        <f aca="false">I184</f>
        <v>FUNDS FLOW STATEMENT - " OTHER "</v>
      </c>
      <c r="AD184" s="147"/>
      <c r="AE184" s="147"/>
      <c r="AF184" s="147"/>
      <c r="AG184" s="147"/>
      <c r="AH184" s="147"/>
      <c r="AI184" s="96"/>
      <c r="AJ184" s="96"/>
      <c r="AK184" s="96"/>
      <c r="AL184" s="96"/>
      <c r="AM184" s="96"/>
      <c r="AN184" s="96"/>
      <c r="AO184" s="96"/>
      <c r="AP184" s="96"/>
      <c r="AQ184" s="102" t="n">
        <f aca="true">NOW()</f>
        <v>45926.95843257</v>
      </c>
      <c r="AR184" s="96"/>
      <c r="AS184" s="96"/>
      <c r="AT184" s="96"/>
      <c r="AU184" s="96"/>
    </row>
    <row r="185" customFormat="false" ht="12.75" hidden="false" customHeight="true" outlineLevel="0" collapsed="false">
      <c r="A185" s="164"/>
      <c r="B185" s="164"/>
      <c r="C185" s="164"/>
      <c r="D185" s="164"/>
      <c r="E185" s="164"/>
      <c r="F185" s="164"/>
      <c r="G185" s="164"/>
      <c r="H185" s="164"/>
      <c r="I185" s="147" t="str">
        <f aca="false">I3</f>
        <v>2001 ACTUAL / ESTIMATE</v>
      </c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96"/>
      <c r="W185" s="96"/>
      <c r="X185" s="96"/>
      <c r="Y185" s="96"/>
      <c r="Z185" s="96"/>
      <c r="AA185" s="93"/>
      <c r="AB185" s="96"/>
      <c r="AC185" s="96"/>
      <c r="AD185" s="147" t="str">
        <f aca="false">I3</f>
        <v>2001 ACTUAL / ESTIMATE</v>
      </c>
      <c r="AE185" s="147"/>
      <c r="AF185" s="147"/>
      <c r="AG185" s="147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</row>
    <row r="186" customFormat="false" ht="12.75" hidden="false" customHeight="true" outlineLevel="0" collapsed="false">
      <c r="A186" s="164"/>
      <c r="B186" s="164"/>
      <c r="C186" s="164"/>
      <c r="D186" s="164"/>
      <c r="E186" s="164"/>
      <c r="F186" s="164"/>
      <c r="G186" s="164"/>
      <c r="H186" s="164"/>
      <c r="I186" s="147" t="str">
        <f aca="false">I4</f>
        <v>(Thousands of Dollars)</v>
      </c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96"/>
      <c r="W186" s="96"/>
      <c r="X186" s="96"/>
      <c r="Y186" s="96"/>
      <c r="Z186" s="96"/>
      <c r="AA186" s="93"/>
      <c r="AB186" s="96"/>
      <c r="AC186" s="96"/>
      <c r="AD186" s="147" t="str">
        <f aca="false">I4</f>
        <v>(Thousands of Dollars)</v>
      </c>
      <c r="AE186" s="147"/>
      <c r="AF186" s="147"/>
      <c r="AG186" s="147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</row>
    <row r="187" customFormat="false" ht="12.75" hidden="false" customHeight="true" outlineLevel="0" collapsed="false">
      <c r="A187" s="165"/>
      <c r="B187" s="165"/>
      <c r="C187" s="165"/>
      <c r="D187" s="148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48" t="n">
        <f aca="false">T5</f>
        <v>0</v>
      </c>
      <c r="U187" s="164"/>
      <c r="V187" s="148" t="n">
        <f aca="false">V5</f>
        <v>0</v>
      </c>
      <c r="W187" s="96"/>
      <c r="X187" s="96"/>
      <c r="Y187" s="96"/>
      <c r="Z187" s="96"/>
      <c r="AA187" s="93"/>
      <c r="AB187" s="96"/>
      <c r="AC187" s="96"/>
      <c r="AD187" s="96"/>
      <c r="AE187" s="96"/>
      <c r="AF187" s="148" t="n">
        <f aca="false">AF5</f>
        <v>0</v>
      </c>
      <c r="AG187" s="96"/>
      <c r="AH187" s="148" t="n">
        <f aca="false">AH5</f>
        <v>0</v>
      </c>
      <c r="AI187" s="96"/>
      <c r="AJ187" s="96"/>
      <c r="AK187" s="148" t="n">
        <f aca="false">AK5</f>
        <v>0</v>
      </c>
      <c r="AL187" s="96"/>
      <c r="AM187" s="96"/>
      <c r="AN187" s="96"/>
      <c r="AO187" s="96"/>
      <c r="AP187" s="147"/>
      <c r="AQ187" s="143"/>
      <c r="AR187" s="96"/>
      <c r="AS187" s="96"/>
      <c r="AT187" s="96"/>
      <c r="AU187" s="96"/>
    </row>
    <row r="188" customFormat="false" ht="12.75" hidden="false" customHeight="true" outlineLevel="0" collapsed="false">
      <c r="A188" s="165"/>
      <c r="B188" s="165"/>
      <c r="C188" s="165"/>
      <c r="D188" s="148" t="str">
        <f aca="false">D6</f>
        <v>ACT.</v>
      </c>
      <c r="E188" s="148" t="str">
        <f aca="false">E6</f>
        <v>ACT.</v>
      </c>
      <c r="F188" s="148" t="str">
        <f aca="false">F6</f>
        <v>ACT.</v>
      </c>
      <c r="G188" s="148" t="str">
        <f aca="false">G6</f>
        <v>ACT.</v>
      </c>
      <c r="H188" s="148" t="str">
        <f aca="false">H6</f>
        <v>ACT.</v>
      </c>
      <c r="I188" s="148" t="str">
        <f aca="false">I6</f>
        <v>ACT.</v>
      </c>
      <c r="J188" s="148" t="str">
        <f aca="false">J6</f>
        <v>ACT.</v>
      </c>
      <c r="K188" s="148" t="str">
        <f aca="false">K6</f>
        <v>ACT.</v>
      </c>
      <c r="L188" s="148" t="str">
        <f aca="false">L6</f>
        <v>3rd CE</v>
      </c>
      <c r="M188" s="148" t="str">
        <f aca="false">M6</f>
        <v>3rd CE</v>
      </c>
      <c r="N188" s="148" t="str">
        <f aca="false">N6</f>
        <v>3rd CE</v>
      </c>
      <c r="O188" s="148" t="str">
        <f aca="false">O6</f>
        <v>3rd CE</v>
      </c>
      <c r="P188" s="148" t="str">
        <f aca="false">P6</f>
        <v>TOTAL</v>
      </c>
      <c r="Q188" s="148" t="str">
        <f aca="false">Q6</f>
        <v>JULY</v>
      </c>
      <c r="R188" s="148" t="str">
        <f aca="false">R6</f>
        <v>ESTIMATED</v>
      </c>
      <c r="S188" s="164"/>
      <c r="T188" s="148" t="str">
        <f aca="false">T6</f>
        <v>PLAN</v>
      </c>
      <c r="U188" s="148" t="str">
        <f aca="false">U6</f>
        <v>SEPT.</v>
      </c>
      <c r="V188" s="148" t="str">
        <f aca="false">V6</f>
        <v>PLAN</v>
      </c>
      <c r="W188" s="96"/>
      <c r="X188" s="96"/>
      <c r="Y188" s="96"/>
      <c r="Z188" s="96"/>
      <c r="AA188" s="93"/>
      <c r="AB188" s="148" t="str">
        <f aca="false">AB6</f>
        <v>TOTAL</v>
      </c>
      <c r="AC188" s="148" t="str">
        <f aca="false">AC6</f>
        <v>SEPT.</v>
      </c>
      <c r="AD188" s="148" t="str">
        <f aca="false">AD6</f>
        <v>ESTIMATED</v>
      </c>
      <c r="AE188" s="96"/>
      <c r="AF188" s="148" t="str">
        <f aca="false">AF6</f>
        <v>PLAN</v>
      </c>
      <c r="AG188" s="148" t="str">
        <f aca="false">AG6</f>
        <v>SEPT.</v>
      </c>
      <c r="AH188" s="148" t="str">
        <f aca="false">AH6</f>
        <v>PLAN</v>
      </c>
      <c r="AI188" s="96"/>
      <c r="AJ188" s="149" t="str">
        <f aca="false">AJ6</f>
        <v>ACT./EST. vs. PLAN</v>
      </c>
      <c r="AK188" s="149"/>
      <c r="AL188" s="96"/>
      <c r="AM188" s="149" t="str">
        <f aca="false">AM6</f>
        <v>2nd C.E.</v>
      </c>
      <c r="AN188" s="149"/>
      <c r="AO188" s="96"/>
      <c r="AP188" s="149" t="str">
        <f aca="false">AP6</f>
        <v>Sept. YTD</v>
      </c>
      <c r="AQ188" s="149"/>
      <c r="AR188" s="96"/>
      <c r="AS188" s="96"/>
      <c r="AT188" s="96"/>
      <c r="AU188" s="96"/>
    </row>
    <row r="189" customFormat="false" ht="12.75" hidden="false" customHeight="true" outlineLevel="0" collapsed="false">
      <c r="A189" s="165"/>
      <c r="B189" s="165"/>
      <c r="C189" s="165"/>
      <c r="D189" s="118" t="str">
        <f aca="false">D7</f>
        <v>JAN</v>
      </c>
      <c r="E189" s="118" t="str">
        <f aca="false">E7</f>
        <v>FEB</v>
      </c>
      <c r="F189" s="118" t="str">
        <f aca="false">F7</f>
        <v>MAR</v>
      </c>
      <c r="G189" s="118" t="str">
        <f aca="false">G7</f>
        <v>APR</v>
      </c>
      <c r="H189" s="118" t="str">
        <f aca="false">H7</f>
        <v>MAY</v>
      </c>
      <c r="I189" s="118" t="str">
        <f aca="false">I7</f>
        <v>JUN</v>
      </c>
      <c r="J189" s="118" t="str">
        <f aca="false">J7</f>
        <v>JUL</v>
      </c>
      <c r="K189" s="118" t="str">
        <f aca="false">K7</f>
        <v>AUG</v>
      </c>
      <c r="L189" s="118" t="str">
        <f aca="false">L7</f>
        <v>SEP</v>
      </c>
      <c r="M189" s="118" t="str">
        <f aca="false">M7</f>
        <v>OCT</v>
      </c>
      <c r="N189" s="118" t="str">
        <f aca="false">N7</f>
        <v>NOV</v>
      </c>
      <c r="O189" s="118" t="str">
        <f aca="false">O7</f>
        <v>DEC</v>
      </c>
      <c r="P189" s="118" t="n">
        <f aca="false">P7</f>
        <v>2001</v>
      </c>
      <c r="Q189" s="118" t="str">
        <f aca="false">Q7</f>
        <v>Y-T-D</v>
      </c>
      <c r="R189" s="118" t="str">
        <f aca="false">R7</f>
        <v>R.M.</v>
      </c>
      <c r="S189" s="164"/>
      <c r="T189" s="118" t="n">
        <f aca="false">T7</f>
        <v>2001</v>
      </c>
      <c r="U189" s="118" t="str">
        <f aca="false">U7</f>
        <v>Y-T-D</v>
      </c>
      <c r="V189" s="118" t="str">
        <f aca="false">V7</f>
        <v>R.M.</v>
      </c>
      <c r="W189" s="96"/>
      <c r="X189" s="96"/>
      <c r="Y189" s="96"/>
      <c r="Z189" s="96"/>
      <c r="AA189" s="93"/>
      <c r="AB189" s="118" t="n">
        <f aca="false">AB7</f>
        <v>2001</v>
      </c>
      <c r="AC189" s="118" t="str">
        <f aca="false">AC7</f>
        <v>Y-T-D</v>
      </c>
      <c r="AD189" s="118" t="str">
        <f aca="false">AD7</f>
        <v>R.M.</v>
      </c>
      <c r="AE189" s="96"/>
      <c r="AF189" s="118" t="n">
        <f aca="false">AF7</f>
        <v>2001</v>
      </c>
      <c r="AG189" s="118" t="str">
        <f aca="false">AG7</f>
        <v>Y-T-D</v>
      </c>
      <c r="AH189" s="118" t="str">
        <f aca="false">AH7</f>
        <v>R.M.</v>
      </c>
      <c r="AI189" s="96"/>
      <c r="AJ189" s="118" t="str">
        <f aca="false">AJ7</f>
        <v>Y-T-D</v>
      </c>
      <c r="AK189" s="118" t="str">
        <f aca="false">AK7</f>
        <v>ANNUAL</v>
      </c>
      <c r="AL189" s="96"/>
      <c r="AM189" s="118" t="str">
        <f aca="false">AM7</f>
        <v>ANNUAL</v>
      </c>
      <c r="AN189" s="118" t="str">
        <f aca="false">AN7</f>
        <v>Variance</v>
      </c>
      <c r="AO189" s="96"/>
      <c r="AP189" s="118" t="str">
        <f aca="false">AP7</f>
        <v>2nd C.E.</v>
      </c>
      <c r="AQ189" s="118" t="str">
        <f aca="false">AQ7</f>
        <v>Variance</v>
      </c>
      <c r="AR189" s="96"/>
      <c r="AS189" s="96"/>
      <c r="AT189" s="96"/>
      <c r="AU189" s="96"/>
    </row>
    <row r="190" customFormat="false" ht="12.75" hidden="false" customHeight="true" outlineLevel="0" collapsed="false">
      <c r="A190" s="166" t="s">
        <v>526</v>
      </c>
      <c r="B190" s="165"/>
      <c r="C190" s="165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96"/>
      <c r="W190" s="96"/>
      <c r="X190" s="96"/>
      <c r="Y190" s="96"/>
      <c r="Z190" s="96"/>
      <c r="AA190" s="159" t="str">
        <f aca="false">A190</f>
        <v> " OTHER "</v>
      </c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</row>
    <row r="191" customFormat="false" ht="12.75" hidden="false" customHeight="true" outlineLevel="0" collapsed="false">
      <c r="A191" s="167" t="s">
        <v>527</v>
      </c>
      <c r="B191" s="165"/>
      <c r="C191" s="165"/>
      <c r="D191" s="168" t="n">
        <f aca="false">-D327</f>
        <v>463</v>
      </c>
      <c r="E191" s="168" t="n">
        <f aca="false">-E327</f>
        <v>429</v>
      </c>
      <c r="F191" s="168" t="n">
        <f aca="false">-F327</f>
        <v>469</v>
      </c>
      <c r="G191" s="168" t="n">
        <f aca="false">-G327</f>
        <v>469</v>
      </c>
      <c r="H191" s="168" t="n">
        <f aca="false">-H327</f>
        <v>469</v>
      </c>
      <c r="I191" s="168" t="n">
        <f aca="false">-I327</f>
        <v>467</v>
      </c>
      <c r="J191" s="168" t="n">
        <f aca="false">-J327</f>
        <v>448</v>
      </c>
      <c r="K191" s="168" t="n">
        <f aca="false">-K327</f>
        <v>463</v>
      </c>
      <c r="L191" s="168" t="n">
        <f aca="false">-L327</f>
        <v>461</v>
      </c>
      <c r="M191" s="168" t="n">
        <f aca="false">-M327</f>
        <v>468</v>
      </c>
      <c r="N191" s="168" t="n">
        <f aca="false">-N327</f>
        <v>462</v>
      </c>
      <c r="O191" s="168" t="n">
        <f aca="false">-O327</f>
        <v>-36</v>
      </c>
      <c r="P191" s="122" t="n">
        <f aca="false">SUM(D191:O191)</f>
        <v>5032</v>
      </c>
      <c r="Q191" s="123" t="n">
        <f aca="false">SUM(D191:J191)</f>
        <v>3214</v>
      </c>
      <c r="R191" s="122" t="n">
        <f aca="false">P191-Q191</f>
        <v>1818</v>
      </c>
      <c r="S191" s="164"/>
      <c r="T191" s="128" t="n">
        <f aca="false">3697+1284</f>
        <v>4981</v>
      </c>
      <c r="U191" s="128" t="n">
        <f aca="false">3466+963</f>
        <v>4429</v>
      </c>
      <c r="V191" s="122" t="n">
        <f aca="false">T191-U191</f>
        <v>552</v>
      </c>
      <c r="W191" s="96"/>
      <c r="X191" s="96"/>
      <c r="Y191" s="96"/>
      <c r="Z191" s="96"/>
      <c r="AA191" s="152" t="str">
        <f aca="false">A191</f>
        <v>   Change in Other Regulatory Assets</v>
      </c>
      <c r="AB191" s="151" t="n">
        <f aca="false">P191</f>
        <v>5032</v>
      </c>
      <c r="AC191" s="123" t="n">
        <f aca="false">SUM(D191:L191)</f>
        <v>4138</v>
      </c>
      <c r="AD191" s="122" t="n">
        <f aca="false">AB191-AC191</f>
        <v>894</v>
      </c>
      <c r="AE191" s="96"/>
      <c r="AF191" s="122" t="n">
        <f aca="false">T191</f>
        <v>4981</v>
      </c>
      <c r="AG191" s="122" t="n">
        <f aca="false">U191</f>
        <v>4429</v>
      </c>
      <c r="AH191" s="122" t="n">
        <f aca="false">AF191-AG191</f>
        <v>552</v>
      </c>
      <c r="AI191" s="96"/>
      <c r="AJ191" s="122" t="n">
        <f aca="false">AC191-AG191</f>
        <v>-291</v>
      </c>
      <c r="AK191" s="122" t="n">
        <f aca="false">AB191-AF191</f>
        <v>51</v>
      </c>
      <c r="AL191" s="96"/>
      <c r="AM191" s="123" t="n">
        <v>5050</v>
      </c>
      <c r="AN191" s="122" t="n">
        <f aca="false">AB191-AM191</f>
        <v>-18</v>
      </c>
      <c r="AO191" s="96"/>
      <c r="AP191" s="123" t="n">
        <v>4156</v>
      </c>
      <c r="AQ191" s="122" t="n">
        <f aca="false">AC191-AP191</f>
        <v>-18</v>
      </c>
      <c r="AR191" s="96"/>
      <c r="AS191" s="96"/>
      <c r="AT191" s="96"/>
      <c r="AU191" s="96"/>
    </row>
    <row r="192" customFormat="false" ht="12.75" hidden="false" customHeight="true" outlineLevel="0" collapsed="false">
      <c r="A192" s="167" t="s">
        <v>528</v>
      </c>
      <c r="B192" s="165"/>
      <c r="C192" s="165"/>
      <c r="D192" s="169" t="n">
        <f aca="false">D330</f>
        <v>0</v>
      </c>
      <c r="E192" s="170" t="n">
        <f aca="false">E330</f>
        <v>0</v>
      </c>
      <c r="F192" s="170" t="n">
        <f aca="false">F330</f>
        <v>0</v>
      </c>
      <c r="G192" s="170" t="n">
        <f aca="false">G330</f>
        <v>0</v>
      </c>
      <c r="H192" s="170" t="n">
        <f aca="false">H330</f>
        <v>0</v>
      </c>
      <c r="I192" s="170" t="n">
        <f aca="false">I330</f>
        <v>0</v>
      </c>
      <c r="J192" s="170" t="n">
        <f aca="false">J330</f>
        <v>0</v>
      </c>
      <c r="K192" s="170" t="n">
        <f aca="false">K330</f>
        <v>0</v>
      </c>
      <c r="L192" s="170" t="n">
        <f aca="false">L330</f>
        <v>0</v>
      </c>
      <c r="M192" s="170" t="n">
        <f aca="false">M330</f>
        <v>0</v>
      </c>
      <c r="N192" s="170" t="n">
        <f aca="false">N330</f>
        <v>0</v>
      </c>
      <c r="O192" s="170" t="n">
        <f aca="false">O330</f>
        <v>0</v>
      </c>
      <c r="P192" s="135" t="n">
        <f aca="false">SUM(D192:O192)</f>
        <v>0</v>
      </c>
      <c r="Q192" s="136" t="n">
        <f aca="false">SUM(D192:J192)</f>
        <v>0</v>
      </c>
      <c r="R192" s="135" t="n">
        <f aca="false">P192-Q192</f>
        <v>0</v>
      </c>
      <c r="S192" s="171"/>
      <c r="T192" s="136" t="n">
        <v>0</v>
      </c>
      <c r="U192" s="136" t="n">
        <v>0</v>
      </c>
      <c r="V192" s="135" t="n">
        <f aca="false">T192-U192</f>
        <v>0</v>
      </c>
      <c r="W192" s="96"/>
      <c r="X192" s="96"/>
      <c r="Y192" s="96"/>
      <c r="Z192" s="96"/>
      <c r="AA192" s="152" t="str">
        <f aca="false">A192</f>
        <v>         "     "      "           "        Liabilities</v>
      </c>
      <c r="AB192" s="153" t="n">
        <f aca="false">P192</f>
        <v>0</v>
      </c>
      <c r="AC192" s="136" t="n">
        <f aca="false">SUM(D192:L192)</f>
        <v>0</v>
      </c>
      <c r="AD192" s="135" t="n">
        <f aca="false">AB192-AC192</f>
        <v>0</v>
      </c>
      <c r="AE192" s="96"/>
      <c r="AF192" s="135" t="n">
        <f aca="false">T192</f>
        <v>0</v>
      </c>
      <c r="AG192" s="135" t="n">
        <f aca="false">U192</f>
        <v>0</v>
      </c>
      <c r="AH192" s="135" t="n">
        <f aca="false">AF192-AG192</f>
        <v>0</v>
      </c>
      <c r="AI192" s="96"/>
      <c r="AJ192" s="135" t="n">
        <f aca="false">AC192-AG192</f>
        <v>0</v>
      </c>
      <c r="AK192" s="135" t="n">
        <f aca="false">AB192-AF192</f>
        <v>0</v>
      </c>
      <c r="AL192" s="96"/>
      <c r="AM192" s="136" t="n">
        <v>0</v>
      </c>
      <c r="AN192" s="135" t="n">
        <f aca="false">AB192-AM192</f>
        <v>0</v>
      </c>
      <c r="AO192" s="156"/>
      <c r="AP192" s="136" t="n">
        <v>0</v>
      </c>
      <c r="AQ192" s="135" t="n">
        <f aca="false">AC192-AP192</f>
        <v>0</v>
      </c>
      <c r="AR192" s="96"/>
      <c r="AS192" s="96"/>
      <c r="AT192" s="96"/>
      <c r="AU192" s="96"/>
    </row>
    <row r="193" customFormat="false" ht="3.95" hidden="false" customHeight="true" outlineLevel="0" collapsed="false">
      <c r="A193" s="167"/>
      <c r="B193" s="165"/>
      <c r="C193" s="165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64"/>
      <c r="Q193" s="164"/>
      <c r="R193" s="164"/>
      <c r="S193" s="164"/>
      <c r="T193" s="164"/>
      <c r="U193" s="164"/>
      <c r="V193" s="96"/>
      <c r="W193" s="96"/>
      <c r="X193" s="96"/>
      <c r="Y193" s="96"/>
      <c r="Z193" s="96"/>
      <c r="AA193" s="93"/>
      <c r="AB193" s="96"/>
      <c r="AC193" s="156"/>
      <c r="AD193" s="15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</row>
    <row r="194" customFormat="false" ht="12.75" hidden="false" customHeight="true" outlineLevel="0" collapsed="false">
      <c r="A194" s="172" t="s">
        <v>529</v>
      </c>
      <c r="B194" s="173"/>
      <c r="C194" s="173"/>
      <c r="D194" s="174" t="n">
        <f aca="false">D191+D192</f>
        <v>463</v>
      </c>
      <c r="E194" s="174" t="n">
        <f aca="false">E191+E192</f>
        <v>429</v>
      </c>
      <c r="F194" s="174" t="n">
        <f aca="false">F191+F192</f>
        <v>469</v>
      </c>
      <c r="G194" s="174" t="n">
        <f aca="false">G191+G192</f>
        <v>469</v>
      </c>
      <c r="H194" s="174" t="n">
        <f aca="false">H191+H192</f>
        <v>469</v>
      </c>
      <c r="I194" s="174" t="n">
        <f aca="false">I191+I192</f>
        <v>467</v>
      </c>
      <c r="J194" s="174" t="n">
        <f aca="false">J191+J192</f>
        <v>448</v>
      </c>
      <c r="K194" s="174" t="n">
        <f aca="false">K191+K192</f>
        <v>463</v>
      </c>
      <c r="L194" s="174" t="n">
        <f aca="false">L191+L192</f>
        <v>461</v>
      </c>
      <c r="M194" s="174" t="n">
        <f aca="false">M191+M192</f>
        <v>468</v>
      </c>
      <c r="N194" s="174" t="n">
        <f aca="false">N191+N192</f>
        <v>462</v>
      </c>
      <c r="O194" s="174" t="n">
        <f aca="false">O191+O192</f>
        <v>-36</v>
      </c>
      <c r="P194" s="174" t="n">
        <f aca="false">P191+P192</f>
        <v>5032</v>
      </c>
      <c r="Q194" s="174" t="n">
        <f aca="false">Q191+Q192</f>
        <v>3214</v>
      </c>
      <c r="R194" s="174" t="n">
        <f aca="false">R191+R192</f>
        <v>1818</v>
      </c>
      <c r="S194" s="164"/>
      <c r="T194" s="174" t="n">
        <f aca="false">T191+T192</f>
        <v>4981</v>
      </c>
      <c r="U194" s="174" t="n">
        <f aca="false">U191+U192</f>
        <v>4429</v>
      </c>
      <c r="V194" s="174" t="n">
        <f aca="false">V191+V192</f>
        <v>552</v>
      </c>
      <c r="W194" s="96"/>
      <c r="X194" s="96"/>
      <c r="Y194" s="96"/>
      <c r="Z194" s="96"/>
      <c r="AA194" s="93" t="str">
        <f aca="false">A194</f>
        <v>      Net Change in Regulatory Assets / Liabilities</v>
      </c>
      <c r="AB194" s="174" t="n">
        <f aca="false">AB191+AB192</f>
        <v>5032</v>
      </c>
      <c r="AC194" s="174" t="n">
        <f aca="false">AC191+AC192</f>
        <v>4138</v>
      </c>
      <c r="AD194" s="174" t="n">
        <f aca="false">AD191+AD192</f>
        <v>894</v>
      </c>
      <c r="AE194" s="96"/>
      <c r="AF194" s="174" t="n">
        <f aca="false">AF191+AF192</f>
        <v>4981</v>
      </c>
      <c r="AG194" s="174" t="n">
        <f aca="false">AG191+AG192</f>
        <v>4429</v>
      </c>
      <c r="AH194" s="174" t="n">
        <f aca="false">AH191+AH192</f>
        <v>552</v>
      </c>
      <c r="AI194" s="96"/>
      <c r="AJ194" s="174" t="n">
        <f aca="false">AJ191+AJ192</f>
        <v>-291</v>
      </c>
      <c r="AK194" s="174" t="n">
        <f aca="false">AK191+AK192</f>
        <v>51</v>
      </c>
      <c r="AL194" s="96"/>
      <c r="AM194" s="174" t="n">
        <f aca="false">AM191+AM192</f>
        <v>5050</v>
      </c>
      <c r="AN194" s="174" t="n">
        <f aca="false">AN191+AN192</f>
        <v>-18</v>
      </c>
      <c r="AO194" s="96"/>
      <c r="AP194" s="174" t="n">
        <f aca="false">AP191+AP192</f>
        <v>4156</v>
      </c>
      <c r="AQ194" s="174" t="n">
        <f aca="false">AQ191+AQ192</f>
        <v>-18</v>
      </c>
      <c r="AR194" s="96"/>
      <c r="AS194" s="96"/>
      <c r="AT194" s="96"/>
      <c r="AU194" s="96"/>
    </row>
    <row r="195" customFormat="false" ht="6" hidden="false" customHeight="true" outlineLevel="0" collapsed="false">
      <c r="A195" s="167"/>
      <c r="B195" s="165"/>
      <c r="C195" s="165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96"/>
      <c r="W195" s="96"/>
      <c r="X195" s="96"/>
      <c r="Y195" s="96"/>
      <c r="Z195" s="96"/>
      <c r="AA195" s="93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</row>
    <row r="196" customFormat="false" ht="12.75" hidden="false" customHeight="true" outlineLevel="0" collapsed="false">
      <c r="A196" s="175" t="s">
        <v>530</v>
      </c>
      <c r="B196" s="165"/>
      <c r="C196" s="165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96"/>
      <c r="W196" s="96"/>
      <c r="X196" s="96"/>
      <c r="Y196" s="96"/>
      <c r="Z196" s="96"/>
      <c r="AA196" s="152" t="str">
        <f aca="false">A196</f>
        <v>   Other Items (Cash Flow Model)</v>
      </c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</row>
    <row r="197" customFormat="false" ht="12.75" hidden="false" customHeight="true" outlineLevel="0" collapsed="false">
      <c r="A197" s="167" t="s">
        <v>531</v>
      </c>
      <c r="B197" s="165"/>
      <c r="C197" s="165"/>
      <c r="D197" s="168" t="n">
        <f aca="false">-D254</f>
        <v>-0</v>
      </c>
      <c r="E197" s="168" t="n">
        <f aca="false">-E254</f>
        <v>-0</v>
      </c>
      <c r="F197" s="168" t="n">
        <f aca="false">-F254</f>
        <v>-0</v>
      </c>
      <c r="G197" s="168" t="n">
        <f aca="false">-G254</f>
        <v>-0</v>
      </c>
      <c r="H197" s="168" t="n">
        <f aca="false">-H254</f>
        <v>-0</v>
      </c>
      <c r="I197" s="168" t="n">
        <f aca="false">-I254</f>
        <v>-0</v>
      </c>
      <c r="J197" s="168" t="n">
        <f aca="false">-J254</f>
        <v>1</v>
      </c>
      <c r="K197" s="168" t="n">
        <f aca="false">-K254</f>
        <v>-0</v>
      </c>
      <c r="L197" s="168" t="n">
        <f aca="false">-L254</f>
        <v>-0</v>
      </c>
      <c r="M197" s="168" t="n">
        <f aca="false">-M254</f>
        <v>-0</v>
      </c>
      <c r="N197" s="168" t="n">
        <f aca="false">-N254</f>
        <v>-0</v>
      </c>
      <c r="O197" s="168" t="n">
        <f aca="false">-O254</f>
        <v>-0</v>
      </c>
      <c r="P197" s="122" t="n">
        <f aca="false">SUM(D197:O197)</f>
        <v>1</v>
      </c>
      <c r="Q197" s="123" t="n">
        <f aca="false">SUM(D197:J197)</f>
        <v>1</v>
      </c>
      <c r="R197" s="122" t="n">
        <f aca="false">P197-Q197</f>
        <v>0</v>
      </c>
      <c r="S197" s="164"/>
      <c r="T197" s="123" t="n">
        <v>0</v>
      </c>
      <c r="U197" s="123" t="n">
        <v>0</v>
      </c>
      <c r="V197" s="122" t="n">
        <f aca="false">T197-U197</f>
        <v>0</v>
      </c>
      <c r="W197" s="96"/>
      <c r="X197" s="96"/>
      <c r="Y197" s="96"/>
      <c r="Z197" s="96"/>
      <c r="AA197" s="152" t="str">
        <f aca="false">A197</f>
        <v>      Change in Cash / Temporary Cash Investments</v>
      </c>
      <c r="AB197" s="151" t="n">
        <f aca="false">P197</f>
        <v>1</v>
      </c>
      <c r="AC197" s="123" t="n">
        <f aca="false">SUM(D197:L197)</f>
        <v>1</v>
      </c>
      <c r="AD197" s="122" t="n">
        <f aca="false">AB197-AC197</f>
        <v>0</v>
      </c>
      <c r="AE197" s="96"/>
      <c r="AF197" s="122" t="n">
        <f aca="false">T197</f>
        <v>0</v>
      </c>
      <c r="AG197" s="122" t="n">
        <f aca="false">U197</f>
        <v>0</v>
      </c>
      <c r="AH197" s="122" t="n">
        <f aca="false">AF197-AG197</f>
        <v>0</v>
      </c>
      <c r="AI197" s="96"/>
      <c r="AJ197" s="122" t="n">
        <f aca="false">AC197-AG197</f>
        <v>1</v>
      </c>
      <c r="AK197" s="122" t="n">
        <f aca="false">AB197-AF197</f>
        <v>1</v>
      </c>
      <c r="AL197" s="96"/>
      <c r="AM197" s="123" t="n">
        <v>0</v>
      </c>
      <c r="AN197" s="122" t="n">
        <f aca="false">AB197-AM197</f>
        <v>1</v>
      </c>
      <c r="AO197" s="96"/>
      <c r="AP197" s="123" t="n">
        <v>0</v>
      </c>
      <c r="AQ197" s="122" t="n">
        <f aca="false">AC197-AP197</f>
        <v>1</v>
      </c>
      <c r="AR197" s="96"/>
      <c r="AS197" s="96"/>
      <c r="AT197" s="96"/>
      <c r="AU197" s="96"/>
    </row>
    <row r="198" customFormat="false" ht="3.95" hidden="false" customHeight="true" outlineLevel="0" collapsed="false">
      <c r="A198" s="175"/>
      <c r="B198" s="165"/>
      <c r="C198" s="165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96"/>
      <c r="W198" s="96"/>
      <c r="X198" s="96"/>
      <c r="Y198" s="96"/>
      <c r="Z198" s="96"/>
      <c r="AA198" s="93"/>
      <c r="AB198" s="96"/>
      <c r="AC198" s="96"/>
      <c r="AD198" s="96"/>
      <c r="AE198" s="96"/>
      <c r="AF198" s="96"/>
      <c r="AG198" s="164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</row>
    <row r="199" customFormat="false" ht="12.75" hidden="false" customHeight="true" outlineLevel="0" collapsed="false">
      <c r="A199" s="167" t="s">
        <v>532</v>
      </c>
      <c r="B199" s="165"/>
      <c r="C199" s="165"/>
      <c r="D199" s="168" t="n">
        <f aca="false">-D257</f>
        <v>-0</v>
      </c>
      <c r="E199" s="168" t="n">
        <f aca="false">-E257</f>
        <v>-0</v>
      </c>
      <c r="F199" s="168" t="n">
        <f aca="false">-F257</f>
        <v>-0</v>
      </c>
      <c r="G199" s="168" t="n">
        <f aca="false">-G257</f>
        <v>-0</v>
      </c>
      <c r="H199" s="168" t="n">
        <f aca="false">-H257</f>
        <v>-0</v>
      </c>
      <c r="I199" s="168" t="n">
        <f aca="false">-I257</f>
        <v>-0</v>
      </c>
      <c r="J199" s="168" t="n">
        <f aca="false">-J257</f>
        <v>-0</v>
      </c>
      <c r="K199" s="168" t="n">
        <f aca="false">-K257</f>
        <v>-0</v>
      </c>
      <c r="L199" s="168" t="n">
        <f aca="false">-L257</f>
        <v>-0</v>
      </c>
      <c r="M199" s="168" t="n">
        <f aca="false">-M257</f>
        <v>-0</v>
      </c>
      <c r="N199" s="168" t="n">
        <f aca="false">-N257</f>
        <v>-0</v>
      </c>
      <c r="O199" s="168" t="n">
        <f aca="false">-O257</f>
        <v>-0</v>
      </c>
      <c r="P199" s="122" t="n">
        <f aca="false">SUM(D199:O199)</f>
        <v>0</v>
      </c>
      <c r="Q199" s="123" t="n">
        <f aca="false">SUM(D199:J199)</f>
        <v>0</v>
      </c>
      <c r="R199" s="122" t="n">
        <f aca="false">P199-Q199</f>
        <v>0</v>
      </c>
      <c r="S199" s="164"/>
      <c r="T199" s="123" t="n">
        <v>0</v>
      </c>
      <c r="U199" s="123" t="n">
        <v>0</v>
      </c>
      <c r="V199" s="122" t="n">
        <f aca="false">T199-U199</f>
        <v>0</v>
      </c>
      <c r="W199" s="96"/>
      <c r="X199" s="96"/>
      <c r="Y199" s="96"/>
      <c r="Z199" s="96"/>
      <c r="AA199" s="152" t="str">
        <f aca="false">A199</f>
        <v>      Change in Investments &amp; Other Assets</v>
      </c>
      <c r="AB199" s="151" t="n">
        <f aca="false">P199</f>
        <v>0</v>
      </c>
      <c r="AC199" s="123" t="n">
        <f aca="false">SUM(D199:L199)</f>
        <v>0</v>
      </c>
      <c r="AD199" s="122" t="n">
        <f aca="false">AB199-AC199</f>
        <v>0</v>
      </c>
      <c r="AE199" s="96"/>
      <c r="AF199" s="122" t="n">
        <f aca="false">T199</f>
        <v>0</v>
      </c>
      <c r="AG199" s="122" t="n">
        <f aca="false">U199</f>
        <v>0</v>
      </c>
      <c r="AH199" s="122" t="n">
        <f aca="false">AF199-AG199</f>
        <v>0</v>
      </c>
      <c r="AI199" s="96"/>
      <c r="AJ199" s="122" t="n">
        <f aca="false">AC199-AG199</f>
        <v>0</v>
      </c>
      <c r="AK199" s="122" t="n">
        <f aca="false">AB199-AF199</f>
        <v>0</v>
      </c>
      <c r="AL199" s="96"/>
      <c r="AM199" s="123" t="n">
        <v>0</v>
      </c>
      <c r="AN199" s="122" t="n">
        <f aca="false">AB199-AM199</f>
        <v>0</v>
      </c>
      <c r="AO199" s="96"/>
      <c r="AP199" s="123" t="n">
        <v>0</v>
      </c>
      <c r="AQ199" s="122" t="n">
        <f aca="false">AC199-AP199</f>
        <v>0</v>
      </c>
      <c r="AR199" s="96"/>
      <c r="AS199" s="96"/>
      <c r="AT199" s="96"/>
      <c r="AU199" s="96"/>
    </row>
    <row r="200" customFormat="false" ht="3.95" hidden="false" customHeight="true" outlineLevel="0" collapsed="false">
      <c r="A200" s="175"/>
      <c r="B200" s="165"/>
      <c r="C200" s="165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5"/>
      <c r="U200" s="164"/>
      <c r="V200" s="96"/>
      <c r="W200" s="96"/>
      <c r="X200" s="96"/>
      <c r="Y200" s="96"/>
      <c r="Z200" s="96"/>
      <c r="AA200" s="93"/>
      <c r="AB200" s="96"/>
      <c r="AC200" s="96"/>
      <c r="AD200" s="96"/>
      <c r="AE200" s="96"/>
      <c r="AF200" s="96"/>
      <c r="AG200" s="164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</row>
    <row r="201" customFormat="false" ht="12.75" hidden="false" customHeight="true" outlineLevel="0" collapsed="false">
      <c r="A201" s="167" t="s">
        <v>533</v>
      </c>
      <c r="B201" s="165"/>
      <c r="C201" s="165"/>
      <c r="D201" s="168" t="n">
        <f aca="false">-SUM(D291:D302)</f>
        <v>49</v>
      </c>
      <c r="E201" s="168" t="n">
        <f aca="false">-SUM(E291:E302)</f>
        <v>-723</v>
      </c>
      <c r="F201" s="168" t="n">
        <f aca="false">-SUM(F291:F302)</f>
        <v>368</v>
      </c>
      <c r="G201" s="168" t="n">
        <f aca="false">-SUM(G291:G302)</f>
        <v>-268</v>
      </c>
      <c r="H201" s="168" t="n">
        <f aca="false">-SUM(H291:H302)</f>
        <v>-573</v>
      </c>
      <c r="I201" s="168" t="n">
        <f aca="false">-SUM(I291:I302)</f>
        <v>-385</v>
      </c>
      <c r="J201" s="168" t="n">
        <f aca="false">-SUM(J291:J302)</f>
        <v>-240</v>
      </c>
      <c r="K201" s="168" t="n">
        <f aca="false">-SUM(K291:K302)</f>
        <v>13</v>
      </c>
      <c r="L201" s="168" t="n">
        <f aca="false">-SUM(L291:L302)</f>
        <v>12</v>
      </c>
      <c r="M201" s="168" t="n">
        <f aca="false">-SUM(M291:M302)</f>
        <v>13</v>
      </c>
      <c r="N201" s="168" t="n">
        <f aca="false">-SUM(N291:N302)</f>
        <v>12</v>
      </c>
      <c r="O201" s="168" t="n">
        <f aca="false">-SUM(O291:O302)</f>
        <v>13</v>
      </c>
      <c r="P201" s="122" t="n">
        <f aca="false">SUM(D201:O201)</f>
        <v>-1709</v>
      </c>
      <c r="Q201" s="123" t="n">
        <f aca="false">SUM(D201:J201)</f>
        <v>-1772</v>
      </c>
      <c r="R201" s="122" t="n">
        <f aca="false">P201-Q201</f>
        <v>63</v>
      </c>
      <c r="S201" s="164"/>
      <c r="T201" s="123" t="n">
        <v>-9847</v>
      </c>
      <c r="U201" s="123" t="n">
        <v>-7371</v>
      </c>
      <c r="V201" s="122" t="n">
        <f aca="false">T201-U201</f>
        <v>-2476</v>
      </c>
      <c r="W201" s="96"/>
      <c r="X201" s="96"/>
      <c r="Y201" s="96"/>
      <c r="Z201" s="96"/>
      <c r="AA201" s="152" t="str">
        <f aca="false">A201</f>
        <v>      Change in Deferred Charges</v>
      </c>
      <c r="AB201" s="151" t="n">
        <f aca="false">P201</f>
        <v>-1709</v>
      </c>
      <c r="AC201" s="123" t="n">
        <f aca="false">SUM(D201:L201)</f>
        <v>-1747</v>
      </c>
      <c r="AD201" s="122" t="n">
        <f aca="false">AB201-AC201</f>
        <v>38</v>
      </c>
      <c r="AE201" s="96"/>
      <c r="AF201" s="122" t="n">
        <f aca="false">T201</f>
        <v>-9847</v>
      </c>
      <c r="AG201" s="122" t="n">
        <f aca="false">U201</f>
        <v>-7371</v>
      </c>
      <c r="AH201" s="122" t="n">
        <f aca="false">AF201-AG201</f>
        <v>-2476</v>
      </c>
      <c r="AI201" s="96"/>
      <c r="AJ201" s="122" t="n">
        <f aca="false">AC201-AG201</f>
        <v>5624</v>
      </c>
      <c r="AK201" s="122" t="n">
        <f aca="false">AB201-AF201</f>
        <v>8138</v>
      </c>
      <c r="AL201" s="96"/>
      <c r="AM201" s="123" t="n">
        <v>-1457</v>
      </c>
      <c r="AN201" s="122" t="n">
        <f aca="false">AB201-AM201</f>
        <v>-252</v>
      </c>
      <c r="AO201" s="96"/>
      <c r="AP201" s="123" t="n">
        <v>-1495</v>
      </c>
      <c r="AQ201" s="122" t="n">
        <f aca="false">AC201-AP201</f>
        <v>-252</v>
      </c>
      <c r="AR201" s="96"/>
      <c r="AS201" s="96"/>
      <c r="AT201" s="96"/>
      <c r="AU201" s="96"/>
    </row>
    <row r="202" customFormat="false" ht="3.95" hidden="false" customHeight="true" outlineLevel="0" collapsed="false">
      <c r="A202" s="167"/>
      <c r="B202" s="165"/>
      <c r="C202" s="165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96"/>
      <c r="W202" s="96"/>
      <c r="X202" s="96"/>
      <c r="Y202" s="96"/>
      <c r="Z202" s="96"/>
      <c r="AA202" s="93"/>
      <c r="AB202" s="96"/>
      <c r="AC202" s="96"/>
      <c r="AD202" s="96"/>
      <c r="AE202" s="96"/>
      <c r="AF202" s="96"/>
      <c r="AG202" s="164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</row>
    <row r="203" customFormat="false" ht="12.75" hidden="false" customHeight="true" outlineLevel="0" collapsed="false">
      <c r="A203" s="124" t="s">
        <v>534</v>
      </c>
      <c r="B203" s="165"/>
      <c r="C203" s="165"/>
      <c r="D203" s="168" t="n">
        <f aca="false">SUM(D316:D322)</f>
        <v>-24</v>
      </c>
      <c r="E203" s="168" t="n">
        <f aca="false">SUM(E316:E322)</f>
        <v>-23</v>
      </c>
      <c r="F203" s="168" t="n">
        <f aca="false">SUM(F316:F322)</f>
        <v>-22</v>
      </c>
      <c r="G203" s="168" t="n">
        <f aca="false">SUM(G316:G322)</f>
        <v>-22</v>
      </c>
      <c r="H203" s="168" t="n">
        <f aca="false">SUM(H316:H322)</f>
        <v>-28</v>
      </c>
      <c r="I203" s="168" t="n">
        <f aca="false">SUM(I316:I322)</f>
        <v>-22</v>
      </c>
      <c r="J203" s="168" t="n">
        <f aca="false">SUM(J316:J322)</f>
        <v>-23</v>
      </c>
      <c r="K203" s="168" t="n">
        <f aca="false">SUM(K316:K322)</f>
        <v>-24</v>
      </c>
      <c r="L203" s="168" t="n">
        <f aca="false">SUM(L316:L322)</f>
        <v>-24</v>
      </c>
      <c r="M203" s="168" t="n">
        <f aca="false">SUM(M316:M322)</f>
        <v>-24</v>
      </c>
      <c r="N203" s="168" t="n">
        <f aca="false">SUM(N316:N322)</f>
        <v>-24</v>
      </c>
      <c r="O203" s="168" t="n">
        <f aca="false">SUM(O316:O322)</f>
        <v>-24</v>
      </c>
      <c r="P203" s="122" t="n">
        <f aca="false">SUM(D203:O203)</f>
        <v>-284</v>
      </c>
      <c r="Q203" s="123" t="n">
        <f aca="false">SUM(D203:J203)</f>
        <v>-164</v>
      </c>
      <c r="R203" s="122" t="n">
        <f aca="false">P203-Q203</f>
        <v>-120</v>
      </c>
      <c r="S203" s="164"/>
      <c r="T203" s="123" t="n">
        <v>-286</v>
      </c>
      <c r="U203" s="123" t="n">
        <v>-215</v>
      </c>
      <c r="V203" s="122" t="n">
        <f aca="false">T203-U203</f>
        <v>-71</v>
      </c>
      <c r="W203" s="96"/>
      <c r="X203" s="96"/>
      <c r="Y203" s="96"/>
      <c r="Z203" s="96"/>
      <c r="AA203" s="152" t="str">
        <f aca="false">A203</f>
        <v>      Change in Deferred Credits </v>
      </c>
      <c r="AB203" s="151" t="n">
        <f aca="false">P203</f>
        <v>-284</v>
      </c>
      <c r="AC203" s="123" t="n">
        <f aca="false">SUM(D203:L203)</f>
        <v>-212</v>
      </c>
      <c r="AD203" s="122" t="n">
        <f aca="false">AB203-AC203</f>
        <v>-72</v>
      </c>
      <c r="AE203" s="96"/>
      <c r="AF203" s="122" t="n">
        <f aca="false">T203</f>
        <v>-286</v>
      </c>
      <c r="AG203" s="122" t="n">
        <f aca="false">U203</f>
        <v>-215</v>
      </c>
      <c r="AH203" s="122" t="n">
        <f aca="false">AF203-AG203</f>
        <v>-71</v>
      </c>
      <c r="AI203" s="96"/>
      <c r="AJ203" s="122" t="n">
        <f aca="false">AC203-AG203</f>
        <v>3</v>
      </c>
      <c r="AK203" s="122" t="n">
        <f aca="false">AB203-AF203</f>
        <v>2</v>
      </c>
      <c r="AL203" s="96"/>
      <c r="AM203" s="123" t="n">
        <v>-285</v>
      </c>
      <c r="AN203" s="122" t="n">
        <f aca="false">AB203-AM203</f>
        <v>1</v>
      </c>
      <c r="AO203" s="96"/>
      <c r="AP203" s="123" t="n">
        <v>-213</v>
      </c>
      <c r="AQ203" s="122" t="n">
        <f aca="false">AC203-AP203</f>
        <v>1</v>
      </c>
      <c r="AR203" s="96"/>
      <c r="AS203" s="96"/>
      <c r="AT203" s="96"/>
      <c r="AU203" s="96"/>
    </row>
    <row r="204" customFormat="false" ht="3.95" hidden="false" customHeight="true" outlineLevel="0" collapsed="false">
      <c r="A204" s="165"/>
      <c r="B204" s="165"/>
      <c r="C204" s="165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96"/>
      <c r="W204" s="96"/>
      <c r="X204" s="96"/>
      <c r="Y204" s="96"/>
      <c r="Z204" s="96"/>
      <c r="AA204" s="93"/>
      <c r="AB204" s="96"/>
      <c r="AC204" s="96"/>
      <c r="AD204" s="96"/>
      <c r="AE204" s="96"/>
      <c r="AF204" s="96"/>
      <c r="AG204" s="164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</row>
    <row r="205" customFormat="false" ht="12.75" hidden="false" customHeight="true" outlineLevel="0" collapsed="false">
      <c r="A205" s="167" t="s">
        <v>535</v>
      </c>
      <c r="B205" s="165"/>
      <c r="C205" s="165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96"/>
      <c r="W205" s="96"/>
      <c r="X205" s="96"/>
      <c r="Y205" s="96"/>
      <c r="Z205" s="96"/>
      <c r="AA205" s="152" t="str">
        <f aca="false">A205</f>
        <v>      Gross Plant</v>
      </c>
      <c r="AB205" s="96"/>
      <c r="AC205" s="96"/>
      <c r="AD205" s="96"/>
      <c r="AE205" s="96"/>
      <c r="AF205" s="96"/>
      <c r="AG205" s="164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</row>
    <row r="206" customFormat="false" ht="12.75" hidden="false" customHeight="true" outlineLevel="0" collapsed="false">
      <c r="A206" s="124" t="s">
        <v>536</v>
      </c>
      <c r="B206" s="165"/>
      <c r="C206" s="165"/>
      <c r="D206" s="168" t="n">
        <f aca="false">-D267</f>
        <v>-0</v>
      </c>
      <c r="E206" s="168" t="n">
        <f aca="false">-E267</f>
        <v>-0</v>
      </c>
      <c r="F206" s="168" t="n">
        <f aca="false">-F267</f>
        <v>-0</v>
      </c>
      <c r="G206" s="168" t="n">
        <f aca="false">-G267</f>
        <v>-0</v>
      </c>
      <c r="H206" s="168" t="n">
        <f aca="false">-H267</f>
        <v>-0</v>
      </c>
      <c r="I206" s="168" t="n">
        <f aca="false">-I267</f>
        <v>-0</v>
      </c>
      <c r="J206" s="168" t="n">
        <f aca="false">-J267</f>
        <v>-0</v>
      </c>
      <c r="K206" s="168" t="n">
        <f aca="false">-K267</f>
        <v>-0</v>
      </c>
      <c r="L206" s="168" t="n">
        <f aca="false">-L267</f>
        <v>-0</v>
      </c>
      <c r="M206" s="168" t="n">
        <f aca="false">-M267</f>
        <v>-0</v>
      </c>
      <c r="N206" s="168" t="n">
        <f aca="false">-N267</f>
        <v>-0</v>
      </c>
      <c r="O206" s="168" t="n">
        <f aca="false">-O267</f>
        <v>-0</v>
      </c>
      <c r="P206" s="122" t="n">
        <f aca="false">SUM(D206:O206)</f>
        <v>0</v>
      </c>
      <c r="Q206" s="123" t="n">
        <f aca="false">SUM(D206:J206)</f>
        <v>0</v>
      </c>
      <c r="R206" s="122" t="n">
        <f aca="false">P206-Q206</f>
        <v>0</v>
      </c>
      <c r="S206" s="164"/>
      <c r="T206" s="123" t="n">
        <v>0</v>
      </c>
      <c r="U206" s="123" t="n">
        <v>0</v>
      </c>
      <c r="V206" s="122" t="n">
        <f aca="false">T206-U206</f>
        <v>0</v>
      </c>
      <c r="W206" s="96"/>
      <c r="X206" s="96"/>
      <c r="Y206" s="96"/>
      <c r="Z206" s="96"/>
      <c r="AA206" s="152" t="str">
        <f aca="false">A206</f>
        <v>          Reserve Adjustments </v>
      </c>
      <c r="AB206" s="151" t="n">
        <f aca="false">P206</f>
        <v>0</v>
      </c>
      <c r="AC206" s="123" t="n">
        <f aca="false">SUM(D206:L206)</f>
        <v>0</v>
      </c>
      <c r="AD206" s="122" t="n">
        <f aca="false">AB206-AC206</f>
        <v>0</v>
      </c>
      <c r="AE206" s="96"/>
      <c r="AF206" s="122" t="n">
        <f aca="false">T206</f>
        <v>0</v>
      </c>
      <c r="AG206" s="122" t="n">
        <f aca="false">U206</f>
        <v>0</v>
      </c>
      <c r="AH206" s="122" t="n">
        <f aca="false">AF206-AG206</f>
        <v>0</v>
      </c>
      <c r="AI206" s="96"/>
      <c r="AJ206" s="122" t="n">
        <f aca="false">AC206-AG206</f>
        <v>0</v>
      </c>
      <c r="AK206" s="122" t="n">
        <f aca="false">AB206-AF206</f>
        <v>0</v>
      </c>
      <c r="AL206" s="96"/>
      <c r="AM206" s="123" t="n">
        <v>0</v>
      </c>
      <c r="AN206" s="122" t="n">
        <f aca="false">AB206-AM206</f>
        <v>0</v>
      </c>
      <c r="AO206" s="96"/>
      <c r="AP206" s="123" t="n">
        <v>0</v>
      </c>
      <c r="AQ206" s="122" t="n">
        <f aca="false">AC206-AP206</f>
        <v>0</v>
      </c>
      <c r="AR206" s="96"/>
      <c r="AS206" s="96"/>
      <c r="AT206" s="96"/>
      <c r="AU206" s="96"/>
    </row>
    <row r="207" customFormat="false" ht="12.75" hidden="false" customHeight="true" outlineLevel="0" collapsed="false">
      <c r="A207" s="176" t="s">
        <v>537</v>
      </c>
      <c r="B207" s="165"/>
      <c r="C207" s="165"/>
      <c r="D207" s="177" t="n">
        <v>0</v>
      </c>
      <c r="E207" s="177" t="n">
        <v>0</v>
      </c>
      <c r="F207" s="177" t="n">
        <v>0</v>
      </c>
      <c r="G207" s="177" t="n">
        <v>0</v>
      </c>
      <c r="H207" s="177" t="n">
        <v>0</v>
      </c>
      <c r="I207" s="177" t="n">
        <v>0</v>
      </c>
      <c r="J207" s="177" t="n">
        <v>0</v>
      </c>
      <c r="K207" s="177" t="n">
        <v>0</v>
      </c>
      <c r="L207" s="177" t="n">
        <v>0</v>
      </c>
      <c r="M207" s="177" t="n">
        <v>0</v>
      </c>
      <c r="N207" s="177" t="n">
        <v>0</v>
      </c>
      <c r="O207" s="177" t="n">
        <v>0</v>
      </c>
      <c r="P207" s="122" t="n">
        <f aca="false">SUM(D207:O207)</f>
        <v>0</v>
      </c>
      <c r="Q207" s="123" t="n">
        <f aca="false">SUM(D207:J207)</f>
        <v>0</v>
      </c>
      <c r="R207" s="122" t="n">
        <f aca="false">P207-Q207</f>
        <v>0</v>
      </c>
      <c r="S207" s="164"/>
      <c r="T207" s="123" t="n">
        <v>0</v>
      </c>
      <c r="U207" s="123" t="n">
        <v>0</v>
      </c>
      <c r="V207" s="122" t="n">
        <f aca="false">T207-U207</f>
        <v>0</v>
      </c>
      <c r="W207" s="96"/>
      <c r="X207" s="96"/>
      <c r="Y207" s="96"/>
      <c r="Z207" s="96"/>
      <c r="AA207" s="152" t="str">
        <f aca="false">A207</f>
        <v>          Linepack Revaluation vs. Other CAPEX (3/98 Forward)</v>
      </c>
      <c r="AB207" s="151" t="n">
        <f aca="false">P207</f>
        <v>0</v>
      </c>
      <c r="AC207" s="123" t="n">
        <f aca="false">SUM(D207:L207)</f>
        <v>0</v>
      </c>
      <c r="AD207" s="122" t="n">
        <f aca="false">AB207-AC207</f>
        <v>0</v>
      </c>
      <c r="AE207" s="96"/>
      <c r="AF207" s="122" t="n">
        <f aca="false">T207</f>
        <v>0</v>
      </c>
      <c r="AG207" s="122" t="n">
        <f aca="false">U207</f>
        <v>0</v>
      </c>
      <c r="AH207" s="122" t="n">
        <f aca="false">AF207-AG207</f>
        <v>0</v>
      </c>
      <c r="AI207" s="96"/>
      <c r="AJ207" s="122" t="n">
        <f aca="false">AC207-AG207</f>
        <v>0</v>
      </c>
      <c r="AK207" s="122" t="n">
        <f aca="false">AB207-AF207</f>
        <v>0</v>
      </c>
      <c r="AL207" s="96"/>
      <c r="AM207" s="123" t="n">
        <v>0</v>
      </c>
      <c r="AN207" s="122" t="n">
        <f aca="false">AB207-AM207</f>
        <v>0</v>
      </c>
      <c r="AO207" s="96"/>
      <c r="AP207" s="123" t="n">
        <v>0</v>
      </c>
      <c r="AQ207" s="122" t="n">
        <f aca="false">AC207-AP207</f>
        <v>0</v>
      </c>
      <c r="AR207" s="96"/>
      <c r="AS207" s="96"/>
      <c r="AT207" s="96"/>
      <c r="AU207" s="96"/>
    </row>
    <row r="208" customFormat="false" ht="12.75" hidden="false" customHeight="true" outlineLevel="0" collapsed="false">
      <c r="A208" s="167" t="s">
        <v>538</v>
      </c>
      <c r="B208" s="165"/>
      <c r="C208" s="165"/>
      <c r="D208" s="168" t="n">
        <f aca="false">-D269</f>
        <v>-0</v>
      </c>
      <c r="E208" s="168" t="n">
        <f aca="false">-E269</f>
        <v>-0</v>
      </c>
      <c r="F208" s="168" t="n">
        <f aca="false">-F269</f>
        <v>-0</v>
      </c>
      <c r="G208" s="168" t="n">
        <f aca="false">-G269</f>
        <v>-0</v>
      </c>
      <c r="H208" s="168" t="n">
        <f aca="false">-H269</f>
        <v>-0</v>
      </c>
      <c r="I208" s="168" t="n">
        <f aca="false">-I269</f>
        <v>-0</v>
      </c>
      <c r="J208" s="168" t="n">
        <f aca="false">-J269</f>
        <v>-0</v>
      </c>
      <c r="K208" s="168" t="n">
        <f aca="false">-K269</f>
        <v>-0</v>
      </c>
      <c r="L208" s="168" t="n">
        <f aca="false">-L269</f>
        <v>-0</v>
      </c>
      <c r="M208" s="168" t="n">
        <f aca="false">-M269</f>
        <v>-0</v>
      </c>
      <c r="N208" s="168" t="n">
        <f aca="false">-N269</f>
        <v>-0</v>
      </c>
      <c r="O208" s="168" t="n">
        <f aca="false">-O269</f>
        <v>-0</v>
      </c>
      <c r="P208" s="122" t="n">
        <f aca="false">SUM(D208:O208)</f>
        <v>0</v>
      </c>
      <c r="Q208" s="123" t="n">
        <f aca="false">SUM(D208:J208)</f>
        <v>0</v>
      </c>
      <c r="R208" s="122" t="n">
        <f aca="false">P208-Q208</f>
        <v>0</v>
      </c>
      <c r="S208" s="164"/>
      <c r="T208" s="123" t="n">
        <v>0</v>
      </c>
      <c r="U208" s="123" t="n">
        <v>0</v>
      </c>
      <c r="V208" s="122" t="n">
        <f aca="false">T208-U208</f>
        <v>0</v>
      </c>
      <c r="W208" s="96"/>
      <c r="X208" s="96"/>
      <c r="Y208" s="96"/>
      <c r="Z208" s="96"/>
      <c r="AA208" s="152" t="str">
        <f aca="false">A208</f>
        <v>          Retirements at Cost</v>
      </c>
      <c r="AB208" s="151" t="n">
        <f aca="false">P208</f>
        <v>0</v>
      </c>
      <c r="AC208" s="123" t="n">
        <f aca="false">SUM(D208:L208)</f>
        <v>0</v>
      </c>
      <c r="AD208" s="122" t="n">
        <f aca="false">AB208-AC208</f>
        <v>0</v>
      </c>
      <c r="AE208" s="96"/>
      <c r="AF208" s="122" t="n">
        <f aca="false">T208</f>
        <v>0</v>
      </c>
      <c r="AG208" s="122" t="n">
        <f aca="false">U208</f>
        <v>0</v>
      </c>
      <c r="AH208" s="122" t="n">
        <f aca="false">AF208-AG208</f>
        <v>0</v>
      </c>
      <c r="AI208" s="96"/>
      <c r="AJ208" s="122" t="n">
        <f aca="false">AC208-AG208</f>
        <v>0</v>
      </c>
      <c r="AK208" s="122" t="n">
        <f aca="false">AB208-AF208</f>
        <v>0</v>
      </c>
      <c r="AL208" s="96"/>
      <c r="AM208" s="123" t="n">
        <v>0</v>
      </c>
      <c r="AN208" s="122" t="n">
        <f aca="false">AB208-AM208</f>
        <v>0</v>
      </c>
      <c r="AO208" s="96"/>
      <c r="AP208" s="123" t="n">
        <v>0</v>
      </c>
      <c r="AQ208" s="122" t="n">
        <f aca="false">AC208-AP208</f>
        <v>0</v>
      </c>
      <c r="AR208" s="96"/>
      <c r="AS208" s="96"/>
      <c r="AT208" s="96"/>
      <c r="AU208" s="96"/>
    </row>
    <row r="209" customFormat="false" ht="3.95" hidden="false" customHeight="true" outlineLevel="0" collapsed="false">
      <c r="A209" s="167"/>
      <c r="B209" s="165"/>
      <c r="C209" s="165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96"/>
      <c r="W209" s="96"/>
      <c r="X209" s="96"/>
      <c r="Y209" s="96"/>
      <c r="Z209" s="96"/>
      <c r="AA209" s="93"/>
      <c r="AB209" s="96"/>
      <c r="AC209" s="96"/>
      <c r="AD209" s="96"/>
      <c r="AE209" s="96"/>
      <c r="AF209" s="96"/>
      <c r="AG209" s="164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</row>
    <row r="210" customFormat="false" ht="12.75" hidden="false" customHeight="true" outlineLevel="0" collapsed="false">
      <c r="A210" s="167" t="s">
        <v>539</v>
      </c>
      <c r="B210" s="165"/>
      <c r="C210" s="165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96"/>
      <c r="W210" s="96"/>
      <c r="X210" s="96"/>
      <c r="Y210" s="96"/>
      <c r="Z210" s="96"/>
      <c r="AA210" s="152" t="str">
        <f aca="false">A210</f>
        <v>      Accumulated Depreciation</v>
      </c>
      <c r="AB210" s="96"/>
      <c r="AC210" s="96"/>
      <c r="AD210" s="96"/>
      <c r="AE210" s="96"/>
      <c r="AF210" s="96"/>
      <c r="AG210" s="164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</row>
    <row r="211" customFormat="false" ht="12.75" hidden="false" customHeight="true" outlineLevel="0" collapsed="false">
      <c r="A211" s="167" t="s">
        <v>540</v>
      </c>
      <c r="B211" s="165"/>
      <c r="C211" s="165"/>
      <c r="D211" s="168" t="n">
        <f aca="false">D280</f>
        <v>-67</v>
      </c>
      <c r="E211" s="168" t="n">
        <f aca="false">E280</f>
        <v>-33</v>
      </c>
      <c r="F211" s="168" t="n">
        <f aca="false">F280</f>
        <v>-71</v>
      </c>
      <c r="G211" s="168" t="n">
        <f aca="false">G280</f>
        <v>-71</v>
      </c>
      <c r="H211" s="168" t="n">
        <f aca="false">H280</f>
        <v>-71</v>
      </c>
      <c r="I211" s="168" t="n">
        <f aca="false">I280</f>
        <v>-70</v>
      </c>
      <c r="J211" s="168" t="n">
        <f aca="false">J280</f>
        <v>-71</v>
      </c>
      <c r="K211" s="168" t="n">
        <f aca="false">K280</f>
        <v>-68</v>
      </c>
      <c r="L211" s="168" t="n">
        <f aca="false">L280</f>
        <v>-67</v>
      </c>
      <c r="M211" s="168" t="n">
        <f aca="false">M280</f>
        <v>-67</v>
      </c>
      <c r="N211" s="168" t="n">
        <f aca="false">N280</f>
        <v>-68</v>
      </c>
      <c r="O211" s="168" t="n">
        <f aca="false">O280</f>
        <v>-68</v>
      </c>
      <c r="P211" s="122" t="n">
        <f aca="false">SUM(D211:O211)</f>
        <v>-792</v>
      </c>
      <c r="Q211" s="123" t="n">
        <f aca="false">SUM(D211:J211)</f>
        <v>-454</v>
      </c>
      <c r="R211" s="122" t="n">
        <f aca="false">P211-Q211</f>
        <v>-338</v>
      </c>
      <c r="S211" s="164"/>
      <c r="T211" s="123" t="n">
        <v>-809</v>
      </c>
      <c r="U211" s="123" t="n">
        <v>-606</v>
      </c>
      <c r="V211" s="122" t="n">
        <f aca="false">T211-U211</f>
        <v>-203</v>
      </c>
      <c r="W211" s="96"/>
      <c r="X211" s="96"/>
      <c r="Y211" s="96"/>
      <c r="Z211" s="96"/>
      <c r="AA211" s="152" t="str">
        <f aca="false">A211</f>
        <v>          Reserve Adjustments / AFUDC</v>
      </c>
      <c r="AB211" s="151" t="n">
        <f aca="false">P211</f>
        <v>-792</v>
      </c>
      <c r="AC211" s="123" t="n">
        <f aca="false">SUM(D211:L211)</f>
        <v>-589</v>
      </c>
      <c r="AD211" s="122" t="n">
        <f aca="false">AB211-AC211</f>
        <v>-203</v>
      </c>
      <c r="AE211" s="96"/>
      <c r="AF211" s="122" t="n">
        <f aca="false">T211</f>
        <v>-809</v>
      </c>
      <c r="AG211" s="122" t="n">
        <f aca="false">U211</f>
        <v>-606</v>
      </c>
      <c r="AH211" s="122" t="n">
        <f aca="false">AF211-AG211</f>
        <v>-203</v>
      </c>
      <c r="AI211" s="96"/>
      <c r="AJ211" s="122" t="n">
        <f aca="false">AC211-AG211</f>
        <v>17</v>
      </c>
      <c r="AK211" s="122" t="n">
        <f aca="false">AB211-AF211</f>
        <v>17</v>
      </c>
      <c r="AL211" s="96"/>
      <c r="AM211" s="123" t="n">
        <v>-786</v>
      </c>
      <c r="AN211" s="122" t="n">
        <f aca="false">AB211-AM211</f>
        <v>-6</v>
      </c>
      <c r="AO211" s="96"/>
      <c r="AP211" s="123" t="n">
        <v>-583</v>
      </c>
      <c r="AQ211" s="122" t="n">
        <f aca="false">AC211-AP211</f>
        <v>-6</v>
      </c>
      <c r="AR211" s="96"/>
      <c r="AS211" s="96"/>
      <c r="AT211" s="96"/>
      <c r="AU211" s="96"/>
    </row>
    <row r="212" customFormat="false" ht="12.75" hidden="false" customHeight="true" outlineLevel="0" collapsed="false">
      <c r="A212" s="124" t="s">
        <v>541</v>
      </c>
      <c r="B212" s="165"/>
      <c r="C212" s="165"/>
      <c r="D212" s="168" t="n">
        <f aca="false">D282</f>
        <v>3</v>
      </c>
      <c r="E212" s="168" t="n">
        <f aca="false">E282</f>
        <v>3</v>
      </c>
      <c r="F212" s="168" t="n">
        <f aca="false">F282</f>
        <v>3</v>
      </c>
      <c r="G212" s="168" t="n">
        <f aca="false">G282</f>
        <v>3</v>
      </c>
      <c r="H212" s="168" t="n">
        <f aca="false">H282</f>
        <v>3</v>
      </c>
      <c r="I212" s="168" t="n">
        <f aca="false">I282</f>
        <v>3</v>
      </c>
      <c r="J212" s="168" t="n">
        <f aca="false">J282</f>
        <v>3</v>
      </c>
      <c r="K212" s="168" t="n">
        <f aca="false">K282</f>
        <v>3</v>
      </c>
      <c r="L212" s="168" t="n">
        <f aca="false">L282</f>
        <v>3</v>
      </c>
      <c r="M212" s="168" t="n">
        <f aca="false">M282</f>
        <v>3</v>
      </c>
      <c r="N212" s="168" t="n">
        <f aca="false">N282</f>
        <v>3</v>
      </c>
      <c r="O212" s="168" t="n">
        <f aca="false">O282</f>
        <v>3</v>
      </c>
      <c r="P212" s="122" t="n">
        <f aca="false">SUM(D212:O212)</f>
        <v>36</v>
      </c>
      <c r="Q212" s="123" t="n">
        <f aca="false">SUM(D212:J212)</f>
        <v>21</v>
      </c>
      <c r="R212" s="122" t="n">
        <f aca="false">P212-Q212</f>
        <v>15</v>
      </c>
      <c r="S212" s="164"/>
      <c r="T212" s="123" t="n">
        <v>0</v>
      </c>
      <c r="U212" s="123" t="n">
        <v>0</v>
      </c>
      <c r="V212" s="122" t="n">
        <f aca="false">T212-U212</f>
        <v>0</v>
      </c>
      <c r="W212" s="96"/>
      <c r="X212" s="96"/>
      <c r="Y212" s="96"/>
      <c r="Z212" s="96"/>
      <c r="AA212" s="152" t="str">
        <f aca="false">A212</f>
        <v>          Retirements at Cost </v>
      </c>
      <c r="AB212" s="151" t="n">
        <f aca="false">P212</f>
        <v>36</v>
      </c>
      <c r="AC212" s="123" t="n">
        <f aca="false">SUM(D212:L212)</f>
        <v>27</v>
      </c>
      <c r="AD212" s="122" t="n">
        <f aca="false">AB212-AC212</f>
        <v>9</v>
      </c>
      <c r="AE212" s="96"/>
      <c r="AF212" s="122" t="n">
        <f aca="false">T212</f>
        <v>0</v>
      </c>
      <c r="AG212" s="122" t="n">
        <f aca="false">U212</f>
        <v>0</v>
      </c>
      <c r="AH212" s="122" t="n">
        <f aca="false">AF212-AG212</f>
        <v>0</v>
      </c>
      <c r="AI212" s="96"/>
      <c r="AJ212" s="122" t="n">
        <f aca="false">AC212-AG212</f>
        <v>27</v>
      </c>
      <c r="AK212" s="122" t="n">
        <f aca="false">AB212-AF212</f>
        <v>36</v>
      </c>
      <c r="AL212" s="96"/>
      <c r="AM212" s="123" t="n">
        <v>36</v>
      </c>
      <c r="AN212" s="122" t="n">
        <f aca="false">AB212-AM212</f>
        <v>0</v>
      </c>
      <c r="AO212" s="96"/>
      <c r="AP212" s="123" t="n">
        <v>27</v>
      </c>
      <c r="AQ212" s="122" t="n">
        <f aca="false">AC212-AP212</f>
        <v>0</v>
      </c>
      <c r="AR212" s="96"/>
      <c r="AS212" s="96"/>
      <c r="AT212" s="96"/>
      <c r="AU212" s="96"/>
    </row>
    <row r="213" customFormat="false" ht="3.95" hidden="false" customHeight="true" outlineLevel="0" collapsed="false">
      <c r="A213" s="167"/>
      <c r="B213" s="165"/>
      <c r="C213" s="165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64"/>
      <c r="Q213" s="123"/>
      <c r="R213" s="164"/>
      <c r="S213" s="164"/>
      <c r="T213" s="164"/>
      <c r="U213" s="164"/>
      <c r="V213" s="96"/>
      <c r="W213" s="96"/>
      <c r="X213" s="96"/>
      <c r="Y213" s="96"/>
      <c r="Z213" s="96"/>
      <c r="AA213" s="93"/>
      <c r="AB213" s="96"/>
      <c r="AC213" s="123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</row>
    <row r="214" customFormat="false" ht="12.75" hidden="false" customHeight="true" outlineLevel="0" collapsed="false">
      <c r="A214" s="124" t="s">
        <v>542</v>
      </c>
      <c r="B214" s="165"/>
      <c r="C214" s="165"/>
      <c r="D214" s="179" t="n">
        <v>0</v>
      </c>
      <c r="E214" s="179" t="n">
        <v>0</v>
      </c>
      <c r="F214" s="179" t="n">
        <v>0</v>
      </c>
      <c r="G214" s="179" t="n">
        <v>0</v>
      </c>
      <c r="H214" s="179" t="n">
        <v>0</v>
      </c>
      <c r="I214" s="179" t="n">
        <v>0</v>
      </c>
      <c r="J214" s="179" t="n">
        <v>0</v>
      </c>
      <c r="K214" s="179" t="n">
        <v>0</v>
      </c>
      <c r="L214" s="179" t="n">
        <v>0</v>
      </c>
      <c r="M214" s="179" t="n">
        <v>0</v>
      </c>
      <c r="N214" s="179" t="n">
        <v>0</v>
      </c>
      <c r="O214" s="179" t="n">
        <v>0</v>
      </c>
      <c r="P214" s="135" t="n">
        <f aca="false">SUM(D214:O214)</f>
        <v>0</v>
      </c>
      <c r="Q214" s="136" t="n">
        <f aca="false">SUM(D214:J214)</f>
        <v>0</v>
      </c>
      <c r="R214" s="135" t="n">
        <f aca="false">P214-Q214</f>
        <v>0</v>
      </c>
      <c r="S214" s="171"/>
      <c r="T214" s="136" t="n">
        <v>6</v>
      </c>
      <c r="U214" s="136" t="n">
        <v>4</v>
      </c>
      <c r="V214" s="135" t="n">
        <f aca="false">T214-U214</f>
        <v>2</v>
      </c>
      <c r="W214" s="96"/>
      <c r="X214" s="96"/>
      <c r="Y214" s="96"/>
      <c r="Z214" s="96"/>
      <c r="AA214" s="152" t="str">
        <f aca="false">A214</f>
        <v>      Other</v>
      </c>
      <c r="AB214" s="153" t="n">
        <f aca="false">P214</f>
        <v>0</v>
      </c>
      <c r="AC214" s="136" t="n">
        <f aca="false">SUM(D214:L214)</f>
        <v>0</v>
      </c>
      <c r="AD214" s="135" t="n">
        <f aca="false">AB214-AC214</f>
        <v>0</v>
      </c>
      <c r="AE214" s="96"/>
      <c r="AF214" s="135" t="n">
        <f aca="false">T214</f>
        <v>6</v>
      </c>
      <c r="AG214" s="135" t="n">
        <f aca="false">U214</f>
        <v>4</v>
      </c>
      <c r="AH214" s="135" t="n">
        <f aca="false">AF214-AG214</f>
        <v>2</v>
      </c>
      <c r="AI214" s="96"/>
      <c r="AJ214" s="135" t="n">
        <f aca="false">AC214-AG214</f>
        <v>-4</v>
      </c>
      <c r="AK214" s="135" t="n">
        <f aca="false">AB214-AF214</f>
        <v>-6</v>
      </c>
      <c r="AL214" s="96"/>
      <c r="AM214" s="136" t="n">
        <v>0</v>
      </c>
      <c r="AN214" s="135" t="n">
        <f aca="false">AB214-AM214</f>
        <v>0</v>
      </c>
      <c r="AO214" s="156"/>
      <c r="AP214" s="136" t="n">
        <v>0</v>
      </c>
      <c r="AQ214" s="135" t="n">
        <f aca="false">AC214-AP214</f>
        <v>0</v>
      </c>
      <c r="AR214" s="96"/>
      <c r="AS214" s="96"/>
      <c r="AT214" s="96"/>
      <c r="AU214" s="96"/>
    </row>
    <row r="215" customFormat="false" ht="3.95" hidden="false" customHeight="true" outlineLevel="0" collapsed="false">
      <c r="A215" s="167"/>
      <c r="B215" s="165"/>
      <c r="C215" s="165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64"/>
      <c r="Q215" s="164"/>
      <c r="R215" s="164"/>
      <c r="S215" s="164"/>
      <c r="T215" s="164"/>
      <c r="U215" s="164"/>
      <c r="V215" s="96"/>
      <c r="W215" s="96"/>
      <c r="X215" s="96"/>
      <c r="Y215" s="96"/>
      <c r="Z215" s="96"/>
      <c r="AA215" s="93"/>
      <c r="AB215" s="96"/>
      <c r="AC215" s="123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</row>
    <row r="216" customFormat="false" ht="12.75" hidden="false" customHeight="true" outlineLevel="0" collapsed="false">
      <c r="A216" s="167" t="s">
        <v>543</v>
      </c>
      <c r="B216" s="165"/>
      <c r="C216" s="165"/>
      <c r="D216" s="170" t="n">
        <f aca="false">SUM(D197:D214)</f>
        <v>-39</v>
      </c>
      <c r="E216" s="170" t="n">
        <f aca="false">SUM(E197:E214)</f>
        <v>-776</v>
      </c>
      <c r="F216" s="170" t="n">
        <f aca="false">SUM(F197:F214)</f>
        <v>278</v>
      </c>
      <c r="G216" s="170" t="n">
        <f aca="false">SUM(G197:G214)</f>
        <v>-358</v>
      </c>
      <c r="H216" s="170" t="n">
        <f aca="false">SUM(H197:H214)</f>
        <v>-669</v>
      </c>
      <c r="I216" s="170" t="n">
        <f aca="false">SUM(I197:I214)</f>
        <v>-474</v>
      </c>
      <c r="J216" s="170" t="n">
        <f aca="false">SUM(J197:J214)</f>
        <v>-330</v>
      </c>
      <c r="K216" s="170" t="n">
        <f aca="false">SUM(K197:K214)</f>
        <v>-76</v>
      </c>
      <c r="L216" s="170" t="n">
        <f aca="false">SUM(L197:L214)</f>
        <v>-76</v>
      </c>
      <c r="M216" s="170" t="n">
        <f aca="false">SUM(M197:M214)</f>
        <v>-75</v>
      </c>
      <c r="N216" s="170" t="n">
        <f aca="false">SUM(N197:N214)</f>
        <v>-77</v>
      </c>
      <c r="O216" s="170" t="n">
        <f aca="false">SUM(O197:O214)</f>
        <v>-76</v>
      </c>
      <c r="P216" s="170" t="n">
        <f aca="false">SUM(P197:P214)</f>
        <v>-2748</v>
      </c>
      <c r="Q216" s="170" t="n">
        <f aca="false">SUM(Q197:Q214)</f>
        <v>-2368</v>
      </c>
      <c r="R216" s="170" t="n">
        <f aca="false">SUM(R197:R214)</f>
        <v>-380</v>
      </c>
      <c r="S216" s="164"/>
      <c r="T216" s="170" t="n">
        <f aca="false">SUM(T197:T214)</f>
        <v>-10936</v>
      </c>
      <c r="U216" s="170" t="n">
        <f aca="false">SUM(U197:U214)</f>
        <v>-8188</v>
      </c>
      <c r="V216" s="170" t="n">
        <f aca="false">SUM(V197:V214)</f>
        <v>-2748</v>
      </c>
      <c r="W216" s="96"/>
      <c r="X216" s="96"/>
      <c r="Y216" s="96"/>
      <c r="Z216" s="96"/>
      <c r="AA216" s="152" t="str">
        <f aca="false">A216</f>
        <v>         Subtotal (Cash Flow Model)</v>
      </c>
      <c r="AB216" s="170" t="n">
        <f aca="false">SUM(AB197:AB214)</f>
        <v>-2748</v>
      </c>
      <c r="AC216" s="170" t="n">
        <f aca="false">SUM(AC197:AC214)</f>
        <v>-2520</v>
      </c>
      <c r="AD216" s="170" t="n">
        <f aca="false">SUM(AD197:AD214)</f>
        <v>-228</v>
      </c>
      <c r="AE216" s="96"/>
      <c r="AF216" s="170" t="n">
        <f aca="false">SUM(AF197:AF214)</f>
        <v>-10936</v>
      </c>
      <c r="AG216" s="170" t="n">
        <f aca="false">SUM(AG197:AG214)</f>
        <v>-8188</v>
      </c>
      <c r="AH216" s="170" t="n">
        <f aca="false">SUM(AH197:AH214)</f>
        <v>-2748</v>
      </c>
      <c r="AI216" s="96"/>
      <c r="AJ216" s="170" t="n">
        <f aca="false">SUM(AJ197:AJ214)</f>
        <v>5668</v>
      </c>
      <c r="AK216" s="170" t="n">
        <f aca="false">SUM(AK197:AK214)</f>
        <v>8188</v>
      </c>
      <c r="AL216" s="96"/>
      <c r="AM216" s="170" t="n">
        <f aca="false">SUM(AM197:AM214)</f>
        <v>-2492</v>
      </c>
      <c r="AN216" s="170" t="n">
        <f aca="false">SUM(AN197:AN214)</f>
        <v>-256</v>
      </c>
      <c r="AO216" s="96"/>
      <c r="AP216" s="170" t="n">
        <f aca="false">SUM(AP197:AP214)</f>
        <v>-2264</v>
      </c>
      <c r="AQ216" s="170" t="n">
        <f aca="false">SUM(AQ197:AQ214)</f>
        <v>-256</v>
      </c>
      <c r="AR216" s="96"/>
      <c r="AS216" s="96"/>
      <c r="AT216" s="96"/>
      <c r="AU216" s="96"/>
    </row>
    <row r="217" customFormat="false" ht="12.75" hidden="false" customHeight="true" outlineLevel="0" collapsed="false">
      <c r="A217" s="165"/>
      <c r="B217" s="165"/>
      <c r="C217" s="165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96"/>
      <c r="W217" s="96"/>
      <c r="X217" s="96"/>
      <c r="Y217" s="96"/>
      <c r="Z217" s="96"/>
      <c r="AA217" s="93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</row>
    <row r="218" customFormat="false" ht="12.75" hidden="false" customHeight="true" outlineLevel="0" collapsed="false">
      <c r="A218" s="175" t="s">
        <v>544</v>
      </c>
      <c r="B218" s="165"/>
      <c r="C218" s="165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96"/>
      <c r="W218" s="96"/>
      <c r="X218" s="96"/>
      <c r="Y218" s="96"/>
      <c r="Z218" s="96"/>
      <c r="AA218" s="152" t="str">
        <f aca="false">A218</f>
        <v>   Other Tie Out Items (Financial Reporting)</v>
      </c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</row>
    <row r="219" customFormat="false" ht="12.75" hidden="false" customHeight="true" outlineLevel="0" collapsed="false">
      <c r="A219" s="124" t="s">
        <v>542</v>
      </c>
      <c r="B219" s="165"/>
      <c r="C219" s="165"/>
      <c r="D219" s="177" t="n">
        <v>0</v>
      </c>
      <c r="E219" s="177" t="n">
        <v>0</v>
      </c>
      <c r="F219" s="177" t="n">
        <v>0</v>
      </c>
      <c r="G219" s="177" t="n">
        <v>0</v>
      </c>
      <c r="H219" s="177" t="n">
        <v>0</v>
      </c>
      <c r="I219" s="177" t="n">
        <v>0</v>
      </c>
      <c r="J219" s="177" t="n">
        <v>0</v>
      </c>
      <c r="K219" s="177" t="n">
        <v>0</v>
      </c>
      <c r="L219" s="177" t="n">
        <v>0</v>
      </c>
      <c r="M219" s="177" t="n">
        <v>0</v>
      </c>
      <c r="N219" s="177" t="n">
        <v>0</v>
      </c>
      <c r="O219" s="177" t="n">
        <v>0</v>
      </c>
      <c r="P219" s="122" t="n">
        <f aca="false">SUM(D219:O219)</f>
        <v>0</v>
      </c>
      <c r="Q219" s="123" t="n">
        <f aca="false">SUM(D219:J219)</f>
        <v>0</v>
      </c>
      <c r="R219" s="122" t="n">
        <f aca="false">P219-Q219</f>
        <v>0</v>
      </c>
      <c r="S219" s="164"/>
      <c r="T219" s="123" t="n">
        <v>0</v>
      </c>
      <c r="U219" s="123" t="n">
        <v>0</v>
      </c>
      <c r="V219" s="122" t="n">
        <f aca="false">T219-U219</f>
        <v>0</v>
      </c>
      <c r="W219" s="96"/>
      <c r="X219" s="96"/>
      <c r="Y219" s="96"/>
      <c r="Z219" s="96"/>
      <c r="AA219" s="152" t="str">
        <f aca="false">A219</f>
        <v>      Other</v>
      </c>
      <c r="AB219" s="151" t="n">
        <f aca="false">P219</f>
        <v>0</v>
      </c>
      <c r="AC219" s="123" t="n">
        <f aca="false">SUM(D219:L219)</f>
        <v>0</v>
      </c>
      <c r="AD219" s="122" t="n">
        <f aca="false">AB219-AC219</f>
        <v>0</v>
      </c>
      <c r="AE219" s="96"/>
      <c r="AF219" s="122" t="n">
        <f aca="false">T219</f>
        <v>0</v>
      </c>
      <c r="AG219" s="122" t="n">
        <f aca="false">U219</f>
        <v>0</v>
      </c>
      <c r="AH219" s="122" t="n">
        <f aca="false">AF219-AG219</f>
        <v>0</v>
      </c>
      <c r="AI219" s="96"/>
      <c r="AJ219" s="122" t="n">
        <f aca="false">AC219-AG219</f>
        <v>0</v>
      </c>
      <c r="AK219" s="122" t="n">
        <f aca="false">AB219-AF219</f>
        <v>0</v>
      </c>
      <c r="AL219" s="96"/>
      <c r="AM219" s="123" t="n">
        <v>0</v>
      </c>
      <c r="AN219" s="122" t="n">
        <f aca="false">AB219-AM219</f>
        <v>0</v>
      </c>
      <c r="AO219" s="96"/>
      <c r="AP219" s="123" t="n">
        <v>0</v>
      </c>
      <c r="AQ219" s="122" t="n">
        <f aca="false">AC219-AP219</f>
        <v>0</v>
      </c>
      <c r="AR219" s="96"/>
      <c r="AS219" s="96"/>
      <c r="AT219" s="96"/>
      <c r="AU219" s="96"/>
    </row>
    <row r="220" customFormat="false" ht="12.75" hidden="false" customHeight="true" outlineLevel="0" collapsed="false">
      <c r="A220" s="124" t="s">
        <v>545</v>
      </c>
      <c r="B220" s="165"/>
      <c r="C220" s="165"/>
      <c r="D220" s="168" t="n">
        <f aca="false">D338</f>
        <v>-0</v>
      </c>
      <c r="E220" s="168" t="n">
        <f aca="false">E338</f>
        <v>-0</v>
      </c>
      <c r="F220" s="168" t="n">
        <f aca="false">F338</f>
        <v>14032</v>
      </c>
      <c r="G220" s="168" t="n">
        <f aca="false">G338</f>
        <v>-3804</v>
      </c>
      <c r="H220" s="168" t="n">
        <f aca="false">H337+H338</f>
        <v>19109</v>
      </c>
      <c r="I220" s="168" t="n">
        <f aca="false">I337+I338</f>
        <v>16915</v>
      </c>
      <c r="J220" s="168" t="n">
        <f aca="false">J337+J338</f>
        <v>-501</v>
      </c>
      <c r="K220" s="168" t="n">
        <f aca="false">K337+K338</f>
        <v>0</v>
      </c>
      <c r="L220" s="168" t="n">
        <f aca="false">L337+L338</f>
        <v>0</v>
      </c>
      <c r="M220" s="168" t="n">
        <f aca="false">M337+M338</f>
        <v>0</v>
      </c>
      <c r="N220" s="168" t="n">
        <f aca="false">N337+N338</f>
        <v>0</v>
      </c>
      <c r="O220" s="168" t="n">
        <f aca="false">O337+O338</f>
        <v>0</v>
      </c>
      <c r="P220" s="122" t="n">
        <f aca="false">SUM(D220:O220)</f>
        <v>45751</v>
      </c>
      <c r="Q220" s="123" t="n">
        <f aca="false">SUM(D220:J220)</f>
        <v>45751</v>
      </c>
      <c r="R220" s="122" t="n">
        <f aca="false">P220-Q220</f>
        <v>0</v>
      </c>
      <c r="S220" s="164"/>
      <c r="T220" s="123" t="n">
        <v>0</v>
      </c>
      <c r="U220" s="123" t="n">
        <v>0</v>
      </c>
      <c r="V220" s="122" t="n">
        <f aca="false">T220-U220</f>
        <v>0</v>
      </c>
      <c r="W220" s="96"/>
      <c r="X220" s="96"/>
      <c r="Y220" s="96"/>
      <c r="Z220" s="96"/>
      <c r="AA220" s="152" t="str">
        <f aca="false">A220</f>
        <v>      FASB 133 - Comprehensive Income / (Loss) Tax Adjustment</v>
      </c>
      <c r="AB220" s="151" t="n">
        <f aca="false">P220</f>
        <v>45751</v>
      </c>
      <c r="AC220" s="123" t="n">
        <f aca="false">SUM(D220:L220)</f>
        <v>45751</v>
      </c>
      <c r="AD220" s="122" t="n">
        <f aca="false">AB220-AC220</f>
        <v>0</v>
      </c>
      <c r="AE220" s="96"/>
      <c r="AF220" s="122" t="n">
        <f aca="false">T220</f>
        <v>0</v>
      </c>
      <c r="AG220" s="122" t="n">
        <f aca="false">U220</f>
        <v>0</v>
      </c>
      <c r="AH220" s="122" t="n">
        <f aca="false">AF220-AG220</f>
        <v>0</v>
      </c>
      <c r="AI220" s="96"/>
      <c r="AJ220" s="122" t="n">
        <f aca="false">AC220-AG220</f>
        <v>45751</v>
      </c>
      <c r="AK220" s="122" t="n">
        <f aca="false">AB220-AF220</f>
        <v>45751</v>
      </c>
      <c r="AL220" s="96"/>
      <c r="AM220" s="123" t="n">
        <v>46252</v>
      </c>
      <c r="AN220" s="122" t="n">
        <f aca="false">AB220-AM220</f>
        <v>-501</v>
      </c>
      <c r="AO220" s="96"/>
      <c r="AP220" s="123" t="n">
        <v>46252</v>
      </c>
      <c r="AQ220" s="122" t="n">
        <f aca="false">AC220-AP220</f>
        <v>-501</v>
      </c>
      <c r="AR220" s="96"/>
      <c r="AS220" s="96"/>
      <c r="AT220" s="96"/>
      <c r="AU220" s="96"/>
    </row>
    <row r="221" customFormat="false" ht="12.75" hidden="false" customHeight="true" outlineLevel="0" collapsed="false">
      <c r="A221" s="124" t="s">
        <v>546</v>
      </c>
      <c r="B221" s="165"/>
      <c r="C221" s="165"/>
      <c r="D221" s="177" t="n">
        <v>0</v>
      </c>
      <c r="E221" s="177" t="n">
        <v>0</v>
      </c>
      <c r="F221" s="177" t="n">
        <v>-14032</v>
      </c>
      <c r="G221" s="177" t="n">
        <v>3804</v>
      </c>
      <c r="H221" s="177" t="n">
        <v>-19109</v>
      </c>
      <c r="I221" s="177" t="n">
        <v>-16915</v>
      </c>
      <c r="J221" s="177" t="n">
        <v>501</v>
      </c>
      <c r="K221" s="177" t="n">
        <v>0</v>
      </c>
      <c r="L221" s="177" t="n">
        <v>0</v>
      </c>
      <c r="M221" s="177" t="n">
        <v>0</v>
      </c>
      <c r="N221" s="177" t="n">
        <v>0</v>
      </c>
      <c r="O221" s="177" t="n">
        <v>0</v>
      </c>
      <c r="P221" s="122" t="n">
        <f aca="false">SUM(D221:O221)</f>
        <v>-45751</v>
      </c>
      <c r="Q221" s="123" t="n">
        <f aca="false">SUM(D221:J221)</f>
        <v>-45751</v>
      </c>
      <c r="R221" s="122" t="n">
        <f aca="false">P221-Q221</f>
        <v>0</v>
      </c>
      <c r="S221" s="164"/>
      <c r="T221" s="123" t="n">
        <v>0</v>
      </c>
      <c r="U221" s="123" t="n">
        <v>0</v>
      </c>
      <c r="V221" s="122" t="n">
        <f aca="false">T221-U221</f>
        <v>0</v>
      </c>
      <c r="W221" s="96"/>
      <c r="X221" s="96"/>
      <c r="Y221" s="96"/>
      <c r="Z221" s="96"/>
      <c r="AA221" s="152" t="str">
        <f aca="false">A221</f>
        <v>      Deferred Tax Offset Adjustment on Price Risk Liability (1/01-3/01)</v>
      </c>
      <c r="AB221" s="151" t="n">
        <f aca="false">P221</f>
        <v>-45751</v>
      </c>
      <c r="AC221" s="123" t="n">
        <f aca="false">SUM(D221:L221)</f>
        <v>-45751</v>
      </c>
      <c r="AD221" s="122" t="n">
        <f aca="false">AB221-AC221</f>
        <v>0</v>
      </c>
      <c r="AE221" s="96"/>
      <c r="AF221" s="122" t="n">
        <f aca="false">T221</f>
        <v>0</v>
      </c>
      <c r="AG221" s="122" t="n">
        <f aca="false">U221</f>
        <v>0</v>
      </c>
      <c r="AH221" s="122" t="n">
        <f aca="false">AF221-AG221</f>
        <v>0</v>
      </c>
      <c r="AI221" s="96"/>
      <c r="AJ221" s="122" t="n">
        <f aca="false">AC221-AG221</f>
        <v>-45751</v>
      </c>
      <c r="AK221" s="122" t="n">
        <f aca="false">AB221-AF221</f>
        <v>-45751</v>
      </c>
      <c r="AL221" s="96"/>
      <c r="AM221" s="123" t="n">
        <v>-46252</v>
      </c>
      <c r="AN221" s="122" t="n">
        <f aca="false">AB221-AM221</f>
        <v>501</v>
      </c>
      <c r="AO221" s="96"/>
      <c r="AP221" s="123" t="n">
        <v>-46252</v>
      </c>
      <c r="AQ221" s="122" t="n">
        <f aca="false">AC221-AP221</f>
        <v>501</v>
      </c>
      <c r="AR221" s="96"/>
      <c r="AS221" s="96"/>
      <c r="AT221" s="96"/>
      <c r="AU221" s="96"/>
    </row>
    <row r="222" customFormat="false" ht="12.75" hidden="false" customHeight="true" outlineLevel="0" collapsed="false">
      <c r="A222" s="124" t="s">
        <v>547</v>
      </c>
      <c r="B222" s="165"/>
      <c r="C222" s="165"/>
      <c r="D222" s="177" t="n">
        <v>0</v>
      </c>
      <c r="E222" s="177" t="n">
        <v>0</v>
      </c>
      <c r="F222" s="177" t="n">
        <v>0</v>
      </c>
      <c r="G222" s="177" t="n">
        <v>0</v>
      </c>
      <c r="H222" s="177" t="n">
        <v>58</v>
      </c>
      <c r="I222" s="177" t="n">
        <v>0</v>
      </c>
      <c r="J222" s="177" t="n">
        <v>0</v>
      </c>
      <c r="K222" s="177" t="n">
        <v>0</v>
      </c>
      <c r="L222" s="180" t="n">
        <f aca="false">-500+500</f>
        <v>0</v>
      </c>
      <c r="M222" s="177" t="n">
        <v>0</v>
      </c>
      <c r="N222" s="177" t="n">
        <v>0</v>
      </c>
      <c r="O222" s="180" t="n">
        <f aca="false">-14138+14138</f>
        <v>0</v>
      </c>
      <c r="P222" s="122" t="n">
        <f aca="false">SUM(D222:O222)</f>
        <v>58</v>
      </c>
      <c r="Q222" s="123" t="n">
        <f aca="false">SUM(D222:J222)</f>
        <v>58</v>
      </c>
      <c r="R222" s="122" t="n">
        <f aca="false">P222-Q222</f>
        <v>0</v>
      </c>
      <c r="S222" s="164"/>
      <c r="T222" s="123" t="n">
        <v>0</v>
      </c>
      <c r="U222" s="123" t="n">
        <v>0</v>
      </c>
      <c r="V222" s="122" t="n">
        <f aca="false">T222-U222</f>
        <v>0</v>
      </c>
      <c r="W222" s="96"/>
      <c r="X222" s="96"/>
      <c r="Y222" s="96"/>
      <c r="Z222" s="96"/>
      <c r="AA222" s="152" t="str">
        <f aca="false">A222</f>
        <v>      Property Summary - GR / IR Clearing</v>
      </c>
      <c r="AB222" s="151" t="n">
        <f aca="false">P222</f>
        <v>58</v>
      </c>
      <c r="AC222" s="123" t="n">
        <f aca="false">SUM(D222:L222)</f>
        <v>58</v>
      </c>
      <c r="AD222" s="122" t="n">
        <f aca="false">AB222-AC222</f>
        <v>0</v>
      </c>
      <c r="AE222" s="96"/>
      <c r="AF222" s="122" t="n">
        <f aca="false">T222</f>
        <v>0</v>
      </c>
      <c r="AG222" s="122" t="n">
        <f aca="false">U222</f>
        <v>0</v>
      </c>
      <c r="AH222" s="122" t="n">
        <f aca="false">AF222-AG222</f>
        <v>0</v>
      </c>
      <c r="AI222" s="96"/>
      <c r="AJ222" s="122" t="n">
        <f aca="false">AC222-AG222</f>
        <v>58</v>
      </c>
      <c r="AK222" s="122" t="n">
        <f aca="false">AB222-AF222</f>
        <v>58</v>
      </c>
      <c r="AL222" s="96"/>
      <c r="AM222" s="123" t="n">
        <v>58</v>
      </c>
      <c r="AN222" s="122" t="n">
        <f aca="false">AB222-AM222</f>
        <v>0</v>
      </c>
      <c r="AO222" s="96"/>
      <c r="AP222" s="123" t="n">
        <v>58</v>
      </c>
      <c r="AQ222" s="122" t="n">
        <f aca="false">AC222-AP222</f>
        <v>0</v>
      </c>
      <c r="AR222" s="96"/>
      <c r="AS222" s="96"/>
      <c r="AT222" s="96"/>
      <c r="AU222" s="96"/>
    </row>
    <row r="223" customFormat="false" ht="12.75" hidden="false" customHeight="true" outlineLevel="0" collapsed="false">
      <c r="A223" s="124" t="s">
        <v>542</v>
      </c>
      <c r="B223" s="165"/>
      <c r="C223" s="165"/>
      <c r="D223" s="177" t="n">
        <v>0</v>
      </c>
      <c r="E223" s="177" t="n">
        <v>0</v>
      </c>
      <c r="F223" s="177" t="n">
        <v>0</v>
      </c>
      <c r="G223" s="177" t="n">
        <v>0</v>
      </c>
      <c r="H223" s="177" t="n">
        <v>0</v>
      </c>
      <c r="I223" s="177" t="n">
        <v>0</v>
      </c>
      <c r="J223" s="177" t="n">
        <v>0</v>
      </c>
      <c r="K223" s="177" t="n">
        <v>0</v>
      </c>
      <c r="L223" s="177" t="n">
        <v>0</v>
      </c>
      <c r="M223" s="177" t="n">
        <v>0</v>
      </c>
      <c r="N223" s="177" t="n">
        <v>0</v>
      </c>
      <c r="O223" s="177" t="n">
        <v>0</v>
      </c>
      <c r="P223" s="122" t="n">
        <f aca="false">SUM(D223:O223)</f>
        <v>0</v>
      </c>
      <c r="Q223" s="123" t="n">
        <f aca="false">SUM(D223:J223)</f>
        <v>0</v>
      </c>
      <c r="R223" s="122" t="n">
        <f aca="false">P223-Q223</f>
        <v>0</v>
      </c>
      <c r="S223" s="164"/>
      <c r="T223" s="123" t="n">
        <v>0</v>
      </c>
      <c r="U223" s="123" t="n">
        <v>0</v>
      </c>
      <c r="V223" s="122" t="n">
        <f aca="false">T223-U223</f>
        <v>0</v>
      </c>
      <c r="W223" s="96"/>
      <c r="X223" s="96"/>
      <c r="Y223" s="96"/>
      <c r="Z223" s="96"/>
      <c r="AA223" s="152" t="str">
        <f aca="false">A223</f>
        <v>      Other</v>
      </c>
      <c r="AB223" s="151" t="n">
        <f aca="false">P223</f>
        <v>0</v>
      </c>
      <c r="AC223" s="123" t="n">
        <f aca="false">SUM(D223:L223)</f>
        <v>0</v>
      </c>
      <c r="AD223" s="122" t="n">
        <f aca="false">AB223-AC223</f>
        <v>0</v>
      </c>
      <c r="AE223" s="96"/>
      <c r="AF223" s="122" t="n">
        <f aca="false">T223</f>
        <v>0</v>
      </c>
      <c r="AG223" s="122" t="n">
        <f aca="false">U223</f>
        <v>0</v>
      </c>
      <c r="AH223" s="122" t="n">
        <f aca="false">AF223-AG223</f>
        <v>0</v>
      </c>
      <c r="AI223" s="96"/>
      <c r="AJ223" s="122" t="n">
        <f aca="false">AC223-AG223</f>
        <v>0</v>
      </c>
      <c r="AK223" s="122" t="n">
        <f aca="false">AB223-AF223</f>
        <v>0</v>
      </c>
      <c r="AL223" s="96"/>
      <c r="AM223" s="123" t="n">
        <v>0</v>
      </c>
      <c r="AN223" s="122" t="n">
        <f aca="false">AB223-AM223</f>
        <v>0</v>
      </c>
      <c r="AO223" s="96"/>
      <c r="AP223" s="123" t="n">
        <v>0</v>
      </c>
      <c r="AQ223" s="122" t="n">
        <f aca="false">AC223-AP223</f>
        <v>0</v>
      </c>
      <c r="AR223" s="96"/>
      <c r="AS223" s="96"/>
      <c r="AT223" s="96"/>
      <c r="AU223" s="96"/>
    </row>
    <row r="224" customFormat="false" ht="12.75" hidden="false" customHeight="true" outlineLevel="0" collapsed="false">
      <c r="A224" s="124" t="s">
        <v>542</v>
      </c>
      <c r="B224" s="165"/>
      <c r="C224" s="165"/>
      <c r="D224" s="177" t="n">
        <v>0</v>
      </c>
      <c r="E224" s="177" t="n">
        <v>0</v>
      </c>
      <c r="F224" s="177" t="n">
        <v>0</v>
      </c>
      <c r="G224" s="177" t="n">
        <v>0</v>
      </c>
      <c r="H224" s="177" t="n">
        <v>0</v>
      </c>
      <c r="I224" s="177" t="n">
        <v>0</v>
      </c>
      <c r="J224" s="177" t="n">
        <v>0</v>
      </c>
      <c r="K224" s="177" t="n">
        <v>0</v>
      </c>
      <c r="L224" s="177" t="n">
        <v>0</v>
      </c>
      <c r="M224" s="177" t="n">
        <v>0</v>
      </c>
      <c r="N224" s="177" t="n">
        <v>0</v>
      </c>
      <c r="O224" s="177" t="n">
        <v>0</v>
      </c>
      <c r="P224" s="122" t="n">
        <f aca="false">SUM(D224:O224)</f>
        <v>0</v>
      </c>
      <c r="Q224" s="123" t="n">
        <f aca="false">SUM(D224:J224)</f>
        <v>0</v>
      </c>
      <c r="R224" s="122" t="n">
        <f aca="false">P224-Q224</f>
        <v>0</v>
      </c>
      <c r="S224" s="164"/>
      <c r="T224" s="123" t="n">
        <v>0</v>
      </c>
      <c r="U224" s="123" t="n">
        <v>0</v>
      </c>
      <c r="V224" s="122" t="n">
        <f aca="false">T224-U224</f>
        <v>0</v>
      </c>
      <c r="W224" s="96"/>
      <c r="X224" s="96"/>
      <c r="Y224" s="96"/>
      <c r="Z224" s="96"/>
      <c r="AA224" s="152" t="str">
        <f aca="false">A224</f>
        <v>      Other</v>
      </c>
      <c r="AB224" s="151" t="n">
        <f aca="false">P224</f>
        <v>0</v>
      </c>
      <c r="AC224" s="123" t="n">
        <f aca="false">SUM(D224:L224)</f>
        <v>0</v>
      </c>
      <c r="AD224" s="122" t="n">
        <f aca="false">AB224-AC224</f>
        <v>0</v>
      </c>
      <c r="AE224" s="96"/>
      <c r="AF224" s="122" t="n">
        <f aca="false">T224</f>
        <v>0</v>
      </c>
      <c r="AG224" s="122" t="n">
        <f aca="false">U224</f>
        <v>0</v>
      </c>
      <c r="AH224" s="122" t="n">
        <f aca="false">AF224-AG224</f>
        <v>0</v>
      </c>
      <c r="AI224" s="96"/>
      <c r="AJ224" s="122" t="n">
        <f aca="false">AC224-AG224</f>
        <v>0</v>
      </c>
      <c r="AK224" s="122" t="n">
        <f aca="false">AB224-AF224</f>
        <v>0</v>
      </c>
      <c r="AL224" s="96"/>
      <c r="AM224" s="123" t="n">
        <v>0</v>
      </c>
      <c r="AN224" s="122" t="n">
        <f aca="false">AB224-AM224</f>
        <v>0</v>
      </c>
      <c r="AO224" s="96"/>
      <c r="AP224" s="123" t="n">
        <v>0</v>
      </c>
      <c r="AQ224" s="122" t="n">
        <f aca="false">AC224-AP224</f>
        <v>0</v>
      </c>
      <c r="AR224" s="96"/>
      <c r="AS224" s="96"/>
      <c r="AT224" s="96"/>
      <c r="AU224" s="96"/>
    </row>
    <row r="225" customFormat="false" ht="12.75" hidden="false" customHeight="true" outlineLevel="0" collapsed="false">
      <c r="A225" s="124" t="s">
        <v>548</v>
      </c>
      <c r="B225" s="165"/>
      <c r="C225" s="165"/>
      <c r="D225" s="177" t="n">
        <v>0</v>
      </c>
      <c r="E225" s="177" t="n">
        <v>0</v>
      </c>
      <c r="F225" s="177" t="n">
        <v>-106</v>
      </c>
      <c r="G225" s="177" t="n">
        <v>0</v>
      </c>
      <c r="H225" s="177" t="n">
        <v>0</v>
      </c>
      <c r="I225" s="177" t="n">
        <v>0</v>
      </c>
      <c r="J225" s="177" t="n">
        <v>0</v>
      </c>
      <c r="K225" s="177" t="n">
        <v>0</v>
      </c>
      <c r="L225" s="180" t="n">
        <f aca="false">500-500</f>
        <v>0</v>
      </c>
      <c r="M225" s="177" t="n">
        <v>0</v>
      </c>
      <c r="N225" s="177" t="n">
        <v>0</v>
      </c>
      <c r="O225" s="180" t="n">
        <f aca="false">2497-2497</f>
        <v>0</v>
      </c>
      <c r="P225" s="122" t="n">
        <f aca="false">SUM(D225:O225)</f>
        <v>-106</v>
      </c>
      <c r="Q225" s="123" t="n">
        <f aca="false">SUM(D225:J225)</f>
        <v>-106</v>
      </c>
      <c r="R225" s="122" t="n">
        <f aca="false">P225-Q225</f>
        <v>0</v>
      </c>
      <c r="S225" s="164"/>
      <c r="T225" s="123" t="n">
        <v>0</v>
      </c>
      <c r="U225" s="123" t="n">
        <v>0</v>
      </c>
      <c r="V225" s="122" t="n">
        <f aca="false">T225-U225</f>
        <v>0</v>
      </c>
      <c r="W225" s="96"/>
      <c r="X225" s="96"/>
      <c r="Y225" s="96"/>
      <c r="Z225" s="96"/>
      <c r="AA225" s="152" t="str">
        <f aca="false">A225</f>
        <v>      Gain on Asset Sales (Offset Items)</v>
      </c>
      <c r="AB225" s="151" t="n">
        <f aca="false">P225</f>
        <v>-106</v>
      </c>
      <c r="AC225" s="123" t="n">
        <f aca="false">SUM(D225:L225)</f>
        <v>-106</v>
      </c>
      <c r="AD225" s="122" t="n">
        <f aca="false">AB225-AC225</f>
        <v>0</v>
      </c>
      <c r="AE225" s="96"/>
      <c r="AF225" s="122" t="n">
        <f aca="false">T225</f>
        <v>0</v>
      </c>
      <c r="AG225" s="122" t="n">
        <f aca="false">U225</f>
        <v>0</v>
      </c>
      <c r="AH225" s="122" t="n">
        <f aca="false">AF225-AG225</f>
        <v>0</v>
      </c>
      <c r="AI225" s="96"/>
      <c r="AJ225" s="122" t="n">
        <f aca="false">AC225-AG225</f>
        <v>-106</v>
      </c>
      <c r="AK225" s="122" t="n">
        <f aca="false">AB225-AF225</f>
        <v>-106</v>
      </c>
      <c r="AL225" s="96"/>
      <c r="AM225" s="123" t="n">
        <v>-106</v>
      </c>
      <c r="AN225" s="122" t="n">
        <f aca="false">AB225-AM225</f>
        <v>0</v>
      </c>
      <c r="AO225" s="96"/>
      <c r="AP225" s="123" t="n">
        <v>-106</v>
      </c>
      <c r="AQ225" s="122" t="n">
        <f aca="false">AC225-AP225</f>
        <v>0</v>
      </c>
      <c r="AR225" s="96"/>
      <c r="AS225" s="96"/>
      <c r="AT225" s="96"/>
      <c r="AU225" s="96"/>
    </row>
    <row r="226" customFormat="false" ht="12.75" hidden="false" customHeight="true" outlineLevel="0" collapsed="false">
      <c r="A226" s="124" t="s">
        <v>549</v>
      </c>
      <c r="B226" s="165"/>
      <c r="C226" s="165"/>
      <c r="D226" s="177" t="n">
        <v>0</v>
      </c>
      <c r="E226" s="177" t="n">
        <v>0</v>
      </c>
      <c r="F226" s="177" t="n">
        <v>0</v>
      </c>
      <c r="G226" s="177" t="n">
        <v>0</v>
      </c>
      <c r="H226" s="177" t="n">
        <v>0</v>
      </c>
      <c r="I226" s="177" t="n">
        <v>0</v>
      </c>
      <c r="J226" s="177" t="n">
        <v>0</v>
      </c>
      <c r="K226" s="177" t="n">
        <v>0</v>
      </c>
      <c r="L226" s="180" t="n">
        <f aca="false">-500+500</f>
        <v>0</v>
      </c>
      <c r="M226" s="177" t="n">
        <v>0</v>
      </c>
      <c r="N226" s="177" t="n">
        <v>0</v>
      </c>
      <c r="O226" s="180" t="n">
        <f aca="false">-14138+14138</f>
        <v>0</v>
      </c>
      <c r="P226" s="122" t="n">
        <f aca="false">SUM(D226:O226)</f>
        <v>0</v>
      </c>
      <c r="Q226" s="123" t="n">
        <f aca="false">SUM(D226:J226)</f>
        <v>0</v>
      </c>
      <c r="R226" s="122" t="n">
        <f aca="false">P226-Q226</f>
        <v>0</v>
      </c>
      <c r="S226" s="164"/>
      <c r="T226" s="123" t="n">
        <v>0</v>
      </c>
      <c r="U226" s="123" t="n">
        <v>0</v>
      </c>
      <c r="V226" s="122" t="n">
        <f aca="false">T226-U226</f>
        <v>0</v>
      </c>
      <c r="W226" s="96"/>
      <c r="X226" s="96"/>
      <c r="Y226" s="96"/>
      <c r="Z226" s="96"/>
      <c r="AA226" s="152" t="str">
        <f aca="false">A226</f>
        <v>      Gross Asset Sales Proceeds (Offset Items)</v>
      </c>
      <c r="AB226" s="151" t="n">
        <f aca="false">P226</f>
        <v>0</v>
      </c>
      <c r="AC226" s="123" t="n">
        <f aca="false">SUM(D226:L226)</f>
        <v>0</v>
      </c>
      <c r="AD226" s="122" t="n">
        <f aca="false">AB226-AC226</f>
        <v>0</v>
      </c>
      <c r="AE226" s="96"/>
      <c r="AF226" s="122" t="n">
        <f aca="false">T226</f>
        <v>0</v>
      </c>
      <c r="AG226" s="122" t="n">
        <f aca="false">U226</f>
        <v>0</v>
      </c>
      <c r="AH226" s="122" t="n">
        <f aca="false">AF226-AG226</f>
        <v>0</v>
      </c>
      <c r="AI226" s="96"/>
      <c r="AJ226" s="122" t="n">
        <f aca="false">AC226-AG226</f>
        <v>0</v>
      </c>
      <c r="AK226" s="122" t="n">
        <f aca="false">AB226-AF226</f>
        <v>0</v>
      </c>
      <c r="AL226" s="96"/>
      <c r="AM226" s="123" t="n">
        <v>0</v>
      </c>
      <c r="AN226" s="122" t="n">
        <f aca="false">AB226-AM226</f>
        <v>0</v>
      </c>
      <c r="AO226" s="96"/>
      <c r="AP226" s="123" t="n">
        <v>0</v>
      </c>
      <c r="AQ226" s="122" t="n">
        <f aca="false">AC226-AP226</f>
        <v>0</v>
      </c>
      <c r="AR226" s="96"/>
      <c r="AS226" s="96"/>
      <c r="AT226" s="96"/>
      <c r="AU226" s="96"/>
    </row>
    <row r="227" customFormat="false" ht="12.75" hidden="false" customHeight="true" outlineLevel="0" collapsed="false">
      <c r="A227" s="124" t="s">
        <v>542</v>
      </c>
      <c r="B227" s="165"/>
      <c r="C227" s="165"/>
      <c r="D227" s="177" t="n">
        <v>0</v>
      </c>
      <c r="E227" s="177" t="n">
        <v>0</v>
      </c>
      <c r="F227" s="177" t="n">
        <v>0</v>
      </c>
      <c r="G227" s="177" t="n">
        <v>0</v>
      </c>
      <c r="H227" s="177" t="n">
        <v>0</v>
      </c>
      <c r="I227" s="177" t="n">
        <v>0</v>
      </c>
      <c r="J227" s="177" t="n">
        <v>0</v>
      </c>
      <c r="K227" s="177" t="n">
        <v>0</v>
      </c>
      <c r="L227" s="177" t="n">
        <v>0</v>
      </c>
      <c r="M227" s="177" t="n">
        <v>0</v>
      </c>
      <c r="N227" s="177" t="n">
        <v>0</v>
      </c>
      <c r="O227" s="177" t="n">
        <v>0</v>
      </c>
      <c r="P227" s="122" t="n">
        <f aca="false">SUM(D227:O227)</f>
        <v>0</v>
      </c>
      <c r="Q227" s="123" t="n">
        <f aca="false">SUM(D227:J227)</f>
        <v>0</v>
      </c>
      <c r="R227" s="122" t="n">
        <f aca="false">P227-Q227</f>
        <v>0</v>
      </c>
      <c r="S227" s="164"/>
      <c r="T227" s="123" t="n">
        <v>0</v>
      </c>
      <c r="U227" s="123" t="n">
        <v>0</v>
      </c>
      <c r="V227" s="122" t="n">
        <f aca="false">T227-U227</f>
        <v>0</v>
      </c>
      <c r="W227" s="96"/>
      <c r="X227" s="96"/>
      <c r="Y227" s="96"/>
      <c r="Z227" s="96"/>
      <c r="AA227" s="152" t="str">
        <f aca="false">A227</f>
        <v>      Other</v>
      </c>
      <c r="AB227" s="151" t="n">
        <f aca="false">P227</f>
        <v>0</v>
      </c>
      <c r="AC227" s="123" t="n">
        <f aca="false">SUM(D227:L227)</f>
        <v>0</v>
      </c>
      <c r="AD227" s="122" t="n">
        <f aca="false">AB227-AC227</f>
        <v>0</v>
      </c>
      <c r="AE227" s="96"/>
      <c r="AF227" s="122" t="n">
        <f aca="false">T227</f>
        <v>0</v>
      </c>
      <c r="AG227" s="122" t="n">
        <f aca="false">U227</f>
        <v>0</v>
      </c>
      <c r="AH227" s="122" t="n">
        <f aca="false">AF227-AG227</f>
        <v>0</v>
      </c>
      <c r="AI227" s="96"/>
      <c r="AJ227" s="122" t="n">
        <f aca="false">AC227-AG227</f>
        <v>0</v>
      </c>
      <c r="AK227" s="122" t="n">
        <f aca="false">AB227-AF227</f>
        <v>0</v>
      </c>
      <c r="AL227" s="96"/>
      <c r="AM227" s="123" t="n">
        <v>0</v>
      </c>
      <c r="AN227" s="122" t="n">
        <f aca="false">AB227-AM227</f>
        <v>0</v>
      </c>
      <c r="AO227" s="96"/>
      <c r="AP227" s="123" t="n">
        <v>0</v>
      </c>
      <c r="AQ227" s="122" t="n">
        <f aca="false">AC227-AP227</f>
        <v>0</v>
      </c>
      <c r="AR227" s="96"/>
      <c r="AS227" s="96"/>
      <c r="AT227" s="96"/>
      <c r="AU227" s="96"/>
    </row>
    <row r="228" customFormat="false" ht="12.75" hidden="false" customHeight="true" outlineLevel="0" collapsed="false">
      <c r="A228" s="124" t="s">
        <v>542</v>
      </c>
      <c r="B228" s="165"/>
      <c r="C228" s="165"/>
      <c r="D228" s="177" t="n">
        <v>0</v>
      </c>
      <c r="E228" s="177" t="n">
        <v>0</v>
      </c>
      <c r="F228" s="177" t="n">
        <v>0</v>
      </c>
      <c r="G228" s="177" t="n">
        <v>0</v>
      </c>
      <c r="H228" s="177" t="n">
        <v>0</v>
      </c>
      <c r="I228" s="177" t="n">
        <v>0</v>
      </c>
      <c r="J228" s="177" t="n">
        <v>0</v>
      </c>
      <c r="K228" s="177" t="n">
        <v>0</v>
      </c>
      <c r="L228" s="177" t="n">
        <v>0</v>
      </c>
      <c r="M228" s="177" t="n">
        <v>0</v>
      </c>
      <c r="N228" s="177" t="n">
        <v>0</v>
      </c>
      <c r="O228" s="177" t="n">
        <v>0</v>
      </c>
      <c r="P228" s="122" t="n">
        <f aca="false">SUM(D228:O228)</f>
        <v>0</v>
      </c>
      <c r="Q228" s="123" t="n">
        <f aca="false">SUM(D228:J228)</f>
        <v>0</v>
      </c>
      <c r="R228" s="122" t="n">
        <f aca="false">P228-Q228</f>
        <v>0</v>
      </c>
      <c r="S228" s="164"/>
      <c r="T228" s="128" t="n">
        <f aca="false">1284-1284</f>
        <v>0</v>
      </c>
      <c r="U228" s="128" t="n">
        <f aca="false">963-963</f>
        <v>0</v>
      </c>
      <c r="V228" s="122" t="n">
        <f aca="false">T228-U228</f>
        <v>0</v>
      </c>
      <c r="W228" s="96"/>
      <c r="X228" s="96"/>
      <c r="Y228" s="96"/>
      <c r="Z228" s="96"/>
      <c r="AA228" s="152" t="str">
        <f aca="false">A228</f>
        <v>      Other</v>
      </c>
      <c r="AB228" s="151" t="n">
        <f aca="false">P228</f>
        <v>0</v>
      </c>
      <c r="AC228" s="123" t="n">
        <f aca="false">SUM(D228:L228)</f>
        <v>0</v>
      </c>
      <c r="AD228" s="122" t="n">
        <f aca="false">AB228-AC228</f>
        <v>0</v>
      </c>
      <c r="AE228" s="96"/>
      <c r="AF228" s="122" t="n">
        <f aca="false">T228</f>
        <v>0</v>
      </c>
      <c r="AG228" s="122" t="n">
        <f aca="false">U228</f>
        <v>0</v>
      </c>
      <c r="AH228" s="122" t="n">
        <f aca="false">AF228-AG228</f>
        <v>0</v>
      </c>
      <c r="AI228" s="96"/>
      <c r="AJ228" s="122" t="n">
        <f aca="false">AC228-AG228</f>
        <v>0</v>
      </c>
      <c r="AK228" s="122" t="n">
        <f aca="false">AB228-AF228</f>
        <v>0</v>
      </c>
      <c r="AL228" s="96"/>
      <c r="AM228" s="123" t="n">
        <v>0</v>
      </c>
      <c r="AN228" s="122" t="n">
        <f aca="false">AB228-AM228</f>
        <v>0</v>
      </c>
      <c r="AO228" s="96"/>
      <c r="AP228" s="123" t="n">
        <v>0</v>
      </c>
      <c r="AQ228" s="122" t="n">
        <f aca="false">AC228-AP228</f>
        <v>0</v>
      </c>
      <c r="AR228" s="96"/>
      <c r="AS228" s="96"/>
      <c r="AT228" s="96"/>
      <c r="AU228" s="96"/>
    </row>
    <row r="229" customFormat="false" ht="12.75" hidden="false" customHeight="true" outlineLevel="0" collapsed="false">
      <c r="A229" s="124" t="s">
        <v>550</v>
      </c>
      <c r="B229" s="165"/>
      <c r="C229" s="165"/>
      <c r="D229" s="181" t="n">
        <f aca="false">D313</f>
        <v>9</v>
      </c>
      <c r="E229" s="180" t="n">
        <f aca="false">E313-200</f>
        <v>0</v>
      </c>
      <c r="F229" s="181" t="n">
        <f aca="false">F313</f>
        <v>11552</v>
      </c>
      <c r="G229" s="181" t="n">
        <f aca="false">G313</f>
        <v>755</v>
      </c>
      <c r="H229" s="181" t="n">
        <f aca="false">H313</f>
        <v>-326</v>
      </c>
      <c r="I229" s="181" t="n">
        <f aca="false">I313</f>
        <v>325</v>
      </c>
      <c r="J229" s="181" t="n">
        <f aca="false">J313</f>
        <v>36</v>
      </c>
      <c r="K229" s="181" t="n">
        <f aca="false">K313</f>
        <v>0</v>
      </c>
      <c r="L229" s="181" t="n">
        <f aca="false">L313</f>
        <v>-12280</v>
      </c>
      <c r="M229" s="181" t="n">
        <f aca="false">M313</f>
        <v>0</v>
      </c>
      <c r="N229" s="181" t="n">
        <f aca="false">N313</f>
        <v>0</v>
      </c>
      <c r="O229" s="181" t="n">
        <f aca="false">O313</f>
        <v>0</v>
      </c>
      <c r="P229" s="122" t="n">
        <f aca="false">SUM(D229:O229)</f>
        <v>71</v>
      </c>
      <c r="Q229" s="123" t="n">
        <f aca="false">SUM(D229:J229)</f>
        <v>12351</v>
      </c>
      <c r="R229" s="122" t="n">
        <f aca="false">P229-Q229</f>
        <v>-12280</v>
      </c>
      <c r="S229" s="164"/>
      <c r="T229" s="123" t="n">
        <v>0</v>
      </c>
      <c r="U229" s="123" t="n">
        <v>0</v>
      </c>
      <c r="V229" s="122" t="n">
        <f aca="false">T229-U229</f>
        <v>0</v>
      </c>
      <c r="W229" s="96"/>
      <c r="X229" s="96"/>
      <c r="Y229" s="96"/>
      <c r="Z229" s="96"/>
      <c r="AA229" s="152" t="str">
        <f aca="false">A229</f>
        <v>      Total Current Liability Reserve Activity</v>
      </c>
      <c r="AB229" s="151" t="n">
        <f aca="false">P229</f>
        <v>71</v>
      </c>
      <c r="AC229" s="123" t="n">
        <f aca="false">SUM(D229:L229)</f>
        <v>71</v>
      </c>
      <c r="AD229" s="122" t="n">
        <f aca="false">AB229-AC229</f>
        <v>0</v>
      </c>
      <c r="AE229" s="96"/>
      <c r="AF229" s="122" t="n">
        <f aca="false">T229</f>
        <v>0</v>
      </c>
      <c r="AG229" s="122" t="n">
        <f aca="false">U229</f>
        <v>0</v>
      </c>
      <c r="AH229" s="122" t="n">
        <f aca="false">AF229-AG229</f>
        <v>0</v>
      </c>
      <c r="AI229" s="96"/>
      <c r="AJ229" s="122" t="n">
        <f aca="false">AC229-AG229</f>
        <v>71</v>
      </c>
      <c r="AK229" s="122" t="n">
        <f aca="false">AB229-AF229</f>
        <v>71</v>
      </c>
      <c r="AL229" s="96"/>
      <c r="AM229" s="123" t="n">
        <v>35</v>
      </c>
      <c r="AN229" s="122" t="n">
        <f aca="false">AB229-AM229</f>
        <v>36</v>
      </c>
      <c r="AO229" s="96"/>
      <c r="AP229" s="123" t="n">
        <v>35</v>
      </c>
      <c r="AQ229" s="122" t="n">
        <f aca="false">AC229-AP229</f>
        <v>36</v>
      </c>
      <c r="AR229" s="96"/>
      <c r="AS229" s="96"/>
      <c r="AT229" s="96"/>
      <c r="AU229" s="96"/>
    </row>
    <row r="230" customFormat="false" ht="12.75" hidden="false" customHeight="true" outlineLevel="0" collapsed="false">
      <c r="A230" s="124" t="s">
        <v>551</v>
      </c>
      <c r="B230" s="165"/>
      <c r="C230" s="165"/>
      <c r="D230" s="177" t="n">
        <v>0</v>
      </c>
      <c r="E230" s="180" t="n">
        <f aca="false">200</f>
        <v>200</v>
      </c>
      <c r="F230" s="180" t="n">
        <v>-200</v>
      </c>
      <c r="G230" s="177" t="n">
        <v>0</v>
      </c>
      <c r="H230" s="177" t="n">
        <v>0</v>
      </c>
      <c r="I230" s="177" t="n">
        <v>0</v>
      </c>
      <c r="J230" s="177" t="n">
        <v>0</v>
      </c>
      <c r="K230" s="177" t="n">
        <v>0</v>
      </c>
      <c r="L230" s="177" t="n">
        <v>0</v>
      </c>
      <c r="M230" s="177" t="n">
        <v>0</v>
      </c>
      <c r="N230" s="177" t="n">
        <v>0</v>
      </c>
      <c r="O230" s="177" t="n">
        <v>0</v>
      </c>
      <c r="P230" s="122" t="n">
        <f aca="false">SUM(D230:O230)</f>
        <v>0</v>
      </c>
      <c r="Q230" s="123" t="n">
        <f aca="false">SUM(D230:J230)</f>
        <v>0</v>
      </c>
      <c r="R230" s="122" t="n">
        <f aca="false">P230-Q230</f>
        <v>0</v>
      </c>
      <c r="S230" s="164"/>
      <c r="T230" s="128" t="n">
        <f aca="false">1284-1284</f>
        <v>0</v>
      </c>
      <c r="U230" s="128" t="n">
        <f aca="false">963-963</f>
        <v>0</v>
      </c>
      <c r="V230" s="122" t="n">
        <f aca="false">T230-U230</f>
        <v>0</v>
      </c>
      <c r="W230" s="96"/>
      <c r="X230" s="96"/>
      <c r="Y230" s="96"/>
      <c r="Z230" s="96"/>
      <c r="AA230" s="152" t="str">
        <f aca="false">A230</f>
        <v>         Other ?? (Grynberg Legal Reserve Adjustment)</v>
      </c>
      <c r="AB230" s="151" t="n">
        <f aca="false">P230</f>
        <v>0</v>
      </c>
      <c r="AC230" s="123" t="n">
        <f aca="false">SUM(D230:L230)</f>
        <v>0</v>
      </c>
      <c r="AD230" s="122" t="n">
        <f aca="false">AB230-AC230</f>
        <v>0</v>
      </c>
      <c r="AE230" s="96"/>
      <c r="AF230" s="122" t="n">
        <f aca="false">T230</f>
        <v>0</v>
      </c>
      <c r="AG230" s="122" t="n">
        <f aca="false">U230</f>
        <v>0</v>
      </c>
      <c r="AH230" s="122" t="n">
        <f aca="false">AF230-AG230</f>
        <v>0</v>
      </c>
      <c r="AI230" s="96"/>
      <c r="AJ230" s="122" t="n">
        <f aca="false">AC230-AG230</f>
        <v>0</v>
      </c>
      <c r="AK230" s="122" t="n">
        <f aca="false">AB230-AF230</f>
        <v>0</v>
      </c>
      <c r="AL230" s="96"/>
      <c r="AM230" s="123" t="n">
        <v>0</v>
      </c>
      <c r="AN230" s="122" t="n">
        <f aca="false">AB230-AM230</f>
        <v>0</v>
      </c>
      <c r="AO230" s="96"/>
      <c r="AP230" s="123" t="n">
        <v>0</v>
      </c>
      <c r="AQ230" s="122" t="n">
        <f aca="false">AC230-AP230</f>
        <v>0</v>
      </c>
      <c r="AR230" s="96"/>
      <c r="AS230" s="96"/>
      <c r="AT230" s="96"/>
      <c r="AU230" s="96"/>
    </row>
    <row r="231" customFormat="false" ht="12.75" hidden="false" customHeight="true" outlineLevel="0" collapsed="false">
      <c r="A231" s="124" t="s">
        <v>552</v>
      </c>
      <c r="B231" s="165"/>
      <c r="C231" s="165"/>
      <c r="D231" s="177" t="n">
        <v>0</v>
      </c>
      <c r="E231" s="177" t="n">
        <v>0</v>
      </c>
      <c r="F231" s="177" t="n">
        <v>0</v>
      </c>
      <c r="G231" s="177" t="n">
        <v>0</v>
      </c>
      <c r="H231" s="177" t="n">
        <v>0</v>
      </c>
      <c r="I231" s="177" t="n">
        <v>0</v>
      </c>
      <c r="J231" s="177" t="n">
        <v>0</v>
      </c>
      <c r="K231" s="177" t="n">
        <v>0</v>
      </c>
      <c r="L231" s="177" t="n">
        <v>0</v>
      </c>
      <c r="M231" s="177" t="n">
        <v>0</v>
      </c>
      <c r="N231" s="177" t="n">
        <v>0</v>
      </c>
      <c r="O231" s="177" t="n">
        <v>0</v>
      </c>
      <c r="P231" s="122" t="n">
        <f aca="false">SUM(D231:O231)</f>
        <v>0</v>
      </c>
      <c r="Q231" s="123" t="n">
        <f aca="false">SUM(D231:J231)</f>
        <v>0</v>
      </c>
      <c r="R231" s="122" t="n">
        <f aca="false">P231-Q231</f>
        <v>0</v>
      </c>
      <c r="S231" s="164"/>
      <c r="T231" s="123" t="n">
        <v>0</v>
      </c>
      <c r="U231" s="123" t="n">
        <v>0</v>
      </c>
      <c r="V231" s="122" t="n">
        <f aca="false">T231-U231</f>
        <v>0</v>
      </c>
      <c r="W231" s="96"/>
      <c r="X231" s="96"/>
      <c r="Y231" s="96"/>
      <c r="Z231" s="96"/>
      <c r="AA231" s="152" t="str">
        <f aca="false">A231</f>
        <v>      All Capital Costs (Net of Tax)</v>
      </c>
      <c r="AB231" s="151" t="n">
        <f aca="false">P231</f>
        <v>0</v>
      </c>
      <c r="AC231" s="123" t="n">
        <f aca="false">SUM(D231:L231)</f>
        <v>0</v>
      </c>
      <c r="AD231" s="122" t="n">
        <f aca="false">AB231-AC231</f>
        <v>0</v>
      </c>
      <c r="AE231" s="96"/>
      <c r="AF231" s="122" t="n">
        <f aca="false">T231</f>
        <v>0</v>
      </c>
      <c r="AG231" s="122" t="n">
        <f aca="false">U231</f>
        <v>0</v>
      </c>
      <c r="AH231" s="122" t="n">
        <f aca="false">AF231-AG231</f>
        <v>0</v>
      </c>
      <c r="AI231" s="96"/>
      <c r="AJ231" s="122" t="n">
        <f aca="false">AC231-AG231</f>
        <v>0</v>
      </c>
      <c r="AK231" s="122" t="n">
        <f aca="false">AB231-AF231</f>
        <v>0</v>
      </c>
      <c r="AL231" s="96"/>
      <c r="AM231" s="123" t="n">
        <v>0</v>
      </c>
      <c r="AN231" s="122" t="n">
        <f aca="false">AB231-AM231</f>
        <v>0</v>
      </c>
      <c r="AO231" s="96"/>
      <c r="AP231" s="123" t="n">
        <v>0</v>
      </c>
      <c r="AQ231" s="122" t="n">
        <f aca="false">AC231-AP231</f>
        <v>0</v>
      </c>
      <c r="AR231" s="96"/>
      <c r="AS231" s="96"/>
      <c r="AT231" s="96"/>
      <c r="AU231" s="96"/>
    </row>
    <row r="232" customFormat="false" ht="12.75" hidden="false" customHeight="true" outlineLevel="0" collapsed="false">
      <c r="A232" s="124" t="s">
        <v>553</v>
      </c>
      <c r="B232" s="165"/>
      <c r="C232" s="165"/>
      <c r="D232" s="177" t="n">
        <v>0</v>
      </c>
      <c r="E232" s="177" t="n">
        <v>0</v>
      </c>
      <c r="F232" s="177" t="n">
        <v>0</v>
      </c>
      <c r="G232" s="177" t="n">
        <v>0</v>
      </c>
      <c r="H232" s="177" t="n">
        <v>0</v>
      </c>
      <c r="I232" s="177" t="n">
        <v>0</v>
      </c>
      <c r="J232" s="177" t="n">
        <v>0</v>
      </c>
      <c r="K232" s="177" t="n">
        <v>0</v>
      </c>
      <c r="L232" s="177" t="n">
        <v>0</v>
      </c>
      <c r="M232" s="177" t="n">
        <v>0</v>
      </c>
      <c r="N232" s="177" t="n">
        <v>0</v>
      </c>
      <c r="O232" s="177" t="n">
        <v>0</v>
      </c>
      <c r="P232" s="122" t="n">
        <f aca="false">SUM(D232:O232)</f>
        <v>0</v>
      </c>
      <c r="Q232" s="123" t="n">
        <f aca="false">SUM(D232:J232)</f>
        <v>0</v>
      </c>
      <c r="R232" s="122" t="n">
        <f aca="false">P232-Q232</f>
        <v>0</v>
      </c>
      <c r="S232" s="164"/>
      <c r="T232" s="123" t="n">
        <v>0</v>
      </c>
      <c r="U232" s="123" t="n">
        <v>0</v>
      </c>
      <c r="V232" s="122" t="n">
        <f aca="false">T232-U232</f>
        <v>0</v>
      </c>
      <c r="W232" s="96"/>
      <c r="X232" s="96"/>
      <c r="Y232" s="96"/>
      <c r="Z232" s="96"/>
      <c r="AA232" s="152" t="str">
        <f aca="false">A232</f>
        <v>      Hyperion Adjust. / Reversal (DD&amp;A and Deferred Taxes)</v>
      </c>
      <c r="AB232" s="151" t="n">
        <f aca="false">P232</f>
        <v>0</v>
      </c>
      <c r="AC232" s="123" t="n">
        <f aca="false">SUM(D232:L232)</f>
        <v>0</v>
      </c>
      <c r="AD232" s="122" t="n">
        <f aca="false">AB232-AC232</f>
        <v>0</v>
      </c>
      <c r="AE232" s="96"/>
      <c r="AF232" s="122" t="n">
        <f aca="false">T232</f>
        <v>0</v>
      </c>
      <c r="AG232" s="122" t="n">
        <f aca="false">U232</f>
        <v>0</v>
      </c>
      <c r="AH232" s="122" t="n">
        <f aca="false">AF232-AG232</f>
        <v>0</v>
      </c>
      <c r="AI232" s="96"/>
      <c r="AJ232" s="122" t="n">
        <f aca="false">AC232-AG232</f>
        <v>0</v>
      </c>
      <c r="AK232" s="122" t="n">
        <f aca="false">AB232-AF232</f>
        <v>0</v>
      </c>
      <c r="AL232" s="96"/>
      <c r="AM232" s="123" t="n">
        <v>0</v>
      </c>
      <c r="AN232" s="122" t="n">
        <f aca="false">AB232-AM232</f>
        <v>0</v>
      </c>
      <c r="AO232" s="96"/>
      <c r="AP232" s="123" t="n">
        <v>0</v>
      </c>
      <c r="AQ232" s="122" t="n">
        <f aca="false">AC232-AP232</f>
        <v>0</v>
      </c>
      <c r="AR232" s="96"/>
      <c r="AS232" s="96"/>
      <c r="AT232" s="96"/>
      <c r="AU232" s="96"/>
    </row>
    <row r="233" customFormat="false" ht="12.75" hidden="false" customHeight="true" outlineLevel="0" collapsed="false">
      <c r="A233" s="167" t="s">
        <v>554</v>
      </c>
      <c r="B233" s="165"/>
      <c r="C233" s="165"/>
      <c r="D233" s="170" t="n">
        <f aca="false">D235-SUM(D219:D232)</f>
        <v>-3</v>
      </c>
      <c r="E233" s="170" t="n">
        <f aca="false">E235-SUM(E219:E232)</f>
        <v>-1</v>
      </c>
      <c r="F233" s="170" t="n">
        <f aca="false">F235-SUM(F219:F232)</f>
        <v>2</v>
      </c>
      <c r="G233" s="170" t="n">
        <f aca="false">G235-SUM(G219:G232)</f>
        <v>-2</v>
      </c>
      <c r="H233" s="170" t="n">
        <f aca="false">H235-SUM(H219:H232)</f>
        <v>6</v>
      </c>
      <c r="I233" s="170" t="n">
        <f aca="false">I235-SUM(I219:I232)</f>
        <v>-3</v>
      </c>
      <c r="J233" s="170" t="n">
        <f aca="false">J235-SUM(J219:J232)</f>
        <v>1</v>
      </c>
      <c r="K233" s="170" t="n">
        <f aca="false">K235-SUM(K219:K232)</f>
        <v>0</v>
      </c>
      <c r="L233" s="170" t="n">
        <f aca="false">L235-SUM(L219:L232)</f>
        <v>0</v>
      </c>
      <c r="M233" s="170" t="n">
        <f aca="false">M235-SUM(M219:M232)</f>
        <v>0</v>
      </c>
      <c r="N233" s="170" t="n">
        <f aca="false">N235-SUM(N219:N232)</f>
        <v>0</v>
      </c>
      <c r="O233" s="170" t="n">
        <f aca="false">O235-SUM(O219:O232)</f>
        <v>0</v>
      </c>
      <c r="P233" s="135" t="n">
        <f aca="false">SUM(D233:O233)</f>
        <v>0</v>
      </c>
      <c r="Q233" s="136" t="n">
        <f aca="false">SUM(D233:J233)</f>
        <v>0</v>
      </c>
      <c r="R233" s="135" t="n">
        <f aca="false">P233-Q233</f>
        <v>0</v>
      </c>
      <c r="S233" s="171"/>
      <c r="T233" s="170" t="n">
        <f aca="false">T235-SUM(T219:T232)</f>
        <v>0</v>
      </c>
      <c r="U233" s="170" t="n">
        <f aca="false">U235-SUM(U219:U232)</f>
        <v>0</v>
      </c>
      <c r="V233" s="135" t="n">
        <f aca="false">T233-U233</f>
        <v>0</v>
      </c>
      <c r="W233" s="96"/>
      <c r="X233" s="96"/>
      <c r="Y233" s="96"/>
      <c r="Z233" s="96"/>
      <c r="AA233" s="152" t="str">
        <f aca="false">A233</f>
        <v>      Others, net</v>
      </c>
      <c r="AB233" s="153" t="n">
        <f aca="false">P233</f>
        <v>0</v>
      </c>
      <c r="AC233" s="136" t="n">
        <f aca="false">SUM(D233:L233)</f>
        <v>0</v>
      </c>
      <c r="AD233" s="135" t="n">
        <f aca="false">AB233-AC233</f>
        <v>0</v>
      </c>
      <c r="AE233" s="96"/>
      <c r="AF233" s="135" t="n">
        <f aca="false">T233</f>
        <v>0</v>
      </c>
      <c r="AG233" s="135" t="n">
        <f aca="false">U233</f>
        <v>0</v>
      </c>
      <c r="AH233" s="135" t="n">
        <f aca="false">AF233-AG233</f>
        <v>0</v>
      </c>
      <c r="AI233" s="96"/>
      <c r="AJ233" s="135" t="n">
        <f aca="false">AC233-AG233</f>
        <v>0</v>
      </c>
      <c r="AK233" s="135" t="n">
        <f aca="false">AB233-AF233</f>
        <v>0</v>
      </c>
      <c r="AL233" s="96"/>
      <c r="AM233" s="170" t="n">
        <f aca="false">AM235-SUM(AM219:AM232)</f>
        <v>2</v>
      </c>
      <c r="AN233" s="135" t="n">
        <f aca="false">AB233-AM233</f>
        <v>-2</v>
      </c>
      <c r="AO233" s="156"/>
      <c r="AP233" s="170" t="n">
        <f aca="false">AP235-SUM(AP219:AP232)</f>
        <v>2</v>
      </c>
      <c r="AQ233" s="135" t="n">
        <f aca="false">AC233-AP233</f>
        <v>-2</v>
      </c>
      <c r="AR233" s="96"/>
      <c r="AS233" s="96"/>
      <c r="AT233" s="96"/>
      <c r="AU233" s="96"/>
    </row>
    <row r="234" customFormat="false" ht="3.95" hidden="false" customHeight="true" outlineLevel="0" collapsed="false">
      <c r="A234" s="167"/>
      <c r="B234" s="165"/>
      <c r="C234" s="165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96"/>
      <c r="W234" s="96"/>
      <c r="X234" s="96"/>
      <c r="Y234" s="96"/>
      <c r="Z234" s="96"/>
      <c r="AA234" s="93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</row>
    <row r="235" customFormat="false" ht="12.75" hidden="false" customHeight="true" outlineLevel="0" collapsed="false">
      <c r="A235" s="167" t="s">
        <v>555</v>
      </c>
      <c r="B235" s="165"/>
      <c r="C235" s="165"/>
      <c r="D235" s="170" t="n">
        <f aca="false">D237-D216</f>
        <v>6</v>
      </c>
      <c r="E235" s="170" t="n">
        <f aca="false">E237-E216</f>
        <v>199</v>
      </c>
      <c r="F235" s="170" t="n">
        <f aca="false">F237-F216</f>
        <v>11248</v>
      </c>
      <c r="G235" s="170" t="n">
        <f aca="false">G237-G216</f>
        <v>753</v>
      </c>
      <c r="H235" s="170" t="n">
        <f aca="false">H237-H216</f>
        <v>-262</v>
      </c>
      <c r="I235" s="170" t="n">
        <f aca="false">I237-I216</f>
        <v>322</v>
      </c>
      <c r="J235" s="170" t="n">
        <f aca="false">J237-J216</f>
        <v>37</v>
      </c>
      <c r="K235" s="170" t="n">
        <f aca="false">K237-K216</f>
        <v>0</v>
      </c>
      <c r="L235" s="170" t="n">
        <f aca="false">L237-L216</f>
        <v>-12280</v>
      </c>
      <c r="M235" s="170" t="n">
        <f aca="false">M237-M216</f>
        <v>0</v>
      </c>
      <c r="N235" s="170" t="n">
        <f aca="false">N237-N216</f>
        <v>0</v>
      </c>
      <c r="O235" s="170" t="n">
        <f aca="false">O237-O216</f>
        <v>0</v>
      </c>
      <c r="P235" s="170" t="n">
        <f aca="false">P237-P216</f>
        <v>23</v>
      </c>
      <c r="Q235" s="170" t="n">
        <f aca="false">Q237-Q216</f>
        <v>12303</v>
      </c>
      <c r="R235" s="170" t="n">
        <f aca="false">R237-R216</f>
        <v>-12280</v>
      </c>
      <c r="S235" s="164"/>
      <c r="T235" s="170" t="n">
        <f aca="false">T237-T216</f>
        <v>0</v>
      </c>
      <c r="U235" s="170" t="n">
        <f aca="false">U237-U216</f>
        <v>0</v>
      </c>
      <c r="V235" s="170" t="n">
        <f aca="false">V237-V216</f>
        <v>0</v>
      </c>
      <c r="W235" s="96"/>
      <c r="X235" s="96"/>
      <c r="Y235" s="96"/>
      <c r="Z235" s="96"/>
      <c r="AA235" s="152" t="str">
        <f aca="false">A235</f>
        <v>         Subtotal (Financial Reporting)</v>
      </c>
      <c r="AB235" s="170" t="n">
        <f aca="false">AB237-AB216</f>
        <v>23</v>
      </c>
      <c r="AC235" s="170" t="n">
        <f aca="false">AC237-AC216</f>
        <v>23</v>
      </c>
      <c r="AD235" s="170" t="n">
        <f aca="false">AD237-AD216</f>
        <v>0</v>
      </c>
      <c r="AE235" s="96"/>
      <c r="AF235" s="170" t="n">
        <f aca="false">AF237-AF216</f>
        <v>0</v>
      </c>
      <c r="AG235" s="170" t="n">
        <f aca="false">AG237-AG216</f>
        <v>0</v>
      </c>
      <c r="AH235" s="170" t="n">
        <f aca="false">AH237-AH216</f>
        <v>0</v>
      </c>
      <c r="AI235" s="96"/>
      <c r="AJ235" s="170" t="n">
        <f aca="false">AJ237-AJ216</f>
        <v>23</v>
      </c>
      <c r="AK235" s="170" t="n">
        <f aca="false">AK237-AK216</f>
        <v>23</v>
      </c>
      <c r="AL235" s="96"/>
      <c r="AM235" s="170" t="n">
        <f aca="false">AM237-AM216</f>
        <v>-11</v>
      </c>
      <c r="AN235" s="170" t="n">
        <f aca="false">AN237-AN216</f>
        <v>34</v>
      </c>
      <c r="AO235" s="96"/>
      <c r="AP235" s="170" t="n">
        <f aca="false">AP237-AP216</f>
        <v>-11</v>
      </c>
      <c r="AQ235" s="170" t="n">
        <f aca="false">AQ237-AQ216</f>
        <v>34</v>
      </c>
      <c r="AR235" s="96"/>
      <c r="AS235" s="96"/>
      <c r="AT235" s="96"/>
      <c r="AU235" s="96"/>
    </row>
    <row r="236" customFormat="false" ht="6" hidden="false" customHeight="true" outlineLevel="0" collapsed="false">
      <c r="A236" s="167"/>
      <c r="B236" s="165"/>
      <c r="C236" s="165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96"/>
      <c r="X236" s="96"/>
      <c r="Y236" s="96"/>
      <c r="Z236" s="96"/>
      <c r="AA236" s="93"/>
      <c r="AB236" s="164"/>
      <c r="AC236" s="164"/>
      <c r="AD236" s="164"/>
      <c r="AE236" s="96"/>
      <c r="AF236" s="164"/>
      <c r="AG236" s="164"/>
      <c r="AH236" s="164"/>
      <c r="AI236" s="96"/>
      <c r="AJ236" s="164"/>
      <c r="AK236" s="164"/>
      <c r="AL236" s="96"/>
      <c r="AM236" s="164"/>
      <c r="AN236" s="164"/>
      <c r="AO236" s="96"/>
      <c r="AP236" s="164"/>
      <c r="AQ236" s="164"/>
      <c r="AR236" s="96"/>
      <c r="AS236" s="96"/>
      <c r="AT236" s="96"/>
      <c r="AU236" s="96"/>
    </row>
    <row r="237" customFormat="false" ht="12.75" hidden="false" customHeight="true" outlineLevel="0" collapsed="false">
      <c r="A237" s="172" t="s">
        <v>556</v>
      </c>
      <c r="B237" s="173"/>
      <c r="C237" s="173"/>
      <c r="D237" s="174" t="n">
        <f aca="false">D12+D32</f>
        <v>-33</v>
      </c>
      <c r="E237" s="174" t="n">
        <f aca="false">E12+E32</f>
        <v>-577</v>
      </c>
      <c r="F237" s="174" t="n">
        <f aca="false">F12+F32</f>
        <v>11526</v>
      </c>
      <c r="G237" s="174" t="n">
        <f aca="false">G12+G32</f>
        <v>395</v>
      </c>
      <c r="H237" s="174" t="n">
        <f aca="false">H12+H32</f>
        <v>-931</v>
      </c>
      <c r="I237" s="174" t="n">
        <f aca="false">I12+I32</f>
        <v>-152</v>
      </c>
      <c r="J237" s="174" t="n">
        <f aca="false">J12+J32</f>
        <v>-293</v>
      </c>
      <c r="K237" s="174" t="n">
        <f aca="false">K12+K32</f>
        <v>-76</v>
      </c>
      <c r="L237" s="174" t="n">
        <f aca="false">L12+L32</f>
        <v>-12356</v>
      </c>
      <c r="M237" s="174" t="n">
        <f aca="false">M12+M32</f>
        <v>-75</v>
      </c>
      <c r="N237" s="174" t="n">
        <f aca="false">N12+N32</f>
        <v>-77</v>
      </c>
      <c r="O237" s="174" t="n">
        <f aca="false">O12+O32</f>
        <v>-76</v>
      </c>
      <c r="P237" s="174" t="n">
        <f aca="false">P12+P32</f>
        <v>-2725</v>
      </c>
      <c r="Q237" s="174" t="n">
        <f aca="false">Q12+Q32</f>
        <v>9935</v>
      </c>
      <c r="R237" s="174" t="n">
        <f aca="false">R12+R32</f>
        <v>-12660</v>
      </c>
      <c r="S237" s="164"/>
      <c r="T237" s="174" t="n">
        <f aca="false">T12+T32</f>
        <v>-10936</v>
      </c>
      <c r="U237" s="174" t="n">
        <f aca="false">U12+U32</f>
        <v>-8188</v>
      </c>
      <c r="V237" s="174" t="n">
        <f aca="false">V12+V32</f>
        <v>-2748</v>
      </c>
      <c r="W237" s="96"/>
      <c r="X237" s="96"/>
      <c r="Y237" s="96"/>
      <c r="Z237" s="96"/>
      <c r="AA237" s="93" t="str">
        <f aca="false">A237</f>
        <v>      Total Other Items</v>
      </c>
      <c r="AB237" s="174" t="n">
        <f aca="false">AB12+AB32</f>
        <v>-2725</v>
      </c>
      <c r="AC237" s="174" t="n">
        <f aca="false">AC12+AC32</f>
        <v>-2497</v>
      </c>
      <c r="AD237" s="174" t="n">
        <f aca="false">AD12+AD32</f>
        <v>-228</v>
      </c>
      <c r="AE237" s="96"/>
      <c r="AF237" s="174" t="n">
        <f aca="false">AF12+AF32</f>
        <v>-10936</v>
      </c>
      <c r="AG237" s="174" t="n">
        <f aca="false">AG12+AG32</f>
        <v>-8188</v>
      </c>
      <c r="AH237" s="174" t="n">
        <f aca="false">AH12+AH32</f>
        <v>-2748</v>
      </c>
      <c r="AI237" s="96"/>
      <c r="AJ237" s="174" t="n">
        <f aca="false">AJ12+AJ32</f>
        <v>5691</v>
      </c>
      <c r="AK237" s="174" t="n">
        <f aca="false">AK12+AK32</f>
        <v>8211</v>
      </c>
      <c r="AL237" s="96"/>
      <c r="AM237" s="174" t="n">
        <f aca="false">AM12+AM32</f>
        <v>-2503</v>
      </c>
      <c r="AN237" s="174" t="n">
        <f aca="false">AN12+AN32</f>
        <v>-222</v>
      </c>
      <c r="AO237" s="96"/>
      <c r="AP237" s="174" t="n">
        <f aca="false">AP12+AP32</f>
        <v>-2275</v>
      </c>
      <c r="AQ237" s="174" t="n">
        <f aca="false">AQ12+AQ32</f>
        <v>-222</v>
      </c>
      <c r="AR237" s="96"/>
      <c r="AS237" s="96"/>
      <c r="AT237" s="96"/>
      <c r="AU237" s="96"/>
    </row>
    <row r="238" customFormat="false" ht="12.75" hidden="false" customHeight="true" outlineLevel="0" collapsed="false">
      <c r="A238" s="165"/>
      <c r="B238" s="165"/>
      <c r="C238" s="165"/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96"/>
      <c r="X238" s="96"/>
      <c r="Y238" s="96"/>
      <c r="Z238" s="96"/>
      <c r="AA238" s="93"/>
      <c r="AB238" s="164"/>
      <c r="AC238" s="164"/>
      <c r="AD238" s="164"/>
      <c r="AE238" s="96"/>
      <c r="AF238" s="164"/>
      <c r="AG238" s="164"/>
      <c r="AH238" s="164"/>
      <c r="AI238" s="96"/>
      <c r="AJ238" s="164"/>
      <c r="AK238" s="164"/>
      <c r="AL238" s="96"/>
      <c r="AM238" s="164"/>
      <c r="AN238" s="164"/>
      <c r="AO238" s="96"/>
      <c r="AP238" s="164"/>
      <c r="AQ238" s="164"/>
      <c r="AR238" s="96"/>
      <c r="AS238" s="96"/>
      <c r="AT238" s="96"/>
      <c r="AU238" s="96"/>
    </row>
    <row r="239" customFormat="false" ht="12.75" hidden="false" customHeight="true" outlineLevel="0" collapsed="false">
      <c r="A239" s="172" t="s">
        <v>557</v>
      </c>
      <c r="B239" s="165"/>
      <c r="C239" s="165"/>
      <c r="D239" s="182" t="n">
        <f aca="false">D237</f>
        <v>-33</v>
      </c>
      <c r="E239" s="182" t="n">
        <f aca="false">E237</f>
        <v>-577</v>
      </c>
      <c r="F239" s="182" t="n">
        <f aca="false">F237</f>
        <v>11526</v>
      </c>
      <c r="G239" s="182" t="n">
        <f aca="false">G237</f>
        <v>395</v>
      </c>
      <c r="H239" s="182" t="n">
        <f aca="false">H237</f>
        <v>-931</v>
      </c>
      <c r="I239" s="182" t="n">
        <f aca="false">I237</f>
        <v>-152</v>
      </c>
      <c r="J239" s="182" t="n">
        <f aca="false">J237</f>
        <v>-293</v>
      </c>
      <c r="K239" s="182" t="n">
        <f aca="false">K237</f>
        <v>-76</v>
      </c>
      <c r="L239" s="182" t="n">
        <f aca="false">L237</f>
        <v>-12356</v>
      </c>
      <c r="M239" s="182" t="n">
        <f aca="false">M237</f>
        <v>-75</v>
      </c>
      <c r="N239" s="182" t="n">
        <f aca="false">N237</f>
        <v>-77</v>
      </c>
      <c r="O239" s="182" t="n">
        <f aca="false">O237</f>
        <v>-76</v>
      </c>
      <c r="P239" s="182" t="n">
        <f aca="false">P237</f>
        <v>-2725</v>
      </c>
      <c r="Q239" s="182" t="n">
        <f aca="false">Q237</f>
        <v>9935</v>
      </c>
      <c r="R239" s="182" t="n">
        <f aca="false">R237</f>
        <v>-12660</v>
      </c>
      <c r="S239" s="164"/>
      <c r="T239" s="182" t="n">
        <f aca="false">T237</f>
        <v>-10936</v>
      </c>
      <c r="U239" s="182" t="n">
        <f aca="false">U237</f>
        <v>-8188</v>
      </c>
      <c r="V239" s="182" t="n">
        <f aca="false">V237</f>
        <v>-2748</v>
      </c>
      <c r="W239" s="96"/>
      <c r="X239" s="96"/>
      <c r="Y239" s="96"/>
      <c r="Z239" s="96"/>
      <c r="AA239" s="150" t="str">
        <f aca="false">A239</f>
        <v>TOTAL " OTHER "</v>
      </c>
      <c r="AB239" s="182" t="n">
        <f aca="false">AB237</f>
        <v>-2725</v>
      </c>
      <c r="AC239" s="182" t="n">
        <f aca="false">AC237</f>
        <v>-2497</v>
      </c>
      <c r="AD239" s="182" t="n">
        <f aca="false">AD237</f>
        <v>-228</v>
      </c>
      <c r="AE239" s="96"/>
      <c r="AF239" s="182" t="n">
        <f aca="false">AF237</f>
        <v>-10936</v>
      </c>
      <c r="AG239" s="182" t="n">
        <f aca="false">AG237</f>
        <v>-8188</v>
      </c>
      <c r="AH239" s="182" t="n">
        <f aca="false">AH237</f>
        <v>-2748</v>
      </c>
      <c r="AI239" s="96"/>
      <c r="AJ239" s="182" t="n">
        <f aca="false">AJ237</f>
        <v>5691</v>
      </c>
      <c r="AK239" s="182" t="n">
        <f aca="false">AK237</f>
        <v>8211</v>
      </c>
      <c r="AL239" s="96"/>
      <c r="AM239" s="182" t="n">
        <f aca="false">AM237</f>
        <v>-2503</v>
      </c>
      <c r="AN239" s="182" t="n">
        <f aca="false">AN237</f>
        <v>-222</v>
      </c>
      <c r="AO239" s="96"/>
      <c r="AP239" s="182" t="n">
        <f aca="false">AP237</f>
        <v>-2275</v>
      </c>
      <c r="AQ239" s="182" t="n">
        <f aca="false">AQ237</f>
        <v>-222</v>
      </c>
      <c r="AR239" s="96"/>
      <c r="AS239" s="96"/>
      <c r="AT239" s="96"/>
      <c r="AU239" s="96"/>
    </row>
    <row r="240" customFormat="false" ht="12.75" hidden="false" customHeight="true" outlineLevel="0" collapsed="false">
      <c r="A240" s="165"/>
      <c r="B240" s="165"/>
      <c r="C240" s="165"/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96"/>
      <c r="W240" s="96"/>
      <c r="X240" s="96"/>
      <c r="Y240" s="96"/>
      <c r="Z240" s="96"/>
      <c r="AA240" s="93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</row>
    <row r="241" customFormat="false" ht="12.75" hidden="false" customHeight="true" outlineLevel="0" collapsed="false">
      <c r="A241" s="183" t="str">
        <f aca="false">A107</f>
        <v>      CHECK #</v>
      </c>
      <c r="B241" s="165"/>
      <c r="C241" s="165"/>
      <c r="D241" s="151" t="n">
        <f aca="false">D138-D239</f>
        <v>0</v>
      </c>
      <c r="E241" s="151" t="n">
        <f aca="false">E138-E239</f>
        <v>0</v>
      </c>
      <c r="F241" s="151" t="n">
        <f aca="false">F138-F239</f>
        <v>0</v>
      </c>
      <c r="G241" s="151" t="n">
        <f aca="false">G138-G239</f>
        <v>0</v>
      </c>
      <c r="H241" s="151" t="n">
        <f aca="false">H138-H239</f>
        <v>0</v>
      </c>
      <c r="I241" s="151" t="n">
        <f aca="false">I138-I239</f>
        <v>0</v>
      </c>
      <c r="J241" s="151" t="n">
        <f aca="false">J138-J239</f>
        <v>0</v>
      </c>
      <c r="K241" s="151" t="n">
        <f aca="false">K138-K239</f>
        <v>0</v>
      </c>
      <c r="L241" s="151" t="n">
        <f aca="false">L138-L239</f>
        <v>0</v>
      </c>
      <c r="M241" s="151" t="n">
        <f aca="false">M138-M239</f>
        <v>0</v>
      </c>
      <c r="N241" s="151" t="n">
        <f aca="false">N138-N239</f>
        <v>0</v>
      </c>
      <c r="O241" s="151" t="n">
        <f aca="false">O138-O239</f>
        <v>0</v>
      </c>
      <c r="P241" s="151" t="n">
        <f aca="false">P138-P239</f>
        <v>0</v>
      </c>
      <c r="Q241" s="151" t="n">
        <f aca="false">Q138-Q239</f>
        <v>0</v>
      </c>
      <c r="R241" s="151" t="n">
        <f aca="false">R138-R239</f>
        <v>0</v>
      </c>
      <c r="S241" s="178"/>
      <c r="T241" s="151" t="n">
        <f aca="false">T138-T239</f>
        <v>0</v>
      </c>
      <c r="U241" s="151" t="n">
        <f aca="false">U138-U239</f>
        <v>0</v>
      </c>
      <c r="V241" s="151" t="n">
        <f aca="false">V138-V239</f>
        <v>0</v>
      </c>
      <c r="W241" s="151"/>
      <c r="X241" s="151"/>
      <c r="Y241" s="151"/>
      <c r="Z241" s="151"/>
      <c r="AA241" s="184" t="str">
        <f aca="false">A241</f>
        <v>      CHECK #</v>
      </c>
      <c r="AB241" s="151" t="n">
        <f aca="false">AB138-AB239</f>
        <v>0</v>
      </c>
      <c r="AC241" s="151" t="n">
        <f aca="false">AC138-AC239</f>
        <v>0</v>
      </c>
      <c r="AD241" s="151" t="n">
        <f aca="false">AD138-AD239</f>
        <v>0</v>
      </c>
      <c r="AE241" s="151"/>
      <c r="AF241" s="151" t="n">
        <f aca="false">AF138-AF239</f>
        <v>0</v>
      </c>
      <c r="AG241" s="151" t="n">
        <f aca="false">AG138-AG239</f>
        <v>0</v>
      </c>
      <c r="AH241" s="151" t="n">
        <f aca="false">AH138-AH239</f>
        <v>0</v>
      </c>
      <c r="AI241" s="151"/>
      <c r="AJ241" s="151" t="n">
        <f aca="false">AJ138-AJ239</f>
        <v>0</v>
      </c>
      <c r="AK241" s="151" t="n">
        <f aca="false">AK138-AK239</f>
        <v>0</v>
      </c>
      <c r="AL241" s="151"/>
      <c r="AM241" s="151" t="n">
        <f aca="false">AM138-AM239</f>
        <v>0</v>
      </c>
      <c r="AN241" s="151" t="n">
        <f aca="false">AN138-AN239</f>
        <v>0</v>
      </c>
      <c r="AO241" s="151"/>
      <c r="AP241" s="151" t="n">
        <f aca="false">AP138-AP239</f>
        <v>0</v>
      </c>
      <c r="AQ241" s="151" t="n">
        <f aca="false">AQ138-AQ239</f>
        <v>0</v>
      </c>
      <c r="AR241" s="151"/>
      <c r="AS241" s="96"/>
      <c r="AT241" s="96"/>
      <c r="AU241" s="96"/>
    </row>
    <row r="242" customFormat="false" ht="6" hidden="false" customHeight="true" outlineLevel="0" collapsed="false">
      <c r="A242" s="164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96"/>
      <c r="W242" s="96"/>
      <c r="X242" s="96"/>
      <c r="Y242" s="96"/>
      <c r="Z242" s="96"/>
      <c r="AA242" s="93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</row>
    <row r="243" customFormat="false" ht="12.75" hidden="false" customHeight="true" outlineLevel="0" collapsed="false">
      <c r="A243" s="150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3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</row>
    <row r="244" customFormat="false" ht="14.65" hidden="false" customHeight="false" outlineLevel="0" collapsed="false">
      <c r="A244" s="97" t="str">
        <f aca="false">A1</f>
        <v>'file:///mnt/12tb/@roms/datasets/enron/EDRM Enron Email Data Set v2 XML/filtered-attachments/xls/TW3rdCECF.xls'#$BACKUP</v>
      </c>
      <c r="B244" s="93"/>
      <c r="C244" s="93"/>
      <c r="D244" s="93"/>
      <c r="E244" s="93"/>
      <c r="F244" s="93"/>
      <c r="G244" s="93"/>
      <c r="H244" s="0"/>
      <c r="I244" s="98" t="str">
        <f aca="false">I1</f>
        <v>TRANSWESTERN PIPELINE GROUP (Including Co. 92)</v>
      </c>
      <c r="J244" s="98"/>
      <c r="K244" s="98"/>
      <c r="L244" s="98"/>
      <c r="M244" s="93"/>
      <c r="N244" s="93"/>
      <c r="O244" s="93"/>
      <c r="P244" s="93"/>
      <c r="Q244" s="93"/>
      <c r="R244" s="93"/>
      <c r="S244" s="93"/>
      <c r="T244" s="99"/>
      <c r="U244" s="95" t="n">
        <f aca="true">NOW()</f>
        <v>45926.958432586</v>
      </c>
      <c r="V244" s="96"/>
      <c r="W244" s="96"/>
      <c r="X244" s="96"/>
      <c r="Y244" s="96"/>
      <c r="Z244" s="96"/>
      <c r="AA244" s="93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</row>
    <row r="245" customFormat="false" ht="14.65" hidden="false" customHeight="false" outlineLevel="0" collapsed="false">
      <c r="A245" s="100" t="s">
        <v>558</v>
      </c>
      <c r="B245" s="93"/>
      <c r="C245" s="93"/>
      <c r="D245" s="93"/>
      <c r="E245" s="93"/>
      <c r="F245" s="93"/>
      <c r="G245" s="93"/>
      <c r="H245" s="0"/>
      <c r="I245" s="98" t="str">
        <f aca="false">I2</f>
        <v>CASH FLOW STATEMENT</v>
      </c>
      <c r="J245" s="98"/>
      <c r="K245" s="98"/>
      <c r="L245" s="98"/>
      <c r="M245" s="93"/>
      <c r="N245" s="93"/>
      <c r="O245" s="93"/>
      <c r="P245" s="93"/>
      <c r="Q245" s="93"/>
      <c r="R245" s="93"/>
      <c r="S245" s="93"/>
      <c r="T245" s="103"/>
      <c r="U245" s="102" t="n">
        <f aca="true">NOW()</f>
        <v>45926.958432586</v>
      </c>
      <c r="V245" s="96"/>
      <c r="W245" s="96"/>
      <c r="X245" s="96"/>
      <c r="Y245" s="96"/>
      <c r="Z245" s="96"/>
      <c r="AA245" s="93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</row>
    <row r="246" customFormat="false" ht="14.65" hidden="false" customHeight="false" outlineLevel="0" collapsed="false">
      <c r="A246" s="93"/>
      <c r="B246" s="93"/>
      <c r="C246" s="93"/>
      <c r="D246" s="93"/>
      <c r="E246" s="93"/>
      <c r="F246" s="93"/>
      <c r="G246" s="93"/>
      <c r="H246" s="0"/>
      <c r="I246" s="98" t="str">
        <f aca="false">I3</f>
        <v>2001 ACTUAL / ESTIMATE</v>
      </c>
      <c r="J246" s="98"/>
      <c r="K246" s="98"/>
      <c r="L246" s="98"/>
      <c r="M246" s="93"/>
      <c r="N246" s="93"/>
      <c r="O246" s="93"/>
      <c r="P246" s="93"/>
      <c r="Q246" s="93"/>
      <c r="R246" s="93"/>
      <c r="S246" s="93"/>
      <c r="T246" s="93"/>
      <c r="U246" s="93"/>
      <c r="V246" s="96"/>
      <c r="W246" s="96"/>
      <c r="X246" s="96"/>
      <c r="Y246" s="96"/>
      <c r="Z246" s="96"/>
      <c r="AA246" s="93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</row>
    <row r="247" customFormat="false" ht="14.65" hidden="false" customHeight="false" outlineLevel="0" collapsed="false">
      <c r="A247" s="93"/>
      <c r="B247" s="93"/>
      <c r="C247" s="93"/>
      <c r="D247" s="93"/>
      <c r="E247" s="93"/>
      <c r="F247" s="93"/>
      <c r="G247" s="93"/>
      <c r="H247" s="0"/>
      <c r="I247" s="98" t="str">
        <f aca="false">I4</f>
        <v>(Thousands of Dollars)</v>
      </c>
      <c r="J247" s="98"/>
      <c r="K247" s="98"/>
      <c r="L247" s="98"/>
      <c r="M247" s="93"/>
      <c r="N247" s="93"/>
      <c r="O247" s="93"/>
      <c r="P247" s="93"/>
      <c r="Q247" s="93"/>
      <c r="R247" s="93"/>
      <c r="S247" s="93"/>
      <c r="T247" s="93"/>
      <c r="U247" s="93"/>
      <c r="V247" s="96"/>
      <c r="W247" s="96"/>
      <c r="X247" s="96"/>
      <c r="Y247" s="96"/>
      <c r="Z247" s="96"/>
      <c r="AA247" s="93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</row>
    <row r="248" customFormat="false" ht="14.65" hidden="false" customHeight="false" outlineLevel="0" collapsed="false">
      <c r="A248" s="185" t="s">
        <v>559</v>
      </c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6"/>
      <c r="W248" s="96"/>
      <c r="X248" s="96"/>
      <c r="Y248" s="96"/>
      <c r="Z248" s="96"/>
      <c r="AA248" s="93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</row>
    <row r="249" customFormat="false" ht="14.65" hidden="false" customHeight="false" outlineLevel="0" collapsed="false">
      <c r="A249" s="93"/>
      <c r="B249" s="93"/>
      <c r="C249" s="93"/>
      <c r="D249" s="93"/>
      <c r="E249" s="93"/>
      <c r="F249" s="105"/>
      <c r="G249" s="93"/>
      <c r="H249" s="93"/>
      <c r="I249" s="93"/>
      <c r="J249" s="105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6"/>
      <c r="W249" s="96"/>
      <c r="X249" s="96"/>
      <c r="Y249" s="96"/>
      <c r="Z249" s="96"/>
      <c r="AA249" s="93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</row>
    <row r="250" customFormat="false" ht="14.65" hidden="false" customHeight="false" outlineLevel="0" collapsed="false">
      <c r="A250" s="93"/>
      <c r="B250" s="93"/>
      <c r="C250" s="93"/>
      <c r="D250" s="107" t="str">
        <f aca="false">D6</f>
        <v>ACT.</v>
      </c>
      <c r="E250" s="107" t="str">
        <f aca="false">E6</f>
        <v>ACT.</v>
      </c>
      <c r="F250" s="107" t="str">
        <f aca="false">F6</f>
        <v>ACT.</v>
      </c>
      <c r="G250" s="107" t="str">
        <f aca="false">G6</f>
        <v>ACT.</v>
      </c>
      <c r="H250" s="107" t="str">
        <f aca="false">H6</f>
        <v>ACT.</v>
      </c>
      <c r="I250" s="107" t="str">
        <f aca="false">I6</f>
        <v>ACT.</v>
      </c>
      <c r="J250" s="107" t="str">
        <f aca="false">J6</f>
        <v>ACT.</v>
      </c>
      <c r="K250" s="107" t="str">
        <f aca="false">K6</f>
        <v>ACT.</v>
      </c>
      <c r="L250" s="107" t="str">
        <f aca="false">L6</f>
        <v>3rd CE</v>
      </c>
      <c r="M250" s="107" t="str">
        <f aca="false">M6</f>
        <v>3rd CE</v>
      </c>
      <c r="N250" s="107" t="str">
        <f aca="false">N6</f>
        <v>3rd CE</v>
      </c>
      <c r="O250" s="107" t="str">
        <f aca="false">O6</f>
        <v>3rd CE</v>
      </c>
      <c r="P250" s="107" t="str">
        <f aca="false">P6</f>
        <v>TOTAL</v>
      </c>
      <c r="Q250" s="107" t="str">
        <f aca="false">Q6</f>
        <v>JULY</v>
      </c>
      <c r="R250" s="107" t="str">
        <f aca="false">R6</f>
        <v>ESTIMATED</v>
      </c>
      <c r="S250" s="93"/>
      <c r="T250" s="112" t="s">
        <v>560</v>
      </c>
      <c r="U250" s="112"/>
      <c r="V250" s="96"/>
      <c r="W250" s="96"/>
      <c r="X250" s="96"/>
      <c r="Y250" s="96"/>
      <c r="Z250" s="96"/>
      <c r="AA250" s="93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</row>
    <row r="251" customFormat="false" ht="14.65" hidden="false" customHeight="false" outlineLevel="0" collapsed="false">
      <c r="A251" s="93"/>
      <c r="B251" s="93"/>
      <c r="C251" s="93"/>
      <c r="D251" s="118" t="str">
        <f aca="false">D7</f>
        <v>JAN</v>
      </c>
      <c r="E251" s="118" t="str">
        <f aca="false">E7</f>
        <v>FEB</v>
      </c>
      <c r="F251" s="118" t="str">
        <f aca="false">F7</f>
        <v>MAR</v>
      </c>
      <c r="G251" s="118" t="str">
        <f aca="false">G7</f>
        <v>APR</v>
      </c>
      <c r="H251" s="118" t="str">
        <f aca="false">H7</f>
        <v>MAY</v>
      </c>
      <c r="I251" s="118" t="str">
        <f aca="false">I7</f>
        <v>JUN</v>
      </c>
      <c r="J251" s="118" t="str">
        <f aca="false">J7</f>
        <v>JUL</v>
      </c>
      <c r="K251" s="118" t="str">
        <f aca="false">K7</f>
        <v>AUG</v>
      </c>
      <c r="L251" s="118" t="str">
        <f aca="false">L7</f>
        <v>SEP</v>
      </c>
      <c r="M251" s="118" t="str">
        <f aca="false">M7</f>
        <v>OCT</v>
      </c>
      <c r="N251" s="118" t="str">
        <f aca="false">N7</f>
        <v>NOV</v>
      </c>
      <c r="O251" s="118" t="str">
        <f aca="false">O7</f>
        <v>DEC</v>
      </c>
      <c r="P251" s="118" t="n">
        <f aca="false">P7</f>
        <v>2001</v>
      </c>
      <c r="Q251" s="118" t="str">
        <f aca="false">Q7</f>
        <v>Y-T-D</v>
      </c>
      <c r="R251" s="118" t="str">
        <f aca="false">R7</f>
        <v>R.M.</v>
      </c>
      <c r="S251" s="93"/>
      <c r="T251" s="186" t="s">
        <v>432</v>
      </c>
      <c r="U251" s="186" t="s">
        <v>4</v>
      </c>
      <c r="V251" s="96"/>
      <c r="W251" s="96"/>
      <c r="X251" s="96"/>
      <c r="Y251" s="96"/>
      <c r="Z251" s="96"/>
      <c r="AA251" s="93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</row>
    <row r="252" customFormat="false" ht="6" hidden="false" customHeight="true" outlineLevel="0" collapsed="false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3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</row>
    <row r="253" customFormat="false" ht="14.65" hidden="false" customHeight="false" outlineLevel="0" collapsed="false">
      <c r="A253" s="187" t="str">
        <f aca="false">BACKUP!A13</f>
        <v>Cash / Temporary Cash Investments - End. Bal.</v>
      </c>
      <c r="B253" s="96"/>
      <c r="C253" s="96"/>
      <c r="D253" s="122" t="n">
        <f aca="false">BACKUP!D13</f>
        <v>4</v>
      </c>
      <c r="E253" s="122" t="n">
        <f aca="false">BACKUP!E13</f>
        <v>4</v>
      </c>
      <c r="F253" s="122" t="n">
        <f aca="false">BACKUP!F13</f>
        <v>4</v>
      </c>
      <c r="G253" s="122" t="n">
        <f aca="false">BACKUP!G13</f>
        <v>4</v>
      </c>
      <c r="H253" s="122" t="n">
        <f aca="false">BACKUP!H13</f>
        <v>4</v>
      </c>
      <c r="I253" s="122" t="n">
        <f aca="false">BACKUP!I13</f>
        <v>4</v>
      </c>
      <c r="J253" s="122" t="n">
        <f aca="false">BACKUP!J13</f>
        <v>3</v>
      </c>
      <c r="K253" s="122" t="n">
        <f aca="false">BACKUP!K13</f>
        <v>3</v>
      </c>
      <c r="L253" s="122" t="n">
        <f aca="false">BACKUP!L13</f>
        <v>3</v>
      </c>
      <c r="M253" s="122" t="n">
        <f aca="false">BACKUP!M13</f>
        <v>3</v>
      </c>
      <c r="N253" s="122" t="n">
        <f aca="false">BACKUP!N13</f>
        <v>3</v>
      </c>
      <c r="O253" s="122" t="n">
        <f aca="false">BACKUP!O13</f>
        <v>3</v>
      </c>
      <c r="P253" s="122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3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</row>
    <row r="254" customFormat="false" ht="12" hidden="false" customHeight="true" outlineLevel="0" collapsed="false">
      <c r="A254" s="122" t="str">
        <f aca="false">BACKUP!A15</f>
        <v>      Change</v>
      </c>
      <c r="B254" s="96"/>
      <c r="C254" s="188" t="s">
        <v>561</v>
      </c>
      <c r="D254" s="122" t="n">
        <f aca="false">BACKUP!D15</f>
        <v>0</v>
      </c>
      <c r="E254" s="122" t="n">
        <f aca="false">BACKUP!E15</f>
        <v>0</v>
      </c>
      <c r="F254" s="122" t="n">
        <f aca="false">BACKUP!F15</f>
        <v>0</v>
      </c>
      <c r="G254" s="122" t="n">
        <f aca="false">BACKUP!G15</f>
        <v>0</v>
      </c>
      <c r="H254" s="122" t="n">
        <f aca="false">BACKUP!H15</f>
        <v>0</v>
      </c>
      <c r="I254" s="122" t="n">
        <f aca="false">BACKUP!I15</f>
        <v>0</v>
      </c>
      <c r="J254" s="122" t="n">
        <f aca="false">BACKUP!J15</f>
        <v>-1</v>
      </c>
      <c r="K254" s="122" t="n">
        <f aca="false">BACKUP!K15</f>
        <v>0</v>
      </c>
      <c r="L254" s="122" t="n">
        <f aca="false">BACKUP!L15</f>
        <v>0</v>
      </c>
      <c r="M254" s="122" t="n">
        <f aca="false">BACKUP!M15</f>
        <v>0</v>
      </c>
      <c r="N254" s="122" t="n">
        <f aca="false">BACKUP!N15</f>
        <v>0</v>
      </c>
      <c r="O254" s="122" t="n">
        <f aca="false">BACKUP!O15</f>
        <v>0</v>
      </c>
      <c r="P254" s="122" t="n">
        <f aca="false">SUM(D254:O254)</f>
        <v>-1</v>
      </c>
      <c r="Q254" s="123" t="n">
        <f aca="false">SUM(D254:J254)</f>
        <v>-1</v>
      </c>
      <c r="R254" s="122" t="n">
        <f aca="false">P254-Q254</f>
        <v>0</v>
      </c>
      <c r="S254" s="96"/>
      <c r="T254" s="123" t="n">
        <v>0</v>
      </c>
      <c r="U254" s="123" t="n">
        <v>0</v>
      </c>
      <c r="V254" s="96"/>
      <c r="W254" s="96"/>
      <c r="X254" s="96"/>
      <c r="Y254" s="96"/>
      <c r="Z254" s="96"/>
      <c r="AA254" s="93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</row>
    <row r="255" customFormat="false" ht="14.65" hidden="false" customHeight="false" outlineLevel="0" collapsed="false">
      <c r="A255" s="96"/>
      <c r="B255" s="96"/>
      <c r="C255" s="188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122"/>
      <c r="V255" s="96"/>
      <c r="W255" s="96"/>
      <c r="X255" s="96"/>
      <c r="Y255" s="96"/>
      <c r="Z255" s="96"/>
      <c r="AA255" s="93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</row>
    <row r="256" customFormat="false" ht="14.65" hidden="false" customHeight="false" outlineLevel="0" collapsed="false">
      <c r="A256" s="187" t="str">
        <f aca="false">BACKUP!A124</f>
        <v>Investments &amp; Other Assets - End. Balance</v>
      </c>
      <c r="B256" s="96"/>
      <c r="C256" s="188"/>
      <c r="D256" s="122" t="n">
        <f aca="false">BACKUP!D124</f>
        <v>0</v>
      </c>
      <c r="E256" s="122" t="n">
        <f aca="false">BACKUP!E124</f>
        <v>0</v>
      </c>
      <c r="F256" s="122" t="n">
        <f aca="false">BACKUP!F124</f>
        <v>0</v>
      </c>
      <c r="G256" s="122" t="n">
        <f aca="false">BACKUP!G124</f>
        <v>0</v>
      </c>
      <c r="H256" s="122" t="n">
        <f aca="false">BACKUP!H124</f>
        <v>0</v>
      </c>
      <c r="I256" s="122" t="n">
        <f aca="false">BACKUP!I124</f>
        <v>0</v>
      </c>
      <c r="J256" s="122" t="n">
        <f aca="false">BACKUP!J124</f>
        <v>0</v>
      </c>
      <c r="K256" s="122" t="n">
        <f aca="false">BACKUP!K124</f>
        <v>0</v>
      </c>
      <c r="L256" s="122" t="n">
        <f aca="false">BACKUP!L124</f>
        <v>0</v>
      </c>
      <c r="M256" s="122" t="n">
        <f aca="false">BACKUP!M124</f>
        <v>0</v>
      </c>
      <c r="N256" s="122" t="n">
        <f aca="false">BACKUP!N124</f>
        <v>0</v>
      </c>
      <c r="O256" s="122" t="n">
        <f aca="false">BACKUP!O124</f>
        <v>0</v>
      </c>
      <c r="P256" s="122"/>
      <c r="Q256" s="122"/>
      <c r="R256" s="122"/>
      <c r="S256" s="96"/>
      <c r="T256" s="122"/>
      <c r="U256" s="122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</row>
    <row r="257" customFormat="false" ht="14.65" hidden="false" customHeight="false" outlineLevel="0" collapsed="false">
      <c r="A257" s="122" t="str">
        <f aca="false">BACKUP!A126</f>
        <v>      Change</v>
      </c>
      <c r="B257" s="96"/>
      <c r="C257" s="188" t="s">
        <v>561</v>
      </c>
      <c r="D257" s="122" t="n">
        <f aca="false">BACKUP!D126</f>
        <v>0</v>
      </c>
      <c r="E257" s="122" t="n">
        <f aca="false">BACKUP!E126</f>
        <v>0</v>
      </c>
      <c r="F257" s="122" t="n">
        <f aca="false">BACKUP!F126</f>
        <v>0</v>
      </c>
      <c r="G257" s="122" t="n">
        <f aca="false">BACKUP!G126</f>
        <v>0</v>
      </c>
      <c r="H257" s="122" t="n">
        <f aca="false">BACKUP!H126</f>
        <v>0</v>
      </c>
      <c r="I257" s="122" t="n">
        <f aca="false">BACKUP!I126</f>
        <v>0</v>
      </c>
      <c r="J257" s="122" t="n">
        <f aca="false">BACKUP!J126</f>
        <v>0</v>
      </c>
      <c r="K257" s="122" t="n">
        <f aca="false">BACKUP!K126</f>
        <v>0</v>
      </c>
      <c r="L257" s="122" t="n">
        <f aca="false">BACKUP!L126</f>
        <v>0</v>
      </c>
      <c r="M257" s="122" t="n">
        <f aca="false">BACKUP!M126</f>
        <v>0</v>
      </c>
      <c r="N257" s="122" t="n">
        <f aca="false">BACKUP!N126</f>
        <v>0</v>
      </c>
      <c r="O257" s="122" t="n">
        <f aca="false">BACKUP!O126</f>
        <v>0</v>
      </c>
      <c r="P257" s="122" t="n">
        <f aca="false">SUM(D257:O257)</f>
        <v>0</v>
      </c>
      <c r="Q257" s="123" t="n">
        <f aca="false">SUM(D257:J257)</f>
        <v>0</v>
      </c>
      <c r="R257" s="122" t="n">
        <f aca="false">P257-Q257</f>
        <v>0</v>
      </c>
      <c r="S257" s="96"/>
      <c r="T257" s="123" t="n">
        <v>0</v>
      </c>
      <c r="U257" s="123" t="n">
        <v>0</v>
      </c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</row>
    <row r="258" customFormat="false" ht="14.65" hidden="false" customHeight="false" outlineLevel="0" collapsed="false">
      <c r="A258" s="96"/>
      <c r="B258" s="96"/>
      <c r="C258" s="188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122"/>
      <c r="U258" s="122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</row>
    <row r="259" customFormat="false" ht="14.65" hidden="false" customHeight="false" outlineLevel="0" collapsed="false">
      <c r="A259" s="187" t="str">
        <f aca="false">BACKUP!A129</f>
        <v>Plant - Beg. Balance</v>
      </c>
      <c r="B259" s="96"/>
      <c r="C259" s="188"/>
      <c r="D259" s="122" t="n">
        <f aca="false">BACKUP!D129</f>
        <v>987107</v>
      </c>
      <c r="E259" s="122" t="n">
        <f aca="false">BACKUP!E129</f>
        <v>987543</v>
      </c>
      <c r="F259" s="122" t="n">
        <f aca="false">BACKUP!F129</f>
        <v>986923</v>
      </c>
      <c r="G259" s="122" t="n">
        <f aca="false">BACKUP!G129</f>
        <v>987812</v>
      </c>
      <c r="H259" s="122" t="n">
        <f aca="false">BACKUP!H129</f>
        <v>990597</v>
      </c>
      <c r="I259" s="122" t="n">
        <f aca="false">BACKUP!I129</f>
        <v>1006548</v>
      </c>
      <c r="J259" s="122" t="n">
        <f aca="false">BACKUP!J129</f>
        <v>1010004</v>
      </c>
      <c r="K259" s="122" t="n">
        <f aca="false">BACKUP!K129</f>
        <v>1011084</v>
      </c>
      <c r="L259" s="122" t="n">
        <f aca="false">BACKUP!L129</f>
        <v>1012984</v>
      </c>
      <c r="M259" s="122" t="n">
        <f aca="false">BACKUP!M129</f>
        <v>1026027</v>
      </c>
      <c r="N259" s="122" t="n">
        <f aca="false">BACKUP!N129</f>
        <v>1031844</v>
      </c>
      <c r="O259" s="122" t="n">
        <f aca="false">BACKUP!O129</f>
        <v>1043696</v>
      </c>
      <c r="P259" s="122"/>
      <c r="Q259" s="122"/>
      <c r="R259" s="122"/>
      <c r="S259" s="96"/>
      <c r="T259" s="122"/>
      <c r="U259" s="122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</row>
    <row r="260" customFormat="false" ht="14.65" hidden="false" customHeight="false" outlineLevel="0" collapsed="false">
      <c r="A260" s="122" t="str">
        <f aca="false">BACKUP!A130</f>
        <v>   Capital Expend. (Rudy) - Additions to Property</v>
      </c>
      <c r="B260" s="96"/>
      <c r="C260" s="188" t="s">
        <v>562</v>
      </c>
      <c r="D260" s="122" t="n">
        <f aca="false">BACKUP!D130</f>
        <v>719</v>
      </c>
      <c r="E260" s="122" t="n">
        <f aca="false">BACKUP!E130</f>
        <v>242</v>
      </c>
      <c r="F260" s="122" t="n">
        <f aca="false">BACKUP!F130</f>
        <v>906</v>
      </c>
      <c r="G260" s="122" t="n">
        <f aca="false">BACKUP!G130</f>
        <v>1317</v>
      </c>
      <c r="H260" s="122" t="n">
        <f aca="false">BACKUP!H130</f>
        <v>1105</v>
      </c>
      <c r="I260" s="122" t="n">
        <f aca="false">BACKUP!I130</f>
        <v>3523</v>
      </c>
      <c r="J260" s="122" t="n">
        <f aca="false">BACKUP!J130</f>
        <v>1280</v>
      </c>
      <c r="K260" s="122" t="n">
        <f aca="false">BACKUP!K130</f>
        <v>1900</v>
      </c>
      <c r="L260" s="122" t="n">
        <f aca="false">BACKUP!L130</f>
        <v>9483</v>
      </c>
      <c r="M260" s="122" t="n">
        <f aca="false">BACKUP!M130</f>
        <v>5817</v>
      </c>
      <c r="N260" s="122" t="n">
        <f aca="false">BACKUP!N130</f>
        <v>11852</v>
      </c>
      <c r="O260" s="122" t="n">
        <f aca="false">BACKUP!O130</f>
        <v>11195</v>
      </c>
      <c r="P260" s="122" t="n">
        <f aca="false">SUM(D260:O260)</f>
        <v>49339</v>
      </c>
      <c r="Q260" s="123" t="n">
        <f aca="false">SUM(D260:J260)</f>
        <v>9092</v>
      </c>
      <c r="R260" s="122" t="n">
        <f aca="false">P260-Q260</f>
        <v>40247</v>
      </c>
      <c r="S260" s="96"/>
      <c r="T260" s="122"/>
      <c r="U260" s="122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</row>
    <row r="261" customFormat="false" ht="14.65" hidden="false" customHeight="false" outlineLevel="0" collapsed="false">
      <c r="A261" s="122" t="str">
        <f aca="false">BACKUP!A131</f>
        <v>         - Other CAPEX (Gas Reclass to Finished Plant)</v>
      </c>
      <c r="B261" s="96"/>
      <c r="C261" s="188" t="s">
        <v>563</v>
      </c>
      <c r="D261" s="122" t="n">
        <f aca="false">BACKUP!D131</f>
        <v>0</v>
      </c>
      <c r="E261" s="122" t="n">
        <f aca="false">BACKUP!E131</f>
        <v>0</v>
      </c>
      <c r="F261" s="122" t="n">
        <f aca="false">BACKUP!F131</f>
        <v>0</v>
      </c>
      <c r="G261" s="122" t="n">
        <f aca="false">BACKUP!G131</f>
        <v>0</v>
      </c>
      <c r="H261" s="122" t="n">
        <f aca="false">BACKUP!H131</f>
        <v>0</v>
      </c>
      <c r="I261" s="122" t="n">
        <f aca="false">BACKUP!I131</f>
        <v>0</v>
      </c>
      <c r="J261" s="122" t="n">
        <f aca="false">BACKUP!J131</f>
        <v>0</v>
      </c>
      <c r="K261" s="122" t="n">
        <f aca="false">BACKUP!K131</f>
        <v>0</v>
      </c>
      <c r="L261" s="122" t="n">
        <f aca="false">BACKUP!L131</f>
        <v>0</v>
      </c>
      <c r="M261" s="122" t="n">
        <f aca="false">BACKUP!M131</f>
        <v>0</v>
      </c>
      <c r="N261" s="122" t="n">
        <f aca="false">BACKUP!N131</f>
        <v>0</v>
      </c>
      <c r="O261" s="122" t="n">
        <f aca="false">BACKUP!O131</f>
        <v>0</v>
      </c>
      <c r="P261" s="122" t="n">
        <f aca="false">SUM(D261:O261)</f>
        <v>0</v>
      </c>
      <c r="Q261" s="123" t="n">
        <f aca="false">SUM(D261:J261)</f>
        <v>0</v>
      </c>
      <c r="R261" s="122" t="n">
        <f aca="false">P261-Q261</f>
        <v>0</v>
      </c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</row>
    <row r="262" customFormat="false" ht="14.65" hidden="false" customHeight="false" outlineLevel="0" collapsed="false">
      <c r="A262" s="122" t="str">
        <f aca="false">BACKUP!A132</f>
        <v>         - Yr. End Accrual Activity / Add. O&amp;M Capitalization</v>
      </c>
      <c r="B262" s="96"/>
      <c r="C262" s="188" t="s">
        <v>562</v>
      </c>
      <c r="D262" s="122" t="n">
        <f aca="false">BACKUP!D132</f>
        <v>-353</v>
      </c>
      <c r="E262" s="122" t="n">
        <f aca="false">BACKUP!E132</f>
        <v>0</v>
      </c>
      <c r="F262" s="122" t="n">
        <f aca="false">BACKUP!F132</f>
        <v>0</v>
      </c>
      <c r="G262" s="122" t="n">
        <f aca="false">BACKUP!G132</f>
        <v>0</v>
      </c>
      <c r="H262" s="122" t="n">
        <f aca="false">BACKUP!H132</f>
        <v>0</v>
      </c>
      <c r="I262" s="122" t="n">
        <f aca="false">BACKUP!I132</f>
        <v>0</v>
      </c>
      <c r="J262" s="122" t="n">
        <f aca="false">BACKUP!J132</f>
        <v>0</v>
      </c>
      <c r="K262" s="122" t="n">
        <f aca="false">BACKUP!K132</f>
        <v>0</v>
      </c>
      <c r="L262" s="122" t="n">
        <f aca="false">BACKUP!L132</f>
        <v>0</v>
      </c>
      <c r="M262" s="122" t="n">
        <f aca="false">BACKUP!M132</f>
        <v>0</v>
      </c>
      <c r="N262" s="122" t="n">
        <f aca="false">BACKUP!N132</f>
        <v>0</v>
      </c>
      <c r="O262" s="122" t="n">
        <f aca="false">BACKUP!O132</f>
        <v>353</v>
      </c>
      <c r="P262" s="122" t="n">
        <f aca="false">SUM(D262:O262)</f>
        <v>0</v>
      </c>
      <c r="Q262" s="123" t="n">
        <f aca="false">SUM(D262:J262)</f>
        <v>-353</v>
      </c>
      <c r="R262" s="122" t="n">
        <f aca="false">P262-Q262</f>
        <v>353</v>
      </c>
      <c r="S262" s="96"/>
      <c r="T262" s="96"/>
      <c r="U262" s="122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</row>
    <row r="263" customFormat="false" ht="14.65" hidden="false" customHeight="false" outlineLevel="0" collapsed="false">
      <c r="A263" s="122" t="str">
        <f aca="false">BACKUP!A133</f>
        <v>         - Laguna (Nov.) &amp; Navajo (May) ROW Settlements</v>
      </c>
      <c r="B263" s="96"/>
      <c r="C263" s="188" t="s">
        <v>562</v>
      </c>
      <c r="D263" s="122" t="n">
        <f aca="false">BACKUP!D133</f>
        <v>0</v>
      </c>
      <c r="E263" s="122" t="n">
        <f aca="false">BACKUP!E133</f>
        <v>0</v>
      </c>
      <c r="F263" s="122" t="n">
        <f aca="false">BACKUP!F133</f>
        <v>0</v>
      </c>
      <c r="G263" s="122" t="n">
        <f aca="false">BACKUP!G133</f>
        <v>0</v>
      </c>
      <c r="H263" s="122" t="n">
        <f aca="false">BACKUP!H133</f>
        <v>15000</v>
      </c>
      <c r="I263" s="122" t="n">
        <f aca="false">BACKUP!I133</f>
        <v>0</v>
      </c>
      <c r="J263" s="122" t="n">
        <f aca="false">BACKUP!J133</f>
        <v>0</v>
      </c>
      <c r="K263" s="122" t="n">
        <f aca="false">BACKUP!K133</f>
        <v>0</v>
      </c>
      <c r="L263" s="122" t="n">
        <f aca="false">BACKUP!L133</f>
        <v>3560</v>
      </c>
      <c r="M263" s="122" t="n">
        <f aca="false">BACKUP!M133</f>
        <v>0</v>
      </c>
      <c r="N263" s="122" t="n">
        <f aca="false">BACKUP!N133</f>
        <v>0</v>
      </c>
      <c r="O263" s="122" t="n">
        <f aca="false">BACKUP!O133</f>
        <v>0</v>
      </c>
      <c r="P263" s="122" t="n">
        <f aca="false">SUM(D263:O263)</f>
        <v>18560</v>
      </c>
      <c r="Q263" s="123" t="n">
        <f aca="false">SUM(D263:J263)</f>
        <v>15000</v>
      </c>
      <c r="R263" s="122" t="n">
        <f aca="false">P263-Q263</f>
        <v>3560</v>
      </c>
      <c r="S263" s="96"/>
      <c r="T263" s="96"/>
      <c r="U263" s="122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</row>
    <row r="264" customFormat="false" ht="14.65" hidden="false" customHeight="false" outlineLevel="0" collapsed="false">
      <c r="A264" s="122" t="str">
        <f aca="false">BACKUP!A134</f>
        <v>   AFUDC</v>
      </c>
      <c r="B264" s="96"/>
      <c r="C264" s="188" t="s">
        <v>561</v>
      </c>
      <c r="D264" s="122" t="n">
        <f aca="false">BACKUP!D134</f>
        <v>0</v>
      </c>
      <c r="E264" s="122" t="n">
        <f aca="false">BACKUP!E134</f>
        <v>0</v>
      </c>
      <c r="F264" s="122" t="n">
        <f aca="false">BACKUP!F134</f>
        <v>0</v>
      </c>
      <c r="G264" s="122" t="n">
        <f aca="false">BACKUP!G134</f>
        <v>0</v>
      </c>
      <c r="H264" s="122" t="n">
        <f aca="false">BACKUP!H134</f>
        <v>0</v>
      </c>
      <c r="I264" s="122" t="n">
        <f aca="false">BACKUP!I134</f>
        <v>0</v>
      </c>
      <c r="J264" s="122" t="n">
        <f aca="false">BACKUP!J134</f>
        <v>0</v>
      </c>
      <c r="K264" s="122" t="n">
        <f aca="false">BACKUP!K134</f>
        <v>0</v>
      </c>
      <c r="L264" s="122" t="n">
        <f aca="false">BACKUP!L134</f>
        <v>0</v>
      </c>
      <c r="M264" s="122" t="n">
        <f aca="false">BACKUP!M134</f>
        <v>0</v>
      </c>
      <c r="N264" s="122" t="n">
        <f aca="false">BACKUP!N134</f>
        <v>0</v>
      </c>
      <c r="O264" s="122" t="n">
        <f aca="false">BACKUP!O134</f>
        <v>0</v>
      </c>
      <c r="P264" s="122" t="n">
        <f aca="false">SUM(D264:O264)</f>
        <v>0</v>
      </c>
      <c r="Q264" s="123" t="n">
        <f aca="false">SUM(D264:J264)</f>
        <v>0</v>
      </c>
      <c r="R264" s="122" t="n">
        <f aca="false">P264-Q264</f>
        <v>0</v>
      </c>
      <c r="S264" s="96"/>
      <c r="T264" s="123"/>
      <c r="U264" s="123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</row>
    <row r="265" customFormat="false" ht="14.65" hidden="false" customHeight="false" outlineLevel="0" collapsed="false">
      <c r="A265" s="122" t="str">
        <f aca="false">BACKUP!A135</f>
        <v>   Asset Sales - Net Plant (KN Energy #1)</v>
      </c>
      <c r="B265" s="96"/>
      <c r="C265" s="188" t="s">
        <v>564</v>
      </c>
      <c r="D265" s="122" t="n">
        <f aca="false">BACKUP!D135</f>
        <v>0</v>
      </c>
      <c r="E265" s="122" t="n">
        <f aca="false">BACKUP!E135</f>
        <v>0</v>
      </c>
      <c r="F265" s="122" t="n">
        <f aca="false">BACKUP!F135</f>
        <v>0</v>
      </c>
      <c r="G265" s="122" t="n">
        <f aca="false">BACKUP!G135</f>
        <v>0</v>
      </c>
      <c r="H265" s="122" t="n">
        <f aca="false">BACKUP!H135</f>
        <v>0</v>
      </c>
      <c r="I265" s="122" t="n">
        <f aca="false">BACKUP!I135</f>
        <v>0</v>
      </c>
      <c r="J265" s="122" t="n">
        <f aca="false">BACKUP!J135</f>
        <v>0</v>
      </c>
      <c r="K265" s="122" t="n">
        <f aca="false">BACKUP!K135</f>
        <v>0</v>
      </c>
      <c r="L265" s="122" t="n">
        <f aca="false">BACKUP!L135</f>
        <v>0</v>
      </c>
      <c r="M265" s="122" t="n">
        <f aca="false">BACKUP!M135</f>
        <v>0</v>
      </c>
      <c r="N265" s="122" t="n">
        <f aca="false">BACKUP!N135</f>
        <v>0</v>
      </c>
      <c r="O265" s="122" t="n">
        <f aca="false">BACKUP!O135</f>
        <v>0</v>
      </c>
      <c r="P265" s="122" t="n">
        <f aca="false">SUM(D265:O265)</f>
        <v>0</v>
      </c>
      <c r="Q265" s="123" t="n">
        <f aca="false">SUM(D265:J265)</f>
        <v>0</v>
      </c>
      <c r="R265" s="122" t="n">
        <f aca="false">P265-Q265</f>
        <v>0</v>
      </c>
      <c r="S265" s="96"/>
      <c r="T265" s="96"/>
      <c r="U265" s="122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</row>
    <row r="266" customFormat="false" ht="14.65" hidden="false" customHeight="false" outlineLevel="0" collapsed="false">
      <c r="A266" s="122" t="str">
        <f aca="false">BACKUP!A136</f>
        <v>                      - Net Plant (KN Energy #2)</v>
      </c>
      <c r="B266" s="96"/>
      <c r="C266" s="188" t="s">
        <v>564</v>
      </c>
      <c r="D266" s="122" t="n">
        <f aca="false">BACKUP!D136</f>
        <v>0</v>
      </c>
      <c r="E266" s="122" t="n">
        <f aca="false">BACKUP!E136</f>
        <v>0</v>
      </c>
      <c r="F266" s="122" t="n">
        <f aca="false">BACKUP!F136</f>
        <v>0</v>
      </c>
      <c r="G266" s="122" t="n">
        <f aca="false">BACKUP!G136</f>
        <v>0</v>
      </c>
      <c r="H266" s="122" t="n">
        <f aca="false">BACKUP!H136</f>
        <v>0</v>
      </c>
      <c r="I266" s="122" t="n">
        <f aca="false">BACKUP!I136</f>
        <v>0</v>
      </c>
      <c r="J266" s="122" t="n">
        <f aca="false">BACKUP!J136</f>
        <v>0</v>
      </c>
      <c r="K266" s="122" t="n">
        <f aca="false">BACKUP!K136</f>
        <v>0</v>
      </c>
      <c r="L266" s="122" t="n">
        <f aca="false">BACKUP!L136</f>
        <v>0</v>
      </c>
      <c r="M266" s="122" t="n">
        <f aca="false">BACKUP!M136</f>
        <v>0</v>
      </c>
      <c r="N266" s="122" t="n">
        <f aca="false">BACKUP!N136</f>
        <v>0</v>
      </c>
      <c r="O266" s="122" t="n">
        <f aca="false">BACKUP!O136</f>
        <v>0</v>
      </c>
      <c r="P266" s="122" t="n">
        <f aca="false">SUM(D266:O266)</f>
        <v>0</v>
      </c>
      <c r="Q266" s="123" t="n">
        <f aca="false">SUM(D266:J266)</f>
        <v>0</v>
      </c>
      <c r="R266" s="122" t="n">
        <f aca="false">P266-Q266</f>
        <v>0</v>
      </c>
      <c r="S266" s="96"/>
      <c r="T266" s="96"/>
      <c r="U266" s="122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</row>
    <row r="267" customFormat="false" ht="14.65" hidden="false" customHeight="false" outlineLevel="0" collapsed="false">
      <c r="A267" s="122" t="str">
        <f aca="false">BACKUP!A137</f>
        <v>   Plant / Reserve Adjustments</v>
      </c>
      <c r="B267" s="96"/>
      <c r="C267" s="188" t="s">
        <v>561</v>
      </c>
      <c r="D267" s="122" t="n">
        <f aca="false">BACKUP!D137</f>
        <v>0</v>
      </c>
      <c r="E267" s="122" t="n">
        <f aca="false">BACKUP!E137</f>
        <v>0</v>
      </c>
      <c r="F267" s="122" t="n">
        <f aca="false">BACKUP!F137</f>
        <v>0</v>
      </c>
      <c r="G267" s="122" t="n">
        <f aca="false">BACKUP!G137</f>
        <v>0</v>
      </c>
      <c r="H267" s="122" t="n">
        <f aca="false">BACKUP!H137</f>
        <v>0</v>
      </c>
      <c r="I267" s="122" t="n">
        <f aca="false">BACKUP!I137</f>
        <v>0</v>
      </c>
      <c r="J267" s="122" t="n">
        <f aca="false">BACKUP!J137</f>
        <v>0</v>
      </c>
      <c r="K267" s="122" t="n">
        <f aca="false">BACKUP!K137</f>
        <v>0</v>
      </c>
      <c r="L267" s="122" t="n">
        <f aca="false">BACKUP!L137</f>
        <v>0</v>
      </c>
      <c r="M267" s="122" t="n">
        <f aca="false">BACKUP!M137</f>
        <v>0</v>
      </c>
      <c r="N267" s="122" t="n">
        <f aca="false">BACKUP!N137</f>
        <v>0</v>
      </c>
      <c r="O267" s="122" t="n">
        <f aca="false">BACKUP!O137</f>
        <v>0</v>
      </c>
      <c r="P267" s="122" t="n">
        <f aca="false">SUM(D267:O267)</f>
        <v>0</v>
      </c>
      <c r="Q267" s="123" t="n">
        <f aca="false">SUM(D267:J267)</f>
        <v>0</v>
      </c>
      <c r="R267" s="122" t="n">
        <f aca="false">P267-Q267</f>
        <v>0</v>
      </c>
      <c r="S267" s="96"/>
      <c r="T267" s="96"/>
      <c r="U267" s="122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</row>
    <row r="268" customFormat="false" ht="14.65" hidden="false" customHeight="false" outlineLevel="0" collapsed="false">
      <c r="A268" s="122" t="str">
        <f aca="false">BACKUP!A138</f>
        <v>   Linepack Revaluation vs. Other CAPEX (3/98 Forward)</v>
      </c>
      <c r="B268" s="96"/>
      <c r="C268" s="188" t="s">
        <v>563</v>
      </c>
      <c r="D268" s="122" t="n">
        <f aca="false">BACKUP!D138</f>
        <v>70</v>
      </c>
      <c r="E268" s="122" t="n">
        <f aca="false">BACKUP!E138</f>
        <v>-862</v>
      </c>
      <c r="F268" s="122" t="n">
        <f aca="false">BACKUP!F138</f>
        <v>-17</v>
      </c>
      <c r="G268" s="122" t="n">
        <f aca="false">BACKUP!G138</f>
        <v>1468</v>
      </c>
      <c r="H268" s="122" t="n">
        <f aca="false">BACKUP!H138</f>
        <v>-154</v>
      </c>
      <c r="I268" s="122" t="n">
        <f aca="false">BACKUP!I138</f>
        <v>-67</v>
      </c>
      <c r="J268" s="122" t="n">
        <f aca="false">BACKUP!J138</f>
        <v>-200</v>
      </c>
      <c r="K268" s="122" t="n">
        <f aca="false">BACKUP!K138</f>
        <v>0</v>
      </c>
      <c r="L268" s="122" t="n">
        <f aca="false">BACKUP!L138</f>
        <v>0</v>
      </c>
      <c r="M268" s="122" t="n">
        <f aca="false">BACKUP!M138</f>
        <v>0</v>
      </c>
      <c r="N268" s="122" t="n">
        <f aca="false">BACKUP!N138</f>
        <v>0</v>
      </c>
      <c r="O268" s="122" t="n">
        <f aca="false">BACKUP!O138</f>
        <v>0</v>
      </c>
      <c r="P268" s="122" t="n">
        <f aca="false">SUM(D268:O268)</f>
        <v>238</v>
      </c>
      <c r="Q268" s="123" t="n">
        <f aca="false">SUM(D268:J268)</f>
        <v>238</v>
      </c>
      <c r="R268" s="122" t="n">
        <f aca="false">P268-Q268</f>
        <v>0</v>
      </c>
      <c r="S268" s="96"/>
      <c r="T268" s="123" t="n">
        <v>0</v>
      </c>
      <c r="U268" s="123" t="n">
        <v>0</v>
      </c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</row>
    <row r="269" customFormat="false" ht="14.65" hidden="false" customHeight="false" outlineLevel="0" collapsed="false">
      <c r="A269" s="122" t="str">
        <f aca="false">BACKUP!A139</f>
        <v>   Retirements at Cost (Was 12/00 Compressors)</v>
      </c>
      <c r="B269" s="96"/>
      <c r="C269" s="188" t="s">
        <v>561</v>
      </c>
      <c r="D269" s="122" t="n">
        <f aca="false">BACKUP!D139</f>
        <v>0</v>
      </c>
      <c r="E269" s="122" t="n">
        <f aca="false">BACKUP!E139</f>
        <v>0</v>
      </c>
      <c r="F269" s="122" t="n">
        <f aca="false">BACKUP!F139</f>
        <v>0</v>
      </c>
      <c r="G269" s="122" t="n">
        <f aca="false">BACKUP!G139</f>
        <v>0</v>
      </c>
      <c r="H269" s="122" t="n">
        <f aca="false">BACKUP!H139</f>
        <v>0</v>
      </c>
      <c r="I269" s="122" t="n">
        <f aca="false">BACKUP!I139</f>
        <v>0</v>
      </c>
      <c r="J269" s="122" t="n">
        <f aca="false">BACKUP!J139</f>
        <v>0</v>
      </c>
      <c r="K269" s="122" t="n">
        <f aca="false">BACKUP!K139</f>
        <v>0</v>
      </c>
      <c r="L269" s="122" t="n">
        <f aca="false">BACKUP!L139</f>
        <v>0</v>
      </c>
      <c r="M269" s="122" t="n">
        <f aca="false">BACKUP!M139</f>
        <v>0</v>
      </c>
      <c r="N269" s="122" t="n">
        <f aca="false">BACKUP!N139</f>
        <v>0</v>
      </c>
      <c r="O269" s="122" t="n">
        <f aca="false">BACKUP!O139</f>
        <v>0</v>
      </c>
      <c r="P269" s="122" t="n">
        <f aca="false">SUM(D269:O269)</f>
        <v>0</v>
      </c>
      <c r="Q269" s="123" t="n">
        <f aca="false">SUM(D269:J269)</f>
        <v>0</v>
      </c>
      <c r="R269" s="122" t="n">
        <f aca="false">P269-Q269</f>
        <v>0</v>
      </c>
      <c r="S269" s="96"/>
      <c r="T269" s="96"/>
      <c r="U269" s="122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</row>
    <row r="270" customFormat="false" ht="14.65" hidden="false" customHeight="false" outlineLevel="0" collapsed="false">
      <c r="A270" s="122" t="str">
        <f aca="false">BACKUP!A140</f>
        <v>   Actual / Estimate Adjustment</v>
      </c>
      <c r="B270" s="96"/>
      <c r="C270" s="188" t="s">
        <v>565</v>
      </c>
      <c r="D270" s="135" t="n">
        <f aca="false">BACKUP!D140</f>
        <v>0</v>
      </c>
      <c r="E270" s="135" t="n">
        <f aca="false">BACKUP!E140</f>
        <v>0</v>
      </c>
      <c r="F270" s="135" t="n">
        <f aca="false">BACKUP!F140</f>
        <v>0</v>
      </c>
      <c r="G270" s="135" t="n">
        <f aca="false">BACKUP!G140</f>
        <v>0</v>
      </c>
      <c r="H270" s="135" t="n">
        <f aca="false">BACKUP!H140</f>
        <v>0</v>
      </c>
      <c r="I270" s="135" t="n">
        <f aca="false">BACKUP!I140</f>
        <v>0</v>
      </c>
      <c r="J270" s="135" t="n">
        <f aca="false">BACKUP!J140</f>
        <v>0</v>
      </c>
      <c r="K270" s="135" t="n">
        <f aca="false">BACKUP!K140</f>
        <v>0</v>
      </c>
      <c r="L270" s="135" t="n">
        <f aca="false">BACKUP!L140</f>
        <v>0</v>
      </c>
      <c r="M270" s="135" t="n">
        <f aca="false">BACKUP!M140</f>
        <v>0</v>
      </c>
      <c r="N270" s="135" t="n">
        <f aca="false">BACKUP!N140</f>
        <v>0</v>
      </c>
      <c r="O270" s="135" t="n">
        <f aca="false">BACKUP!O140</f>
        <v>0</v>
      </c>
      <c r="P270" s="122" t="n">
        <f aca="false">SUM(D263:O263)</f>
        <v>18560</v>
      </c>
      <c r="Q270" s="123" t="n">
        <f aca="false">SUM(D270:J270)</f>
        <v>0</v>
      </c>
      <c r="R270" s="122" t="n">
        <f aca="false">P270-Q270</f>
        <v>18560</v>
      </c>
      <c r="S270" s="96"/>
      <c r="T270" s="122"/>
      <c r="U270" s="122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</row>
    <row r="271" customFormat="false" ht="3.95" hidden="false" customHeight="true" outlineLevel="0" collapsed="false">
      <c r="A271" s="96"/>
      <c r="B271" s="96"/>
      <c r="C271" s="188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96"/>
      <c r="T271" s="122"/>
      <c r="U271" s="122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</row>
    <row r="272" customFormat="false" ht="14.65" hidden="false" customHeight="false" outlineLevel="0" collapsed="false">
      <c r="A272" s="145" t="str">
        <f aca="false">BACKUP!A142</f>
        <v>Plant - End. Balance</v>
      </c>
      <c r="B272" s="96"/>
      <c r="C272" s="188"/>
      <c r="D272" s="135" t="n">
        <f aca="false">BACKUP!D142</f>
        <v>987543</v>
      </c>
      <c r="E272" s="135" t="n">
        <f aca="false">BACKUP!E142</f>
        <v>986923</v>
      </c>
      <c r="F272" s="135" t="n">
        <f aca="false">BACKUP!F142</f>
        <v>987812</v>
      </c>
      <c r="G272" s="135" t="n">
        <f aca="false">BACKUP!G142</f>
        <v>990597</v>
      </c>
      <c r="H272" s="135" t="n">
        <f aca="false">BACKUP!H142</f>
        <v>1006548</v>
      </c>
      <c r="I272" s="135" t="n">
        <f aca="false">BACKUP!I142</f>
        <v>1010004</v>
      </c>
      <c r="J272" s="135" t="n">
        <f aca="false">BACKUP!J142</f>
        <v>1011084</v>
      </c>
      <c r="K272" s="135" t="n">
        <f aca="false">BACKUP!K142</f>
        <v>1012984</v>
      </c>
      <c r="L272" s="135" t="n">
        <f aca="false">BACKUP!L142</f>
        <v>1026027</v>
      </c>
      <c r="M272" s="135" t="n">
        <f aca="false">BACKUP!M142</f>
        <v>1031844</v>
      </c>
      <c r="N272" s="135" t="n">
        <f aca="false">BACKUP!N142</f>
        <v>1043696</v>
      </c>
      <c r="O272" s="135" t="n">
        <f aca="false">BACKUP!O142</f>
        <v>1055244</v>
      </c>
      <c r="P272" s="122"/>
      <c r="Q272" s="122"/>
      <c r="R272" s="122"/>
      <c r="S272" s="96"/>
      <c r="T272" s="122"/>
      <c r="U272" s="122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</row>
    <row r="273" customFormat="false" ht="14.65" hidden="false" customHeight="false" outlineLevel="0" collapsed="false">
      <c r="A273" s="96"/>
      <c r="B273" s="96"/>
      <c r="C273" s="188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122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</row>
    <row r="274" customFormat="false" ht="14.65" hidden="false" customHeight="false" outlineLevel="0" collapsed="false">
      <c r="A274" s="187" t="str">
        <f aca="false">BACKUP!A146</f>
        <v>Accumulated Depreciation - Beg. Balance</v>
      </c>
      <c r="B274" s="96"/>
      <c r="C274" s="188"/>
      <c r="D274" s="122" t="n">
        <f aca="false">BACKUP!D146</f>
        <v>104364</v>
      </c>
      <c r="E274" s="122" t="n">
        <f aca="false">BACKUP!E146</f>
        <v>105907</v>
      </c>
      <c r="F274" s="122" t="n">
        <f aca="false">BACKUP!F146</f>
        <v>107444</v>
      </c>
      <c r="G274" s="122" t="n">
        <f aca="false">BACKUP!G146</f>
        <v>109084</v>
      </c>
      <c r="H274" s="122" t="n">
        <f aca="false">BACKUP!H146</f>
        <v>110716</v>
      </c>
      <c r="I274" s="122" t="n">
        <f aca="false">BACKUP!I146</f>
        <v>112236</v>
      </c>
      <c r="J274" s="122" t="n">
        <f aca="false">BACKUP!J146</f>
        <v>113908</v>
      </c>
      <c r="K274" s="122" t="n">
        <f aca="false">BACKUP!K146</f>
        <v>115495</v>
      </c>
      <c r="L274" s="122" t="n">
        <f aca="false">BACKUP!L146</f>
        <v>117180</v>
      </c>
      <c r="M274" s="122" t="n">
        <f aca="false">BACKUP!M146</f>
        <v>118866</v>
      </c>
      <c r="N274" s="122" t="n">
        <f aca="false">BACKUP!N146</f>
        <v>120652</v>
      </c>
      <c r="O274" s="122" t="n">
        <f aca="false">BACKUP!O146</f>
        <v>122437</v>
      </c>
      <c r="P274" s="96"/>
      <c r="Q274" s="96"/>
      <c r="R274" s="96"/>
      <c r="S274" s="96"/>
      <c r="T274" s="122"/>
      <c r="U274" s="122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</row>
    <row r="275" customFormat="false" ht="14.65" hidden="false" customHeight="false" outlineLevel="0" collapsed="false">
      <c r="A275" s="122" t="str">
        <f aca="false">BACKUP!A147</f>
        <v>   Depreciation Expense</v>
      </c>
      <c r="B275" s="96"/>
      <c r="C275" s="188" t="s">
        <v>566</v>
      </c>
      <c r="D275" s="122" t="n">
        <f aca="false">BACKUP!D147</f>
        <v>1027</v>
      </c>
      <c r="E275" s="122" t="n">
        <f aca="false">BACKUP!E147</f>
        <v>992</v>
      </c>
      <c r="F275" s="122" t="n">
        <f aca="false">BACKUP!F147</f>
        <v>1037</v>
      </c>
      <c r="G275" s="122" t="n">
        <f aca="false">BACKUP!G147</f>
        <v>1050</v>
      </c>
      <c r="H275" s="122" t="n">
        <f aca="false">BACKUP!H147</f>
        <v>1006</v>
      </c>
      <c r="I275" s="122" t="n">
        <f aca="false">BACKUP!I147</f>
        <v>1116</v>
      </c>
      <c r="J275" s="122" t="n">
        <f aca="false">BACKUP!J147</f>
        <v>1106</v>
      </c>
      <c r="K275" s="122" t="n">
        <f aca="false">BACKUP!K147</f>
        <v>1156</v>
      </c>
      <c r="L275" s="122" t="n">
        <f aca="false">BACKUP!L147</f>
        <v>1156</v>
      </c>
      <c r="M275" s="122" t="n">
        <f aca="false">BACKUP!M147</f>
        <v>1256</v>
      </c>
      <c r="N275" s="122" t="n">
        <f aca="false">BACKUP!N147</f>
        <v>1256</v>
      </c>
      <c r="O275" s="122" t="n">
        <f aca="false">BACKUP!O147</f>
        <v>1256</v>
      </c>
      <c r="P275" s="122" t="n">
        <f aca="false">SUM(D275:O275)</f>
        <v>13414</v>
      </c>
      <c r="Q275" s="123" t="n">
        <f aca="false">SUM(D275:J275)</f>
        <v>7334</v>
      </c>
      <c r="R275" s="122" t="n">
        <f aca="false">P275-Q275</f>
        <v>6080</v>
      </c>
      <c r="S275" s="96"/>
      <c r="T275" s="122"/>
      <c r="U275" s="122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</row>
    <row r="276" customFormat="false" ht="14.65" hidden="false" customHeight="false" outlineLevel="0" collapsed="false">
      <c r="A276" s="122" t="str">
        <f aca="false">BACKUP!A148</f>
        <v>   Plant Amortization</v>
      </c>
      <c r="B276" s="96"/>
      <c r="C276" s="188" t="s">
        <v>566</v>
      </c>
      <c r="D276" s="122" t="n">
        <f aca="false">BACKUP!D148</f>
        <v>594</v>
      </c>
      <c r="E276" s="122" t="n">
        <f aca="false">BACKUP!E148</f>
        <v>594</v>
      </c>
      <c r="F276" s="122" t="n">
        <f aca="false">BACKUP!F148</f>
        <v>594</v>
      </c>
      <c r="G276" s="122" t="n">
        <f aca="false">BACKUP!G148</f>
        <v>594</v>
      </c>
      <c r="H276" s="122" t="n">
        <f aca="false">BACKUP!H148</f>
        <v>594</v>
      </c>
      <c r="I276" s="122" t="n">
        <f aca="false">BACKUP!I148</f>
        <v>594</v>
      </c>
      <c r="J276" s="122" t="n">
        <f aca="false">BACKUP!J148</f>
        <v>594</v>
      </c>
      <c r="K276" s="122" t="n">
        <f aca="false">BACKUP!K148</f>
        <v>594</v>
      </c>
      <c r="L276" s="122" t="n">
        <f aca="false">BACKUP!L148</f>
        <v>594</v>
      </c>
      <c r="M276" s="122" t="n">
        <f aca="false">BACKUP!M148</f>
        <v>594</v>
      </c>
      <c r="N276" s="122" t="n">
        <f aca="false">BACKUP!N148</f>
        <v>594</v>
      </c>
      <c r="O276" s="122" t="n">
        <f aca="false">BACKUP!O148</f>
        <v>594</v>
      </c>
      <c r="P276" s="122" t="n">
        <f aca="false">SUM(D276:O276)</f>
        <v>7128</v>
      </c>
      <c r="Q276" s="123" t="n">
        <f aca="false">SUM(D276:J276)</f>
        <v>4158</v>
      </c>
      <c r="R276" s="122" t="n">
        <f aca="false">P276-Q276</f>
        <v>2970</v>
      </c>
      <c r="S276" s="96"/>
      <c r="T276" s="96"/>
      <c r="U276" s="122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</row>
    <row r="277" customFormat="false" ht="14.65" hidden="false" customHeight="false" outlineLevel="0" collapsed="false">
      <c r="A277" s="122" t="str">
        <f aca="false">BACKUP!A149</f>
        <v>   Removals </v>
      </c>
      <c r="B277" s="96"/>
      <c r="C277" s="188" t="s">
        <v>567</v>
      </c>
      <c r="D277" s="122" t="n">
        <f aca="false">BACKUP!D149</f>
        <v>-14</v>
      </c>
      <c r="E277" s="122" t="n">
        <f aca="false">BACKUP!E149</f>
        <v>-19</v>
      </c>
      <c r="F277" s="122" t="n">
        <f aca="false">BACKUP!F149</f>
        <v>77</v>
      </c>
      <c r="G277" s="122" t="n">
        <f aca="false">BACKUP!G149</f>
        <v>56</v>
      </c>
      <c r="H277" s="122" t="n">
        <f aca="false">BACKUP!H149</f>
        <v>-12</v>
      </c>
      <c r="I277" s="122" t="n">
        <f aca="false">BACKUP!I149</f>
        <v>29</v>
      </c>
      <c r="J277" s="122" t="n">
        <f aca="false">BACKUP!J149</f>
        <v>-45</v>
      </c>
      <c r="K277" s="122" t="n">
        <f aca="false">BACKUP!K149</f>
        <v>0</v>
      </c>
      <c r="L277" s="122" t="n">
        <f aca="false">BACKUP!L149</f>
        <v>0</v>
      </c>
      <c r="M277" s="122" t="n">
        <f aca="false">BACKUP!M149</f>
        <v>0</v>
      </c>
      <c r="N277" s="122" t="n">
        <f aca="false">BACKUP!N149</f>
        <v>0</v>
      </c>
      <c r="O277" s="122" t="n">
        <f aca="false">BACKUP!O149</f>
        <v>0</v>
      </c>
      <c r="P277" s="122" t="n">
        <f aca="false">SUM(D277:O277)</f>
        <v>72</v>
      </c>
      <c r="Q277" s="123" t="n">
        <f aca="false">SUM(D277:J277)</f>
        <v>72</v>
      </c>
      <c r="R277" s="122" t="n">
        <f aca="false">P277-Q277</f>
        <v>0</v>
      </c>
      <c r="S277" s="96"/>
      <c r="T277" s="96"/>
      <c r="U277" s="122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</row>
    <row r="278" customFormat="false" ht="14.65" hidden="false" customHeight="false" outlineLevel="0" collapsed="false">
      <c r="A278" s="122" t="str">
        <f aca="false">BACKUP!A150</f>
        <v>   Salvage </v>
      </c>
      <c r="B278" s="96"/>
      <c r="C278" s="188" t="s">
        <v>567</v>
      </c>
      <c r="D278" s="122" t="n">
        <f aca="false">BACKUP!D150</f>
        <v>0</v>
      </c>
      <c r="E278" s="122" t="n">
        <f aca="false">BACKUP!E150</f>
        <v>0</v>
      </c>
      <c r="F278" s="122" t="n">
        <f aca="false">BACKUP!F150</f>
        <v>0</v>
      </c>
      <c r="G278" s="122" t="n">
        <f aca="false">BACKUP!G150</f>
        <v>0</v>
      </c>
      <c r="H278" s="122" t="n">
        <f aca="false">BACKUP!H150</f>
        <v>0</v>
      </c>
      <c r="I278" s="122" t="n">
        <f aca="false">BACKUP!I150</f>
        <v>0</v>
      </c>
      <c r="J278" s="122" t="n">
        <f aca="false">BACKUP!J150</f>
        <v>0</v>
      </c>
      <c r="K278" s="122" t="n">
        <f aca="false">BACKUP!K150</f>
        <v>0</v>
      </c>
      <c r="L278" s="122" t="n">
        <f aca="false">BACKUP!L150</f>
        <v>0</v>
      </c>
      <c r="M278" s="122" t="n">
        <f aca="false">BACKUP!M150</f>
        <v>0</v>
      </c>
      <c r="N278" s="122" t="n">
        <f aca="false">BACKUP!N150</f>
        <v>0</v>
      </c>
      <c r="O278" s="122" t="n">
        <f aca="false">BACKUP!O150</f>
        <v>0</v>
      </c>
      <c r="P278" s="122" t="n">
        <f aca="false">SUM(D278:O278)</f>
        <v>0</v>
      </c>
      <c r="Q278" s="123" t="n">
        <f aca="false">SUM(D278:J278)</f>
        <v>0</v>
      </c>
      <c r="R278" s="122" t="n">
        <f aca="false">P278-Q278</f>
        <v>0</v>
      </c>
      <c r="S278" s="96"/>
      <c r="T278" s="122"/>
      <c r="U278" s="122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</row>
    <row r="279" customFormat="false" ht="14.65" hidden="false" customHeight="false" outlineLevel="0" collapsed="false">
      <c r="A279" s="122" t="str">
        <f aca="false">BACKUP!A151</f>
        <v>   Rate Case Adjustment</v>
      </c>
      <c r="B279" s="96"/>
      <c r="C279" s="188" t="s">
        <v>566</v>
      </c>
      <c r="D279" s="122" t="n">
        <f aca="false">BACKUP!D151</f>
        <v>0</v>
      </c>
      <c r="E279" s="122" t="n">
        <f aca="false">BACKUP!E151</f>
        <v>0</v>
      </c>
      <c r="F279" s="122" t="n">
        <f aca="false">BACKUP!F151</f>
        <v>0</v>
      </c>
      <c r="G279" s="122" t="n">
        <f aca="false">BACKUP!G151</f>
        <v>0</v>
      </c>
      <c r="H279" s="122" t="n">
        <f aca="false">BACKUP!H151</f>
        <v>0</v>
      </c>
      <c r="I279" s="122" t="n">
        <f aca="false">BACKUP!I151</f>
        <v>0</v>
      </c>
      <c r="J279" s="122" t="n">
        <f aca="false">BACKUP!J151</f>
        <v>0</v>
      </c>
      <c r="K279" s="122" t="n">
        <f aca="false">BACKUP!K151</f>
        <v>0</v>
      </c>
      <c r="L279" s="122" t="n">
        <f aca="false">BACKUP!L151</f>
        <v>0</v>
      </c>
      <c r="M279" s="122" t="n">
        <f aca="false">BACKUP!M151</f>
        <v>0</v>
      </c>
      <c r="N279" s="122" t="n">
        <f aca="false">BACKUP!N151</f>
        <v>0</v>
      </c>
      <c r="O279" s="122" t="n">
        <f aca="false">BACKUP!O151</f>
        <v>0</v>
      </c>
      <c r="P279" s="122" t="n">
        <f aca="false">SUM(D279:O279)</f>
        <v>0</v>
      </c>
      <c r="Q279" s="123" t="n">
        <f aca="false">SUM(D279:J279)</f>
        <v>0</v>
      </c>
      <c r="R279" s="122" t="n">
        <f aca="false">P279-Q279</f>
        <v>0</v>
      </c>
      <c r="S279" s="96"/>
      <c r="T279" s="122"/>
      <c r="U279" s="122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</row>
    <row r="280" customFormat="false" ht="14.65" hidden="false" customHeight="false" outlineLevel="0" collapsed="false">
      <c r="A280" s="122" t="str">
        <f aca="false">BACKUP!A152</f>
        <v>   Pipe Recoating / Accumulated Reserve Adjustment</v>
      </c>
      <c r="B280" s="96"/>
      <c r="C280" s="188" t="s">
        <v>561</v>
      </c>
      <c r="D280" s="122" t="n">
        <f aca="false">BACKUP!D152</f>
        <v>-67</v>
      </c>
      <c r="E280" s="122" t="n">
        <f aca="false">BACKUP!E152</f>
        <v>-33</v>
      </c>
      <c r="F280" s="122" t="n">
        <f aca="false">BACKUP!F152</f>
        <v>-71</v>
      </c>
      <c r="G280" s="122" t="n">
        <f aca="false">BACKUP!G152</f>
        <v>-71</v>
      </c>
      <c r="H280" s="122" t="n">
        <f aca="false">BACKUP!H152</f>
        <v>-71</v>
      </c>
      <c r="I280" s="122" t="n">
        <f aca="false">BACKUP!I152</f>
        <v>-70</v>
      </c>
      <c r="J280" s="122" t="n">
        <f aca="false">BACKUP!J152</f>
        <v>-71</v>
      </c>
      <c r="K280" s="122" t="n">
        <f aca="false">BACKUP!K152</f>
        <v>-68</v>
      </c>
      <c r="L280" s="122" t="n">
        <f aca="false">BACKUP!L152</f>
        <v>-67</v>
      </c>
      <c r="M280" s="122" t="n">
        <f aca="false">BACKUP!M152</f>
        <v>-67</v>
      </c>
      <c r="N280" s="122" t="n">
        <f aca="false">BACKUP!N152</f>
        <v>-68</v>
      </c>
      <c r="O280" s="122" t="n">
        <f aca="false">BACKUP!O152</f>
        <v>-68</v>
      </c>
      <c r="P280" s="122" t="n">
        <f aca="false">SUM(D280:O280)</f>
        <v>-792</v>
      </c>
      <c r="Q280" s="123" t="n">
        <f aca="false">SUM(D280:J280)</f>
        <v>-454</v>
      </c>
      <c r="R280" s="122" t="n">
        <f aca="false">P280-Q280</f>
        <v>-338</v>
      </c>
      <c r="S280" s="96"/>
      <c r="T280" s="123" t="n">
        <v>0</v>
      </c>
      <c r="U280" s="123" t="n">
        <v>0</v>
      </c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</row>
    <row r="281" customFormat="false" ht="14.65" hidden="false" customHeight="false" outlineLevel="0" collapsed="false">
      <c r="A281" s="122" t="str">
        <f aca="false">BACKUP!A153</f>
        <v>   Asset Sales </v>
      </c>
      <c r="B281" s="96"/>
      <c r="C281" s="188" t="s">
        <v>564</v>
      </c>
      <c r="D281" s="122" t="n">
        <f aca="false">BACKUP!D153</f>
        <v>0</v>
      </c>
      <c r="E281" s="122" t="n">
        <f aca="false">BACKUP!E153</f>
        <v>0</v>
      </c>
      <c r="F281" s="122" t="n">
        <f aca="false">BACKUP!F153</f>
        <v>0</v>
      </c>
      <c r="G281" s="122" t="n">
        <f aca="false">BACKUP!G153</f>
        <v>0</v>
      </c>
      <c r="H281" s="122" t="n">
        <f aca="false">BACKUP!H153</f>
        <v>0</v>
      </c>
      <c r="I281" s="122" t="n">
        <f aca="false">BACKUP!I153</f>
        <v>0</v>
      </c>
      <c r="J281" s="122" t="n">
        <f aca="false">BACKUP!J153</f>
        <v>0</v>
      </c>
      <c r="K281" s="122" t="n">
        <f aca="false">BACKUP!K153</f>
        <v>0</v>
      </c>
      <c r="L281" s="122" t="n">
        <f aca="false">BACKUP!L153</f>
        <v>0</v>
      </c>
      <c r="M281" s="122" t="n">
        <f aca="false">BACKUP!M153</f>
        <v>0</v>
      </c>
      <c r="N281" s="122" t="n">
        <f aca="false">BACKUP!N153</f>
        <v>0</v>
      </c>
      <c r="O281" s="122" t="n">
        <f aca="false">BACKUP!O153</f>
        <v>0</v>
      </c>
      <c r="P281" s="122" t="n">
        <f aca="false">SUM(D281:O281)</f>
        <v>0</v>
      </c>
      <c r="Q281" s="123" t="n">
        <f aca="false">SUM(D281:J281)</f>
        <v>0</v>
      </c>
      <c r="R281" s="122" t="n">
        <f aca="false">P281-Q281</f>
        <v>0</v>
      </c>
      <c r="S281" s="96"/>
      <c r="T281" s="123" t="n">
        <v>0</v>
      </c>
      <c r="U281" s="123" t="n">
        <v>0</v>
      </c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</row>
    <row r="282" customFormat="false" ht="14.65" hidden="false" customHeight="false" outlineLevel="0" collapsed="false">
      <c r="A282" s="122" t="str">
        <f aca="false">BACKUP!A154</f>
        <v>   Retirement of Reserves / Non-Utility Depreciation</v>
      </c>
      <c r="B282" s="96"/>
      <c r="C282" s="188" t="s">
        <v>561</v>
      </c>
      <c r="D282" s="122" t="n">
        <f aca="false">BACKUP!D154</f>
        <v>3</v>
      </c>
      <c r="E282" s="122" t="n">
        <f aca="false">BACKUP!E154</f>
        <v>3</v>
      </c>
      <c r="F282" s="122" t="n">
        <f aca="false">BACKUP!F154</f>
        <v>3</v>
      </c>
      <c r="G282" s="122" t="n">
        <f aca="false">BACKUP!G154</f>
        <v>3</v>
      </c>
      <c r="H282" s="122" t="n">
        <f aca="false">BACKUP!H154</f>
        <v>3</v>
      </c>
      <c r="I282" s="122" t="n">
        <f aca="false">BACKUP!I154</f>
        <v>3</v>
      </c>
      <c r="J282" s="122" t="n">
        <f aca="false">BACKUP!J154</f>
        <v>3</v>
      </c>
      <c r="K282" s="122" t="n">
        <f aca="false">BACKUP!K154</f>
        <v>3</v>
      </c>
      <c r="L282" s="122" t="n">
        <f aca="false">BACKUP!L154</f>
        <v>3</v>
      </c>
      <c r="M282" s="122" t="n">
        <f aca="false">BACKUP!M154</f>
        <v>3</v>
      </c>
      <c r="N282" s="122" t="n">
        <f aca="false">BACKUP!N154</f>
        <v>3</v>
      </c>
      <c r="O282" s="122" t="n">
        <f aca="false">BACKUP!O154</f>
        <v>3</v>
      </c>
      <c r="P282" s="122" t="n">
        <f aca="false">SUM(D282:O282)</f>
        <v>36</v>
      </c>
      <c r="Q282" s="123" t="n">
        <f aca="false">SUM(D282:J282)</f>
        <v>21</v>
      </c>
      <c r="R282" s="122" t="n">
        <f aca="false">P282-Q282</f>
        <v>15</v>
      </c>
      <c r="S282" s="96"/>
      <c r="T282" s="96"/>
      <c r="U282" s="122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</row>
    <row r="283" customFormat="false" ht="14.65" hidden="false" customHeight="false" outlineLevel="0" collapsed="false">
      <c r="A283" s="122" t="str">
        <f aca="false">BACKUP!A155</f>
        <v>   Actual / Estimate Adjustment</v>
      </c>
      <c r="B283" s="96"/>
      <c r="C283" s="188" t="s">
        <v>565</v>
      </c>
      <c r="D283" s="135" t="n">
        <f aca="false">BACKUP!D155</f>
        <v>0</v>
      </c>
      <c r="E283" s="135" t="n">
        <f aca="false">BACKUP!E155</f>
        <v>0</v>
      </c>
      <c r="F283" s="135" t="n">
        <f aca="false">BACKUP!F155</f>
        <v>0</v>
      </c>
      <c r="G283" s="135" t="n">
        <f aca="false">BACKUP!G155</f>
        <v>0</v>
      </c>
      <c r="H283" s="135" t="n">
        <f aca="false">BACKUP!H155</f>
        <v>0</v>
      </c>
      <c r="I283" s="135" t="n">
        <f aca="false">BACKUP!I155</f>
        <v>0</v>
      </c>
      <c r="J283" s="135" t="n">
        <f aca="false">BACKUP!J155</f>
        <v>0</v>
      </c>
      <c r="K283" s="135" t="n">
        <f aca="false">BACKUP!K155</f>
        <v>0</v>
      </c>
      <c r="L283" s="135" t="n">
        <f aca="false">BACKUP!L155</f>
        <v>0</v>
      </c>
      <c r="M283" s="135" t="n">
        <f aca="false">BACKUP!M155</f>
        <v>0</v>
      </c>
      <c r="N283" s="135" t="n">
        <f aca="false">BACKUP!N155</f>
        <v>0</v>
      </c>
      <c r="O283" s="135" t="n">
        <f aca="false">BACKUP!O155</f>
        <v>0</v>
      </c>
      <c r="P283" s="122" t="n">
        <f aca="false">SUM(D283:O283)</f>
        <v>0</v>
      </c>
      <c r="Q283" s="123" t="n">
        <f aca="false">SUM(D283:J283)</f>
        <v>0</v>
      </c>
      <c r="R283" s="122" t="n">
        <f aca="false">P283-Q283</f>
        <v>0</v>
      </c>
      <c r="S283" s="96"/>
      <c r="T283" s="122"/>
      <c r="U283" s="122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</row>
    <row r="284" customFormat="false" ht="3.95" hidden="false" customHeight="true" outlineLevel="0" collapsed="false">
      <c r="A284" s="96"/>
      <c r="B284" s="96"/>
      <c r="C284" s="188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96"/>
      <c r="Q284" s="96"/>
      <c r="R284" s="96"/>
      <c r="S284" s="96"/>
      <c r="T284" s="122"/>
      <c r="U284" s="122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</row>
    <row r="285" customFormat="false" ht="14.65" hidden="false" customHeight="false" outlineLevel="0" collapsed="false">
      <c r="A285" s="145" t="str">
        <f aca="false">BACKUP!A157</f>
        <v>Accumulated Depreciation - End. Balance</v>
      </c>
      <c r="B285" s="96"/>
      <c r="C285" s="188"/>
      <c r="D285" s="135" t="n">
        <f aca="false">BACKUP!D157</f>
        <v>105907</v>
      </c>
      <c r="E285" s="135" t="n">
        <f aca="false">BACKUP!E157</f>
        <v>107444</v>
      </c>
      <c r="F285" s="135" t="n">
        <f aca="false">BACKUP!F157</f>
        <v>109084</v>
      </c>
      <c r="G285" s="135" t="n">
        <f aca="false">BACKUP!G157</f>
        <v>110716</v>
      </c>
      <c r="H285" s="135" t="n">
        <f aca="false">BACKUP!H157</f>
        <v>112236</v>
      </c>
      <c r="I285" s="135" t="n">
        <f aca="false">BACKUP!I157</f>
        <v>113908</v>
      </c>
      <c r="J285" s="135" t="n">
        <f aca="false">BACKUP!J157</f>
        <v>115495</v>
      </c>
      <c r="K285" s="135" t="n">
        <f aca="false">BACKUP!K157</f>
        <v>117180</v>
      </c>
      <c r="L285" s="135" t="n">
        <f aca="false">BACKUP!L157</f>
        <v>118866</v>
      </c>
      <c r="M285" s="135" t="n">
        <f aca="false">BACKUP!M157</f>
        <v>120652</v>
      </c>
      <c r="N285" s="135" t="n">
        <f aca="false">BACKUP!N157</f>
        <v>122437</v>
      </c>
      <c r="O285" s="135" t="n">
        <f aca="false">BACKUP!O157</f>
        <v>124222</v>
      </c>
      <c r="P285" s="96"/>
      <c r="Q285" s="96"/>
      <c r="R285" s="96"/>
      <c r="S285" s="96"/>
      <c r="T285" s="122"/>
      <c r="U285" s="122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</row>
    <row r="286" customFormat="false" ht="14.65" hidden="false" customHeight="false" outlineLevel="0" collapsed="false">
      <c r="A286" s="96"/>
      <c r="B286" s="96"/>
      <c r="C286" s="188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122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</row>
    <row r="287" customFormat="false" ht="14.65" hidden="false" customHeight="false" outlineLevel="0" collapsed="false">
      <c r="A287" s="145" t="str">
        <f aca="false">BACKUP!A167</f>
        <v>Deferred Contract Reform. Costs (NonCur.) - End. Balance</v>
      </c>
      <c r="B287" s="96"/>
      <c r="C287" s="188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96"/>
      <c r="Q287" s="96"/>
      <c r="R287" s="96"/>
      <c r="S287" s="96"/>
      <c r="T287" s="122"/>
      <c r="U287" s="122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</row>
    <row r="288" customFormat="false" ht="14.65" hidden="false" customHeight="false" outlineLevel="0" collapsed="false">
      <c r="A288" s="122" t="str">
        <f aca="false">BACKUP!A169</f>
        <v>      Change</v>
      </c>
      <c r="B288" s="96"/>
      <c r="C288" s="188" t="s">
        <v>568</v>
      </c>
      <c r="D288" s="122" t="n">
        <f aca="false">BACKUP!D169</f>
        <v>0</v>
      </c>
      <c r="E288" s="122" t="n">
        <f aca="false">BACKUP!E169</f>
        <v>0</v>
      </c>
      <c r="F288" s="122" t="n">
        <f aca="false">BACKUP!F169</f>
        <v>0</v>
      </c>
      <c r="G288" s="122" t="n">
        <f aca="false">BACKUP!G169</f>
        <v>0</v>
      </c>
      <c r="H288" s="122" t="n">
        <f aca="false">BACKUP!H169</f>
        <v>0</v>
      </c>
      <c r="I288" s="122" t="n">
        <f aca="false">BACKUP!I169</f>
        <v>0</v>
      </c>
      <c r="J288" s="122" t="n">
        <f aca="false">BACKUP!J169</f>
        <v>0</v>
      </c>
      <c r="K288" s="122" t="n">
        <f aca="false">BACKUP!K169</f>
        <v>0</v>
      </c>
      <c r="L288" s="122" t="n">
        <f aca="false">BACKUP!L169</f>
        <v>0</v>
      </c>
      <c r="M288" s="122" t="n">
        <f aca="false">BACKUP!M169</f>
        <v>0</v>
      </c>
      <c r="N288" s="122" t="n">
        <f aca="false">BACKUP!N169</f>
        <v>0</v>
      </c>
      <c r="O288" s="122" t="n">
        <f aca="false">BACKUP!O169</f>
        <v>0</v>
      </c>
      <c r="P288" s="122" t="n">
        <f aca="false">SUM(D288:O288)</f>
        <v>0</v>
      </c>
      <c r="Q288" s="123" t="n">
        <f aca="false">SUM(D288:J288)</f>
        <v>0</v>
      </c>
      <c r="R288" s="122" t="n">
        <f aca="false">P288-Q288</f>
        <v>0</v>
      </c>
      <c r="S288" s="96"/>
      <c r="T288" s="122"/>
      <c r="U288" s="122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</row>
    <row r="289" customFormat="false" ht="14.65" hidden="false" customHeight="false" outlineLevel="0" collapsed="false">
      <c r="A289" s="96"/>
      <c r="B289" s="96"/>
      <c r="C289" s="188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122"/>
      <c r="U289" s="122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</row>
    <row r="290" customFormat="false" ht="14.65" hidden="false" customHeight="false" outlineLevel="0" collapsed="false">
      <c r="A290" s="187" t="str">
        <f aca="false">BACKUP!A231</f>
        <v>Deferred Charges - Beg. Balance</v>
      </c>
      <c r="B290" s="96"/>
      <c r="C290" s="188"/>
      <c r="D290" s="122" t="n">
        <f aca="false">BACKUP!D231</f>
        <v>2254</v>
      </c>
      <c r="E290" s="122" t="n">
        <f aca="false">BACKUP!E231</f>
        <v>2205</v>
      </c>
      <c r="F290" s="122" t="n">
        <f aca="false">BACKUP!F231</f>
        <v>2928</v>
      </c>
      <c r="G290" s="122" t="n">
        <f aca="false">BACKUP!G231</f>
        <v>2560</v>
      </c>
      <c r="H290" s="122" t="n">
        <f aca="false">BACKUP!H231</f>
        <v>2828</v>
      </c>
      <c r="I290" s="122" t="n">
        <f aca="false">BACKUP!I231</f>
        <v>3401</v>
      </c>
      <c r="J290" s="122" t="n">
        <f aca="false">BACKUP!J231</f>
        <v>3786</v>
      </c>
      <c r="K290" s="122" t="n">
        <f aca="false">BACKUP!K231</f>
        <v>4026</v>
      </c>
      <c r="L290" s="122" t="n">
        <f aca="false">BACKUP!L231</f>
        <v>4013</v>
      </c>
      <c r="M290" s="122" t="n">
        <f aca="false">BACKUP!M231</f>
        <v>4001</v>
      </c>
      <c r="N290" s="122" t="n">
        <f aca="false">BACKUP!N231</f>
        <v>3988</v>
      </c>
      <c r="O290" s="122" t="n">
        <f aca="false">BACKUP!O231</f>
        <v>3976</v>
      </c>
      <c r="P290" s="122"/>
      <c r="Q290" s="122"/>
      <c r="R290" s="122"/>
      <c r="S290" s="96"/>
      <c r="T290" s="122"/>
      <c r="U290" s="122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</row>
    <row r="291" customFormat="false" ht="14.65" hidden="false" customHeight="false" outlineLevel="0" collapsed="false">
      <c r="A291" s="122" t="str">
        <f aca="false">BACKUP!A232</f>
        <v>   Amortized Loss on Reacquired Debt</v>
      </c>
      <c r="B291" s="96"/>
      <c r="C291" s="188" t="s">
        <v>561</v>
      </c>
      <c r="D291" s="122" t="n">
        <f aca="false">BACKUP!D232</f>
        <v>-0</v>
      </c>
      <c r="E291" s="122" t="n">
        <f aca="false">BACKUP!E232</f>
        <v>-0</v>
      </c>
      <c r="F291" s="122" t="n">
        <f aca="false">BACKUP!F232</f>
        <v>-0</v>
      </c>
      <c r="G291" s="122" t="n">
        <f aca="false">BACKUP!G232</f>
        <v>-0</v>
      </c>
      <c r="H291" s="122" t="n">
        <f aca="false">BACKUP!H232</f>
        <v>-0</v>
      </c>
      <c r="I291" s="122" t="n">
        <f aca="false">BACKUP!I232</f>
        <v>-0</v>
      </c>
      <c r="J291" s="122" t="n">
        <f aca="false">BACKUP!J232</f>
        <v>-0</v>
      </c>
      <c r="K291" s="122" t="n">
        <f aca="false">BACKUP!K232</f>
        <v>-0</v>
      </c>
      <c r="L291" s="122" t="n">
        <f aca="false">BACKUP!L232</f>
        <v>-0</v>
      </c>
      <c r="M291" s="122" t="n">
        <f aca="false">BACKUP!M232</f>
        <v>-0</v>
      </c>
      <c r="N291" s="122" t="n">
        <f aca="false">BACKUP!N232</f>
        <v>-0</v>
      </c>
      <c r="O291" s="122" t="n">
        <f aca="false">BACKUP!O232</f>
        <v>-0</v>
      </c>
      <c r="P291" s="122" t="n">
        <f aca="false">SUM(D291:O291)</f>
        <v>0</v>
      </c>
      <c r="Q291" s="123" t="n">
        <f aca="false">SUM(D291:J291)</f>
        <v>0</v>
      </c>
      <c r="R291" s="122" t="n">
        <f aca="false">P291-Q291</f>
        <v>0</v>
      </c>
      <c r="S291" s="96"/>
      <c r="T291" s="123" t="n">
        <v>0</v>
      </c>
      <c r="U291" s="123" t="n">
        <v>0</v>
      </c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</row>
    <row r="292" customFormat="false" ht="14.65" hidden="false" customHeight="false" outlineLevel="0" collapsed="false">
      <c r="A292" s="122" t="str">
        <f aca="false">BACKUP!A233</f>
        <v>   Non Construc.WIP (Incl. Temp. Holding) - Normal</v>
      </c>
      <c r="B292" s="96"/>
      <c r="C292" s="188" t="s">
        <v>561</v>
      </c>
      <c r="D292" s="122" t="n">
        <f aca="false">BACKUP!D233</f>
        <v>-26</v>
      </c>
      <c r="E292" s="122" t="n">
        <f aca="false">BACKUP!E233</f>
        <v>746</v>
      </c>
      <c r="F292" s="122" t="n">
        <f aca="false">BACKUP!F233</f>
        <v>-316</v>
      </c>
      <c r="G292" s="122" t="n">
        <f aca="false">BACKUP!G233</f>
        <v>281</v>
      </c>
      <c r="H292" s="122" t="n">
        <f aca="false">BACKUP!H233</f>
        <v>586</v>
      </c>
      <c r="I292" s="122" t="n">
        <f aca="false">BACKUP!I233</f>
        <v>398</v>
      </c>
      <c r="J292" s="122" t="n">
        <f aca="false">BACKUP!J233</f>
        <v>252</v>
      </c>
      <c r="K292" s="122" t="n">
        <f aca="false">BACKUP!K233</f>
        <v>0</v>
      </c>
      <c r="L292" s="122" t="n">
        <f aca="false">BACKUP!L233</f>
        <v>0</v>
      </c>
      <c r="M292" s="122" t="n">
        <f aca="false">BACKUP!M233</f>
        <v>0</v>
      </c>
      <c r="N292" s="122" t="n">
        <f aca="false">BACKUP!N233</f>
        <v>0</v>
      </c>
      <c r="O292" s="122" t="n">
        <f aca="false">BACKUP!O233</f>
        <v>0</v>
      </c>
      <c r="P292" s="122" t="n">
        <f aca="false">SUM(D292:O292)</f>
        <v>1921</v>
      </c>
      <c r="Q292" s="123" t="n">
        <f aca="false">SUM(D292:J292)</f>
        <v>1921</v>
      </c>
      <c r="R292" s="122" t="n">
        <f aca="false">P292-Q292</f>
        <v>0</v>
      </c>
      <c r="S292" s="96"/>
      <c r="T292" s="122"/>
      <c r="U292" s="122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</row>
    <row r="293" customFormat="false" ht="14.65" hidden="false" customHeight="false" outlineLevel="0" collapsed="false">
      <c r="A293" s="122" t="str">
        <f aca="false">BACKUP!A234</f>
        <v>          - Y2K Cost Deferrals (Reclass to Reg. Assets 7/00)</v>
      </c>
      <c r="B293" s="96"/>
      <c r="C293" s="188" t="s">
        <v>561</v>
      </c>
      <c r="D293" s="122" t="n">
        <f aca="false">BACKUP!D234</f>
        <v>0</v>
      </c>
      <c r="E293" s="122" t="n">
        <f aca="false">BACKUP!E234</f>
        <v>0</v>
      </c>
      <c r="F293" s="122" t="n">
        <f aca="false">BACKUP!F234</f>
        <v>0</v>
      </c>
      <c r="G293" s="122" t="n">
        <f aca="false">BACKUP!G234</f>
        <v>0</v>
      </c>
      <c r="H293" s="122" t="n">
        <f aca="false">BACKUP!H234</f>
        <v>0</v>
      </c>
      <c r="I293" s="122" t="n">
        <f aca="false">BACKUP!I234</f>
        <v>0</v>
      </c>
      <c r="J293" s="122" t="n">
        <f aca="false">BACKUP!J234</f>
        <v>0</v>
      </c>
      <c r="K293" s="122" t="n">
        <f aca="false">BACKUP!K234</f>
        <v>0</v>
      </c>
      <c r="L293" s="122" t="n">
        <f aca="false">BACKUP!L234</f>
        <v>0</v>
      </c>
      <c r="M293" s="122" t="n">
        <f aca="false">BACKUP!M234</f>
        <v>0</v>
      </c>
      <c r="N293" s="122" t="n">
        <f aca="false">BACKUP!N234</f>
        <v>0</v>
      </c>
      <c r="O293" s="122" t="n">
        <f aca="false">BACKUP!O234</f>
        <v>0</v>
      </c>
      <c r="P293" s="122" t="n">
        <f aca="false">SUM(D293:O293)</f>
        <v>0</v>
      </c>
      <c r="Q293" s="123" t="n">
        <f aca="false">SUM(D293:J293)</f>
        <v>0</v>
      </c>
      <c r="R293" s="122" t="n">
        <f aca="false">P293-Q293</f>
        <v>0</v>
      </c>
      <c r="S293" s="96"/>
      <c r="T293" s="96"/>
      <c r="U293" s="122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</row>
    <row r="294" customFormat="false" ht="14.65" hidden="false" customHeight="false" outlineLevel="0" collapsed="false">
      <c r="A294" s="122" t="str">
        <f aca="false">BACKUP!A235</f>
        <v>          - Navajo ROW</v>
      </c>
      <c r="B294" s="96"/>
      <c r="C294" s="188" t="s">
        <v>561</v>
      </c>
      <c r="D294" s="122" t="n">
        <f aca="false">BACKUP!D235</f>
        <v>0</v>
      </c>
      <c r="E294" s="122" t="n">
        <f aca="false">BACKUP!E235</f>
        <v>0</v>
      </c>
      <c r="F294" s="122" t="n">
        <f aca="false">BACKUP!F235</f>
        <v>0</v>
      </c>
      <c r="G294" s="122" t="n">
        <f aca="false">BACKUP!G235</f>
        <v>0</v>
      </c>
      <c r="H294" s="122" t="n">
        <f aca="false">BACKUP!H235</f>
        <v>0</v>
      </c>
      <c r="I294" s="122" t="n">
        <f aca="false">BACKUP!I235</f>
        <v>0</v>
      </c>
      <c r="J294" s="122" t="n">
        <f aca="false">BACKUP!J235</f>
        <v>0</v>
      </c>
      <c r="K294" s="122" t="n">
        <f aca="false">BACKUP!K235</f>
        <v>0</v>
      </c>
      <c r="L294" s="122" t="n">
        <f aca="false">BACKUP!L235</f>
        <v>0</v>
      </c>
      <c r="M294" s="122" t="n">
        <f aca="false">BACKUP!M235</f>
        <v>0</v>
      </c>
      <c r="N294" s="122" t="n">
        <f aca="false">BACKUP!N235</f>
        <v>0</v>
      </c>
      <c r="O294" s="122" t="n">
        <f aca="false">BACKUP!O235</f>
        <v>0</v>
      </c>
      <c r="P294" s="122" t="n">
        <f aca="false">SUM(D294:O294)</f>
        <v>0</v>
      </c>
      <c r="Q294" s="123" t="n">
        <f aca="false">SUM(D294:J294)</f>
        <v>0</v>
      </c>
      <c r="R294" s="122" t="n">
        <f aca="false">P294-Q294</f>
        <v>0</v>
      </c>
      <c r="S294" s="96"/>
      <c r="T294" s="123" t="n">
        <v>0</v>
      </c>
      <c r="U294" s="123" t="n">
        <v>0</v>
      </c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</row>
    <row r="295" customFormat="false" ht="14.65" hidden="false" customHeight="false" outlineLevel="0" collapsed="false">
      <c r="A295" s="122" t="str">
        <f aca="false">BACKUP!A236</f>
        <v>   Unamortized Debt Expense</v>
      </c>
      <c r="B295" s="96"/>
      <c r="C295" s="188" t="s">
        <v>561</v>
      </c>
      <c r="D295" s="122" t="n">
        <f aca="false">BACKUP!D236</f>
        <v>-1</v>
      </c>
      <c r="E295" s="122" t="n">
        <f aca="false">BACKUP!E236</f>
        <v>0</v>
      </c>
      <c r="F295" s="122" t="n">
        <f aca="false">BACKUP!F236</f>
        <v>-1</v>
      </c>
      <c r="G295" s="122" t="n">
        <f aca="false">BACKUP!G236</f>
        <v>0</v>
      </c>
      <c r="H295" s="122" t="n">
        <f aca="false">BACKUP!H236</f>
        <v>-1</v>
      </c>
      <c r="I295" s="122" t="n">
        <f aca="false">BACKUP!I236</f>
        <v>0</v>
      </c>
      <c r="J295" s="122" t="n">
        <f aca="false">BACKUP!J236</f>
        <v>0</v>
      </c>
      <c r="K295" s="122" t="n">
        <f aca="false">BACKUP!K236</f>
        <v>0</v>
      </c>
      <c r="L295" s="122" t="n">
        <f aca="false">BACKUP!L236</f>
        <v>0</v>
      </c>
      <c r="M295" s="122" t="n">
        <f aca="false">BACKUP!M236</f>
        <v>0</v>
      </c>
      <c r="N295" s="122" t="n">
        <f aca="false">BACKUP!N236</f>
        <v>0</v>
      </c>
      <c r="O295" s="122" t="n">
        <f aca="false">BACKUP!O236</f>
        <v>0</v>
      </c>
      <c r="P295" s="122" t="n">
        <f aca="false">SUM(D295:O295)</f>
        <v>-3</v>
      </c>
      <c r="Q295" s="123" t="n">
        <f aca="false">SUM(D295:J295)</f>
        <v>-3</v>
      </c>
      <c r="R295" s="122" t="n">
        <f aca="false">P295-Q295</f>
        <v>0</v>
      </c>
      <c r="S295" s="96"/>
      <c r="T295" s="123" t="n">
        <v>0</v>
      </c>
      <c r="U295" s="123" t="n">
        <v>0</v>
      </c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</row>
    <row r="296" customFormat="false" ht="14.65" hidden="false" customHeight="false" outlineLevel="0" collapsed="false">
      <c r="A296" s="122" t="str">
        <f aca="false">BACKUP!A237</f>
        <v>   Operation Information Costs</v>
      </c>
      <c r="B296" s="96"/>
      <c r="C296" s="188" t="s">
        <v>561</v>
      </c>
      <c r="D296" s="122" t="n">
        <f aca="false">BACKUP!D237</f>
        <v>-10</v>
      </c>
      <c r="E296" s="122" t="n">
        <f aca="false">BACKUP!E237</f>
        <v>-10</v>
      </c>
      <c r="F296" s="122" t="n">
        <f aca="false">BACKUP!F237</f>
        <v>-39</v>
      </c>
      <c r="G296" s="122" t="n">
        <f aca="false">BACKUP!G237</f>
        <v>0</v>
      </c>
      <c r="H296" s="122" t="n">
        <f aca="false">BACKUP!H237</f>
        <v>0</v>
      </c>
      <c r="I296" s="122" t="n">
        <f aca="false">BACKUP!I237</f>
        <v>0</v>
      </c>
      <c r="J296" s="122" t="n">
        <f aca="false">BACKUP!J237</f>
        <v>0</v>
      </c>
      <c r="K296" s="122" t="n">
        <f aca="false">BACKUP!K237</f>
        <v>0</v>
      </c>
      <c r="L296" s="122" t="n">
        <f aca="false">BACKUP!L237</f>
        <v>0</v>
      </c>
      <c r="M296" s="122" t="n">
        <f aca="false">BACKUP!M237</f>
        <v>0</v>
      </c>
      <c r="N296" s="122" t="n">
        <f aca="false">BACKUP!N237</f>
        <v>0</v>
      </c>
      <c r="O296" s="122" t="n">
        <f aca="false">BACKUP!O237</f>
        <v>0</v>
      </c>
      <c r="P296" s="122" t="n">
        <f aca="false">SUM(D296:O296)</f>
        <v>-59</v>
      </c>
      <c r="Q296" s="123" t="n">
        <f aca="false">SUM(D296:J296)</f>
        <v>-59</v>
      </c>
      <c r="R296" s="122" t="n">
        <f aca="false">P296-Q296</f>
        <v>0</v>
      </c>
      <c r="S296" s="96"/>
      <c r="T296" s="123"/>
      <c r="U296" s="123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</row>
    <row r="297" customFormat="false" ht="14.65" hidden="false" customHeight="false" outlineLevel="0" collapsed="false">
      <c r="A297" s="122" t="str">
        <f aca="false">BACKUP!A238</f>
        <v>   Other</v>
      </c>
      <c r="B297" s="96"/>
      <c r="C297" s="188" t="s">
        <v>561</v>
      </c>
      <c r="D297" s="122" t="n">
        <f aca="false">BACKUP!D238</f>
        <v>0</v>
      </c>
      <c r="E297" s="122" t="n">
        <f aca="false">BACKUP!E238</f>
        <v>0</v>
      </c>
      <c r="F297" s="122" t="n">
        <f aca="false">BACKUP!F238</f>
        <v>0</v>
      </c>
      <c r="G297" s="122" t="n">
        <f aca="false">BACKUP!G238</f>
        <v>0</v>
      </c>
      <c r="H297" s="122" t="n">
        <f aca="false">BACKUP!H238</f>
        <v>0</v>
      </c>
      <c r="I297" s="122" t="n">
        <f aca="false">BACKUP!I238</f>
        <v>0</v>
      </c>
      <c r="J297" s="122" t="n">
        <f aca="false">BACKUP!J238</f>
        <v>0</v>
      </c>
      <c r="K297" s="122" t="n">
        <f aca="false">BACKUP!K238</f>
        <v>0</v>
      </c>
      <c r="L297" s="122" t="n">
        <f aca="false">BACKUP!L238</f>
        <v>0</v>
      </c>
      <c r="M297" s="122" t="n">
        <f aca="false">BACKUP!M238</f>
        <v>0</v>
      </c>
      <c r="N297" s="122" t="n">
        <f aca="false">BACKUP!N238</f>
        <v>0</v>
      </c>
      <c r="O297" s="122" t="n">
        <f aca="false">BACKUP!O238</f>
        <v>0</v>
      </c>
      <c r="P297" s="122" t="n">
        <f aca="false">SUM(D297:O297)</f>
        <v>0</v>
      </c>
      <c r="Q297" s="123" t="n">
        <f aca="false">SUM(D297:J297)</f>
        <v>0</v>
      </c>
      <c r="R297" s="122" t="n">
        <f aca="false">P297-Q297</f>
        <v>0</v>
      </c>
      <c r="S297" s="96"/>
      <c r="T297" s="123" t="n">
        <v>0</v>
      </c>
      <c r="U297" s="123" t="n">
        <v>0</v>
      </c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</row>
    <row r="298" customFormat="false" ht="14.65" hidden="false" customHeight="false" outlineLevel="0" collapsed="false">
      <c r="A298" s="122" t="str">
        <f aca="false">BACKUP!A239</f>
        <v>   Santa Fe Amortization</v>
      </c>
      <c r="B298" s="96"/>
      <c r="C298" s="188" t="s">
        <v>561</v>
      </c>
      <c r="D298" s="122" t="n">
        <f aca="false">BACKUP!D239</f>
        <v>-12</v>
      </c>
      <c r="E298" s="122" t="n">
        <f aca="false">BACKUP!E239</f>
        <v>-13</v>
      </c>
      <c r="F298" s="122" t="n">
        <f aca="false">BACKUP!F239</f>
        <v>-12</v>
      </c>
      <c r="G298" s="122" t="n">
        <f aca="false">BACKUP!G239</f>
        <v>-13</v>
      </c>
      <c r="H298" s="122" t="n">
        <f aca="false">BACKUP!H239</f>
        <v>-12</v>
      </c>
      <c r="I298" s="122" t="n">
        <f aca="false">BACKUP!I239</f>
        <v>-13</v>
      </c>
      <c r="J298" s="122" t="n">
        <f aca="false">BACKUP!J239</f>
        <v>-12</v>
      </c>
      <c r="K298" s="122" t="n">
        <f aca="false">BACKUP!K239</f>
        <v>-13</v>
      </c>
      <c r="L298" s="122" t="n">
        <f aca="false">BACKUP!L239</f>
        <v>-12</v>
      </c>
      <c r="M298" s="122" t="n">
        <f aca="false">BACKUP!M239</f>
        <v>-13</v>
      </c>
      <c r="N298" s="122" t="n">
        <f aca="false">BACKUP!N239</f>
        <v>-12</v>
      </c>
      <c r="O298" s="122" t="n">
        <f aca="false">BACKUP!O239</f>
        <v>-13</v>
      </c>
      <c r="P298" s="122" t="n">
        <f aca="false">SUM(D298:O298)</f>
        <v>-150</v>
      </c>
      <c r="Q298" s="123" t="n">
        <f aca="false">SUM(D298:J298)</f>
        <v>-87</v>
      </c>
      <c r="R298" s="122" t="n">
        <f aca="false">P298-Q298</f>
        <v>-63</v>
      </c>
      <c r="S298" s="96"/>
      <c r="T298" s="123" t="n">
        <v>0</v>
      </c>
      <c r="U298" s="123" t="n">
        <v>0</v>
      </c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</row>
    <row r="299" customFormat="false" ht="14.65" hidden="false" customHeight="false" outlineLevel="0" collapsed="false">
      <c r="A299" s="122" t="str">
        <f aca="false">BACKUP!A240</f>
        <v>   Other</v>
      </c>
      <c r="B299" s="96"/>
      <c r="C299" s="188" t="s">
        <v>561</v>
      </c>
      <c r="D299" s="122" t="n">
        <f aca="false">BACKUP!D240</f>
        <v>0</v>
      </c>
      <c r="E299" s="122" t="n">
        <f aca="false">BACKUP!E240</f>
        <v>0</v>
      </c>
      <c r="F299" s="122" t="n">
        <f aca="false">BACKUP!F240</f>
        <v>0</v>
      </c>
      <c r="G299" s="122" t="n">
        <f aca="false">BACKUP!G240</f>
        <v>0</v>
      </c>
      <c r="H299" s="122" t="n">
        <f aca="false">BACKUP!H240</f>
        <v>0</v>
      </c>
      <c r="I299" s="122" t="n">
        <f aca="false">BACKUP!I240</f>
        <v>0</v>
      </c>
      <c r="J299" s="122" t="n">
        <f aca="false">BACKUP!J240</f>
        <v>0</v>
      </c>
      <c r="K299" s="122" t="n">
        <f aca="false">BACKUP!K240</f>
        <v>0</v>
      </c>
      <c r="L299" s="122" t="n">
        <f aca="false">BACKUP!L240</f>
        <v>0</v>
      </c>
      <c r="M299" s="122" t="n">
        <f aca="false">BACKUP!M240</f>
        <v>0</v>
      </c>
      <c r="N299" s="122" t="n">
        <f aca="false">BACKUP!N240</f>
        <v>0</v>
      </c>
      <c r="O299" s="122" t="n">
        <f aca="false">BACKUP!O240</f>
        <v>0</v>
      </c>
      <c r="P299" s="122" t="n">
        <f aca="false">SUM(D299:O299)</f>
        <v>0</v>
      </c>
      <c r="Q299" s="123" t="n">
        <f aca="false">SUM(D299:J299)</f>
        <v>0</v>
      </c>
      <c r="R299" s="122" t="n">
        <f aca="false">P299-Q299</f>
        <v>0</v>
      </c>
      <c r="S299" s="96"/>
      <c r="T299" s="123" t="n">
        <v>0</v>
      </c>
      <c r="U299" s="123" t="n">
        <v>0</v>
      </c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</row>
    <row r="300" customFormat="false" ht="14.65" hidden="false" customHeight="false" outlineLevel="0" collapsed="false">
      <c r="A300" s="122" t="str">
        <f aca="false">BACKUP!A241</f>
        <v>   Unidentified "Stretch" (Non Cash)</v>
      </c>
      <c r="B300" s="96"/>
      <c r="C300" s="188" t="s">
        <v>561</v>
      </c>
      <c r="D300" s="122" t="n">
        <f aca="false">BACKUP!D241</f>
        <v>0</v>
      </c>
      <c r="E300" s="122" t="n">
        <f aca="false">BACKUP!E241</f>
        <v>0</v>
      </c>
      <c r="F300" s="122" t="n">
        <f aca="false">BACKUP!F241</f>
        <v>0</v>
      </c>
      <c r="G300" s="122" t="n">
        <f aca="false">BACKUP!G241</f>
        <v>0</v>
      </c>
      <c r="H300" s="122" t="n">
        <f aca="false">BACKUP!H241</f>
        <v>0</v>
      </c>
      <c r="I300" s="122" t="n">
        <f aca="false">BACKUP!I241</f>
        <v>0</v>
      </c>
      <c r="J300" s="122" t="n">
        <f aca="false">BACKUP!J241</f>
        <v>0</v>
      </c>
      <c r="K300" s="122" t="n">
        <f aca="false">BACKUP!K241</f>
        <v>0</v>
      </c>
      <c r="L300" s="122" t="n">
        <f aca="false">BACKUP!L241</f>
        <v>0</v>
      </c>
      <c r="M300" s="122" t="n">
        <f aca="false">BACKUP!M241</f>
        <v>0</v>
      </c>
      <c r="N300" s="122" t="n">
        <f aca="false">BACKUP!N241</f>
        <v>0</v>
      </c>
      <c r="O300" s="122" t="n">
        <f aca="false">BACKUP!O241</f>
        <v>0</v>
      </c>
      <c r="P300" s="122" t="n">
        <f aca="false">SUM(D300:O300)</f>
        <v>0</v>
      </c>
      <c r="Q300" s="123" t="n">
        <f aca="false">SUM(D300:J300)</f>
        <v>0</v>
      </c>
      <c r="R300" s="122" t="n">
        <f aca="false">P300-Q300</f>
        <v>0</v>
      </c>
      <c r="S300" s="96"/>
      <c r="T300" s="123" t="n">
        <v>0</v>
      </c>
      <c r="U300" s="123" t="n">
        <v>0</v>
      </c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</row>
    <row r="301" customFormat="false" ht="14.65" hidden="false" customHeight="false" outlineLevel="0" collapsed="false">
      <c r="A301" s="122" t="str">
        <f aca="false">BACKUP!A242</f>
        <v>   Quarterly Actual vs. Flash Variance (Hyperion Adjust.)</v>
      </c>
      <c r="B301" s="96"/>
      <c r="C301" s="188" t="s">
        <v>561</v>
      </c>
      <c r="D301" s="122" t="n">
        <f aca="false">BACKUP!D242</f>
        <v>0</v>
      </c>
      <c r="E301" s="122" t="n">
        <f aca="false">BACKUP!E242</f>
        <v>0</v>
      </c>
      <c r="F301" s="122" t="n">
        <f aca="false">BACKUP!F242</f>
        <v>0</v>
      </c>
      <c r="G301" s="122" t="n">
        <f aca="false">BACKUP!G242</f>
        <v>0</v>
      </c>
      <c r="H301" s="122" t="n">
        <f aca="false">BACKUP!H242</f>
        <v>0</v>
      </c>
      <c r="I301" s="122" t="n">
        <f aca="false">BACKUP!I242</f>
        <v>0</v>
      </c>
      <c r="J301" s="122" t="n">
        <f aca="false">BACKUP!J242</f>
        <v>0</v>
      </c>
      <c r="K301" s="122" t="n">
        <f aca="false">BACKUP!K242</f>
        <v>0</v>
      </c>
      <c r="L301" s="122" t="n">
        <f aca="false">BACKUP!L242</f>
        <v>0</v>
      </c>
      <c r="M301" s="122" t="n">
        <f aca="false">BACKUP!M242</f>
        <v>0</v>
      </c>
      <c r="N301" s="122" t="n">
        <f aca="false">BACKUP!N242</f>
        <v>0</v>
      </c>
      <c r="O301" s="122" t="n">
        <f aca="false">BACKUP!O242</f>
        <v>0</v>
      </c>
      <c r="P301" s="122" t="n">
        <f aca="false">SUM(D301:O301)</f>
        <v>0</v>
      </c>
      <c r="Q301" s="123" t="n">
        <f aca="false">SUM(D301:J301)</f>
        <v>0</v>
      </c>
      <c r="R301" s="122" t="n">
        <f aca="false">P301-Q301</f>
        <v>0</v>
      </c>
      <c r="S301" s="96"/>
      <c r="T301" s="123" t="n">
        <v>0</v>
      </c>
      <c r="U301" s="123" t="n">
        <v>0</v>
      </c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</row>
    <row r="302" customFormat="false" ht="14.65" hidden="false" customHeight="false" outlineLevel="0" collapsed="false">
      <c r="A302" s="122" t="str">
        <f aca="false">BACKUP!A243</f>
        <v>   Actual / Estimate Adjustment</v>
      </c>
      <c r="B302" s="96"/>
      <c r="C302" s="188" t="s">
        <v>561</v>
      </c>
      <c r="D302" s="135" t="n">
        <f aca="false">BACKUP!D243</f>
        <v>0</v>
      </c>
      <c r="E302" s="135" t="n">
        <f aca="false">BACKUP!E243</f>
        <v>0</v>
      </c>
      <c r="F302" s="135" t="n">
        <f aca="false">BACKUP!F243</f>
        <v>0</v>
      </c>
      <c r="G302" s="135" t="n">
        <f aca="false">BACKUP!G243</f>
        <v>0</v>
      </c>
      <c r="H302" s="135" t="n">
        <f aca="false">BACKUP!H243</f>
        <v>0</v>
      </c>
      <c r="I302" s="135" t="n">
        <f aca="false">BACKUP!I243</f>
        <v>0</v>
      </c>
      <c r="J302" s="135" t="n">
        <f aca="false">BACKUP!J243</f>
        <v>0</v>
      </c>
      <c r="K302" s="135" t="n">
        <f aca="false">BACKUP!K243</f>
        <v>0</v>
      </c>
      <c r="L302" s="135" t="n">
        <f aca="false">BACKUP!L243</f>
        <v>0</v>
      </c>
      <c r="M302" s="135" t="n">
        <f aca="false">BACKUP!M243</f>
        <v>0</v>
      </c>
      <c r="N302" s="135" t="n">
        <f aca="false">BACKUP!N243</f>
        <v>0</v>
      </c>
      <c r="O302" s="135" t="n">
        <f aca="false">BACKUP!O243</f>
        <v>0</v>
      </c>
      <c r="P302" s="122" t="n">
        <f aca="false">SUM(D302:O302)</f>
        <v>0</v>
      </c>
      <c r="Q302" s="123" t="n">
        <f aca="false">SUM(D302:J302)</f>
        <v>0</v>
      </c>
      <c r="R302" s="122" t="n">
        <f aca="false">P302-Q302</f>
        <v>0</v>
      </c>
      <c r="S302" s="96"/>
      <c r="T302" s="123" t="n">
        <v>0</v>
      </c>
      <c r="U302" s="123" t="n">
        <v>0</v>
      </c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</row>
    <row r="303" customFormat="false" ht="3.95" hidden="false" customHeight="true" outlineLevel="0" collapsed="false">
      <c r="A303" s="96"/>
      <c r="B303" s="96"/>
      <c r="C303" s="188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96"/>
      <c r="Q303" s="96"/>
      <c r="R303" s="96"/>
      <c r="S303" s="96"/>
      <c r="T303" s="122"/>
      <c r="U303" s="122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</row>
    <row r="304" customFormat="false" ht="14.65" hidden="false" customHeight="false" outlineLevel="0" collapsed="false">
      <c r="A304" s="145" t="str">
        <f aca="false">BACKUP!A245</f>
        <v>Deferred Charges - End. Balance</v>
      </c>
      <c r="B304" s="96"/>
      <c r="C304" s="188"/>
      <c r="D304" s="135" t="n">
        <f aca="false">BACKUP!D245</f>
        <v>2205</v>
      </c>
      <c r="E304" s="135" t="n">
        <f aca="false">BACKUP!E245</f>
        <v>2928</v>
      </c>
      <c r="F304" s="135" t="n">
        <f aca="false">BACKUP!F245</f>
        <v>2560</v>
      </c>
      <c r="G304" s="135" t="n">
        <f aca="false">BACKUP!G245</f>
        <v>2828</v>
      </c>
      <c r="H304" s="135" t="n">
        <f aca="false">BACKUP!H245</f>
        <v>3401</v>
      </c>
      <c r="I304" s="135" t="n">
        <f aca="false">BACKUP!I245</f>
        <v>3786</v>
      </c>
      <c r="J304" s="135" t="n">
        <f aca="false">BACKUP!J245</f>
        <v>4026</v>
      </c>
      <c r="K304" s="135" t="n">
        <f aca="false">BACKUP!K245</f>
        <v>4013</v>
      </c>
      <c r="L304" s="135" t="n">
        <f aca="false">BACKUP!L245</f>
        <v>4001</v>
      </c>
      <c r="M304" s="135" t="n">
        <f aca="false">BACKUP!M245</f>
        <v>3988</v>
      </c>
      <c r="N304" s="135" t="n">
        <f aca="false">BACKUP!N245</f>
        <v>3976</v>
      </c>
      <c r="O304" s="135" t="n">
        <f aca="false">BACKUP!O245</f>
        <v>3963</v>
      </c>
      <c r="P304" s="96"/>
      <c r="Q304" s="96"/>
      <c r="R304" s="96"/>
      <c r="S304" s="96"/>
      <c r="T304" s="122"/>
      <c r="U304" s="122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</row>
    <row r="305" customFormat="false" ht="14.65" hidden="false" customHeight="false" outlineLevel="0" collapsed="false">
      <c r="A305" s="96"/>
      <c r="B305" s="96"/>
      <c r="C305" s="188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122"/>
      <c r="U305" s="122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</row>
    <row r="306" customFormat="false" ht="14.65" hidden="false" customHeight="false" outlineLevel="0" collapsed="false">
      <c r="A306" s="109" t="s">
        <v>569</v>
      </c>
      <c r="B306" s="96"/>
      <c r="C306" s="188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122"/>
      <c r="U306" s="122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</row>
    <row r="307" customFormat="false" ht="14.65" hidden="false" customHeight="false" outlineLevel="0" collapsed="false">
      <c r="A307" s="122" t="str">
        <f aca="false">BACKUP!A378</f>
        <v>   Reserve Issues - Other</v>
      </c>
      <c r="B307" s="96"/>
      <c r="C307" s="188"/>
      <c r="D307" s="122" t="n">
        <f aca="false">BACKUP!D378</f>
        <v>0</v>
      </c>
      <c r="E307" s="122" t="n">
        <f aca="false">BACKUP!E378</f>
        <v>0</v>
      </c>
      <c r="F307" s="122" t="n">
        <f aca="false">BACKUP!F378</f>
        <v>0</v>
      </c>
      <c r="G307" s="122" t="n">
        <f aca="false">BACKUP!G378</f>
        <v>0</v>
      </c>
      <c r="H307" s="122" t="n">
        <f aca="false">BACKUP!H378</f>
        <v>0</v>
      </c>
      <c r="I307" s="122" t="n">
        <f aca="false">BACKUP!I378</f>
        <v>0</v>
      </c>
      <c r="J307" s="122" t="n">
        <f aca="false">BACKUP!J378</f>
        <v>0</v>
      </c>
      <c r="K307" s="122" t="n">
        <f aca="false">BACKUP!K378</f>
        <v>0</v>
      </c>
      <c r="L307" s="122" t="n">
        <f aca="false">BACKUP!L378</f>
        <v>0</v>
      </c>
      <c r="M307" s="122" t="n">
        <f aca="false">BACKUP!M378</f>
        <v>0</v>
      </c>
      <c r="N307" s="122" t="n">
        <f aca="false">BACKUP!N378</f>
        <v>0</v>
      </c>
      <c r="O307" s="122" t="n">
        <f aca="false">BACKUP!O378</f>
        <v>0</v>
      </c>
      <c r="P307" s="122" t="n">
        <f aca="false">SUM(D307:O307)</f>
        <v>0</v>
      </c>
      <c r="Q307" s="123" t="n">
        <f aca="false">SUM(D307:J307)</f>
        <v>0</v>
      </c>
      <c r="R307" s="122" t="n">
        <f aca="false">P307-Q307</f>
        <v>0</v>
      </c>
      <c r="S307" s="96"/>
      <c r="T307" s="122"/>
      <c r="U307" s="122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</row>
    <row r="308" customFormat="false" ht="14.65" hidden="false" customHeight="false" outlineLevel="0" collapsed="false">
      <c r="A308" s="122" t="str">
        <f aca="false">BACKUP!A379</f>
        <v>        - Deferred Interest Income (Starting in 1997)</v>
      </c>
      <c r="B308" s="96"/>
      <c r="C308" s="188"/>
      <c r="D308" s="122" t="n">
        <f aca="false">BACKUP!D379</f>
        <v>9</v>
      </c>
      <c r="E308" s="122" t="n">
        <f aca="false">BACKUP!E379</f>
        <v>0</v>
      </c>
      <c r="F308" s="122" t="n">
        <f aca="false">BACKUP!F379</f>
        <v>12</v>
      </c>
      <c r="G308" s="122" t="n">
        <f aca="false">BACKUP!G379</f>
        <v>9</v>
      </c>
      <c r="H308" s="122" t="n">
        <f aca="false">BACKUP!H379</f>
        <v>5</v>
      </c>
      <c r="I308" s="122" t="n">
        <f aca="false">BACKUP!I379</f>
        <v>0</v>
      </c>
      <c r="J308" s="122" t="n">
        <f aca="false">BACKUP!J379</f>
        <v>36</v>
      </c>
      <c r="K308" s="122" t="n">
        <f aca="false">BACKUP!K379</f>
        <v>0</v>
      </c>
      <c r="L308" s="122" t="n">
        <f aca="false">BACKUP!L379</f>
        <v>0</v>
      </c>
      <c r="M308" s="122" t="n">
        <f aca="false">BACKUP!M379</f>
        <v>0</v>
      </c>
      <c r="N308" s="122" t="n">
        <f aca="false">BACKUP!N379</f>
        <v>0</v>
      </c>
      <c r="O308" s="122" t="n">
        <f aca="false">BACKUP!O379</f>
        <v>0</v>
      </c>
      <c r="P308" s="122" t="n">
        <f aca="false">SUM(D308:O308)</f>
        <v>71</v>
      </c>
      <c r="Q308" s="123" t="n">
        <f aca="false">SUM(D308:J308)</f>
        <v>71</v>
      </c>
      <c r="R308" s="122" t="n">
        <f aca="false">P308-Q308</f>
        <v>0</v>
      </c>
      <c r="S308" s="96"/>
      <c r="T308" s="122"/>
      <c r="U308" s="122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</row>
    <row r="309" customFormat="false" ht="14.65" hidden="false" customHeight="false" outlineLevel="0" collapsed="false">
      <c r="A309" s="122" t="str">
        <f aca="false">BACKUP!A380</f>
        <v>        - Other (Earning Management)</v>
      </c>
      <c r="B309" s="96"/>
      <c r="C309" s="188"/>
      <c r="D309" s="122" t="n">
        <f aca="false">BACKUP!D380</f>
        <v>0</v>
      </c>
      <c r="E309" s="122" t="n">
        <f aca="false">BACKUP!E380</f>
        <v>0</v>
      </c>
      <c r="F309" s="122" t="n">
        <f aca="false">BACKUP!F380</f>
        <v>0</v>
      </c>
      <c r="G309" s="122" t="n">
        <f aca="false">BACKUP!G380</f>
        <v>379</v>
      </c>
      <c r="H309" s="122" t="n">
        <f aca="false">BACKUP!H380</f>
        <v>-331</v>
      </c>
      <c r="I309" s="122" t="n">
        <f aca="false">BACKUP!I380</f>
        <v>0</v>
      </c>
      <c r="J309" s="122" t="n">
        <f aca="false">BACKUP!J380</f>
        <v>0</v>
      </c>
      <c r="K309" s="122" t="n">
        <f aca="false">BACKUP!K380</f>
        <v>0</v>
      </c>
      <c r="L309" s="122" t="n">
        <f aca="false">BACKUP!L380</f>
        <v>0</v>
      </c>
      <c r="M309" s="122" t="n">
        <f aca="false">BACKUP!M380</f>
        <v>0</v>
      </c>
      <c r="N309" s="122" t="n">
        <f aca="false">BACKUP!N380</f>
        <v>0</v>
      </c>
      <c r="O309" s="122" t="n">
        <f aca="false">BACKUP!O380</f>
        <v>0</v>
      </c>
      <c r="P309" s="122" t="n">
        <f aca="false">SUM(D309:O309)</f>
        <v>48</v>
      </c>
      <c r="Q309" s="123" t="n">
        <f aca="false">SUM(D309:J309)</f>
        <v>48</v>
      </c>
      <c r="R309" s="122" t="n">
        <f aca="false">P309-Q309</f>
        <v>0</v>
      </c>
      <c r="S309" s="96"/>
      <c r="T309" s="122"/>
      <c r="U309" s="122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</row>
    <row r="310" customFormat="false" ht="14.65" hidden="false" customHeight="false" outlineLevel="0" collapsed="false">
      <c r="A310" s="122" t="str">
        <f aca="false">BACKUP!A381</f>
        <v>        - Negotiated Rates / SoCal Issue </v>
      </c>
      <c r="B310" s="96"/>
      <c r="C310" s="188"/>
      <c r="D310" s="122" t="n">
        <f aca="false">BACKUP!D381</f>
        <v>0</v>
      </c>
      <c r="E310" s="122" t="n">
        <f aca="false">BACKUP!E381</f>
        <v>0</v>
      </c>
      <c r="F310" s="122" t="n">
        <f aca="false">BACKUP!F381</f>
        <v>11540</v>
      </c>
      <c r="G310" s="122" t="n">
        <f aca="false">BACKUP!G381</f>
        <v>367</v>
      </c>
      <c r="H310" s="122" t="n">
        <f aca="false">BACKUP!H381</f>
        <v>0</v>
      </c>
      <c r="I310" s="122" t="n">
        <f aca="false">BACKUP!I381</f>
        <v>325</v>
      </c>
      <c r="J310" s="122" t="n">
        <f aca="false">BACKUP!J381</f>
        <v>0</v>
      </c>
      <c r="K310" s="122" t="n">
        <f aca="false">BACKUP!K381</f>
        <v>0</v>
      </c>
      <c r="L310" s="122" t="n">
        <f aca="false">BACKUP!L381</f>
        <v>-12280</v>
      </c>
      <c r="M310" s="122" t="n">
        <f aca="false">BACKUP!M381</f>
        <v>0</v>
      </c>
      <c r="N310" s="122" t="n">
        <f aca="false">BACKUP!N381</f>
        <v>0</v>
      </c>
      <c r="O310" s="122" t="n">
        <f aca="false">BACKUP!O381</f>
        <v>0</v>
      </c>
      <c r="P310" s="122" t="n">
        <f aca="false">SUM(D310:O310)</f>
        <v>-48</v>
      </c>
      <c r="Q310" s="123" t="n">
        <f aca="false">SUM(D310:J310)</f>
        <v>12232</v>
      </c>
      <c r="R310" s="122" t="n">
        <f aca="false">P310-Q310</f>
        <v>-12280</v>
      </c>
      <c r="S310" s="96"/>
      <c r="T310" s="122"/>
      <c r="U310" s="122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</row>
    <row r="311" customFormat="false" ht="14.65" hidden="false" customHeight="false" outlineLevel="0" collapsed="false">
      <c r="A311" s="122" t="str">
        <f aca="false">BACKUP!A382</f>
        <v>        - Misc. (2/01 Grynberg Legal, 3/01 Fuel Issue)</v>
      </c>
      <c r="B311" s="96"/>
      <c r="C311" s="188"/>
      <c r="D311" s="135" t="n">
        <f aca="false">BACKUP!D382</f>
        <v>0</v>
      </c>
      <c r="E311" s="135" t="n">
        <f aca="false">BACKUP!E382</f>
        <v>200</v>
      </c>
      <c r="F311" s="135" t="n">
        <f aca="false">BACKUP!F382</f>
        <v>0</v>
      </c>
      <c r="G311" s="135" t="n">
        <f aca="false">BACKUP!G382</f>
        <v>0</v>
      </c>
      <c r="H311" s="135" t="n">
        <f aca="false">BACKUP!H382</f>
        <v>0</v>
      </c>
      <c r="I311" s="135" t="n">
        <f aca="false">BACKUP!I382</f>
        <v>0</v>
      </c>
      <c r="J311" s="135" t="n">
        <f aca="false">BACKUP!J382</f>
        <v>0</v>
      </c>
      <c r="K311" s="135" t="n">
        <f aca="false">BACKUP!K382</f>
        <v>0</v>
      </c>
      <c r="L311" s="135" t="n">
        <f aca="false">BACKUP!L382</f>
        <v>0</v>
      </c>
      <c r="M311" s="135" t="n">
        <f aca="false">BACKUP!M382</f>
        <v>0</v>
      </c>
      <c r="N311" s="135" t="n">
        <f aca="false">BACKUP!N382</f>
        <v>0</v>
      </c>
      <c r="O311" s="135" t="n">
        <f aca="false">BACKUP!O382</f>
        <v>0</v>
      </c>
      <c r="P311" s="135" t="n">
        <f aca="false">SUM(D311:O311)</f>
        <v>200</v>
      </c>
      <c r="Q311" s="136" t="n">
        <f aca="false">SUM(D311:J311)</f>
        <v>200</v>
      </c>
      <c r="R311" s="135" t="n">
        <f aca="false">P311-Q311</f>
        <v>0</v>
      </c>
      <c r="S311" s="96"/>
      <c r="T311" s="122"/>
      <c r="U311" s="122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</row>
    <row r="312" customFormat="false" ht="3.95" hidden="false" customHeight="true" outlineLevel="0" collapsed="false">
      <c r="A312" s="122"/>
      <c r="B312" s="96"/>
      <c r="C312" s="188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122"/>
      <c r="U312" s="122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</row>
    <row r="313" customFormat="false" ht="14.65" hidden="false" customHeight="false" outlineLevel="0" collapsed="false">
      <c r="A313" s="121" t="s">
        <v>570</v>
      </c>
      <c r="B313" s="96"/>
      <c r="C313" s="188" t="s">
        <v>561</v>
      </c>
      <c r="D313" s="153" t="n">
        <f aca="false">SUM(D307:D311)</f>
        <v>9</v>
      </c>
      <c r="E313" s="153" t="n">
        <f aca="false">SUM(E307:E311)</f>
        <v>200</v>
      </c>
      <c r="F313" s="153" t="n">
        <f aca="false">SUM(F307:F311)</f>
        <v>11552</v>
      </c>
      <c r="G313" s="153" t="n">
        <f aca="false">SUM(G307:G311)</f>
        <v>755</v>
      </c>
      <c r="H313" s="153" t="n">
        <f aca="false">SUM(H307:H311)</f>
        <v>-326</v>
      </c>
      <c r="I313" s="153" t="n">
        <f aca="false">SUM(I307:I311)</f>
        <v>325</v>
      </c>
      <c r="J313" s="153" t="n">
        <f aca="false">SUM(J307:J311)</f>
        <v>36</v>
      </c>
      <c r="K313" s="153" t="n">
        <f aca="false">SUM(K307:K311)</f>
        <v>0</v>
      </c>
      <c r="L313" s="153" t="n">
        <f aca="false">SUM(L307:L311)</f>
        <v>-12280</v>
      </c>
      <c r="M313" s="153" t="n">
        <f aca="false">SUM(M307:M311)</f>
        <v>0</v>
      </c>
      <c r="N313" s="153" t="n">
        <f aca="false">SUM(N307:N311)</f>
        <v>0</v>
      </c>
      <c r="O313" s="153" t="n">
        <f aca="false">SUM(O307:O311)</f>
        <v>0</v>
      </c>
      <c r="P313" s="153" t="n">
        <f aca="false">SUM(P307:P311)</f>
        <v>271</v>
      </c>
      <c r="Q313" s="153" t="n">
        <f aca="false">SUM(Q307:Q311)</f>
        <v>12551</v>
      </c>
      <c r="R313" s="153" t="n">
        <f aca="false">SUM(R307:R311)</f>
        <v>-12280</v>
      </c>
      <c r="S313" s="96"/>
      <c r="T313" s="122"/>
      <c r="U313" s="122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</row>
    <row r="314" customFormat="false" ht="14.65" hidden="false" customHeight="false" outlineLevel="0" collapsed="false">
      <c r="A314" s="96"/>
      <c r="B314" s="96"/>
      <c r="C314" s="188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122"/>
      <c r="U314" s="122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</row>
    <row r="315" customFormat="false" ht="14.65" hidden="false" customHeight="false" outlineLevel="0" collapsed="false">
      <c r="A315" s="187" t="str">
        <f aca="false">BACKUP!A415</f>
        <v>Other Deferred Credits - Beg. Balance</v>
      </c>
      <c r="B315" s="96"/>
      <c r="C315" s="188"/>
      <c r="D315" s="122" t="n">
        <f aca="false">BACKUP!D415</f>
        <v>2661</v>
      </c>
      <c r="E315" s="122" t="n">
        <f aca="false">BACKUP!E415</f>
        <v>2637</v>
      </c>
      <c r="F315" s="122" t="n">
        <f aca="false">BACKUP!F415</f>
        <v>2614</v>
      </c>
      <c r="G315" s="122" t="n">
        <f aca="false">BACKUP!G415</f>
        <v>2592</v>
      </c>
      <c r="H315" s="122" t="n">
        <f aca="false">BACKUP!H415</f>
        <v>2570</v>
      </c>
      <c r="I315" s="122" t="n">
        <f aca="false">BACKUP!I415</f>
        <v>2542</v>
      </c>
      <c r="J315" s="122" t="n">
        <f aca="false">BACKUP!J415</f>
        <v>2520</v>
      </c>
      <c r="K315" s="122" t="n">
        <f aca="false">BACKUP!K415</f>
        <v>2497</v>
      </c>
      <c r="L315" s="122" t="n">
        <f aca="false">BACKUP!L415</f>
        <v>2473</v>
      </c>
      <c r="M315" s="122" t="n">
        <f aca="false">BACKUP!M415</f>
        <v>2449</v>
      </c>
      <c r="N315" s="122" t="n">
        <f aca="false">BACKUP!N415</f>
        <v>2425</v>
      </c>
      <c r="O315" s="122" t="n">
        <f aca="false">BACKUP!O415</f>
        <v>2401</v>
      </c>
      <c r="P315" s="122"/>
      <c r="Q315" s="122"/>
      <c r="R315" s="122"/>
      <c r="S315" s="96"/>
      <c r="T315" s="122"/>
      <c r="U315" s="122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</row>
    <row r="316" customFormat="false" ht="14.65" hidden="false" customHeight="false" outlineLevel="0" collapsed="false">
      <c r="A316" s="122" t="str">
        <f aca="false">BACKUP!A416</f>
        <v>   Unamortized Gain on Reacquired Debt</v>
      </c>
      <c r="B316" s="96"/>
      <c r="C316" s="188" t="s">
        <v>561</v>
      </c>
      <c r="D316" s="122" t="n">
        <f aca="false">BACKUP!D416</f>
        <v>-0</v>
      </c>
      <c r="E316" s="122" t="n">
        <f aca="false">BACKUP!E416</f>
        <v>-0</v>
      </c>
      <c r="F316" s="122" t="n">
        <f aca="false">BACKUP!F416</f>
        <v>-0</v>
      </c>
      <c r="G316" s="122" t="n">
        <f aca="false">BACKUP!G416</f>
        <v>-0</v>
      </c>
      <c r="H316" s="122" t="n">
        <f aca="false">BACKUP!H416</f>
        <v>-0</v>
      </c>
      <c r="I316" s="122" t="n">
        <f aca="false">BACKUP!I416</f>
        <v>-0</v>
      </c>
      <c r="J316" s="122" t="n">
        <f aca="false">BACKUP!J416</f>
        <v>-0</v>
      </c>
      <c r="K316" s="122" t="n">
        <f aca="false">BACKUP!K416</f>
        <v>-0</v>
      </c>
      <c r="L316" s="122" t="n">
        <f aca="false">BACKUP!L416</f>
        <v>-0</v>
      </c>
      <c r="M316" s="122" t="n">
        <f aca="false">BACKUP!M416</f>
        <v>-0</v>
      </c>
      <c r="N316" s="122" t="n">
        <f aca="false">BACKUP!N416</f>
        <v>-0</v>
      </c>
      <c r="O316" s="122" t="n">
        <f aca="false">BACKUP!O416</f>
        <v>-0</v>
      </c>
      <c r="P316" s="122" t="n">
        <f aca="false">SUM(D316:O316)</f>
        <v>0</v>
      </c>
      <c r="Q316" s="123" t="n">
        <f aca="false">SUM(D316:J316)</f>
        <v>0</v>
      </c>
      <c r="R316" s="122" t="n">
        <f aca="false">P316-Q316</f>
        <v>0</v>
      </c>
      <c r="S316" s="96"/>
      <c r="T316" s="123" t="n">
        <v>0</v>
      </c>
      <c r="U316" s="123" t="n">
        <v>0</v>
      </c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</row>
    <row r="317" customFormat="false" ht="14.65" hidden="false" customHeight="false" outlineLevel="0" collapsed="false">
      <c r="A317" s="122" t="str">
        <f aca="false">BACKUP!A417</f>
        <v>   Other </v>
      </c>
      <c r="B317" s="96"/>
      <c r="C317" s="188" t="s">
        <v>561</v>
      </c>
      <c r="D317" s="122" t="n">
        <f aca="false">BACKUP!D417</f>
        <v>0</v>
      </c>
      <c r="E317" s="122" t="n">
        <f aca="false">BACKUP!E417</f>
        <v>0</v>
      </c>
      <c r="F317" s="122" t="n">
        <f aca="false">BACKUP!F417</f>
        <v>0</v>
      </c>
      <c r="G317" s="122" t="n">
        <f aca="false">BACKUP!G417</f>
        <v>0</v>
      </c>
      <c r="H317" s="122" t="n">
        <f aca="false">BACKUP!H417</f>
        <v>0</v>
      </c>
      <c r="I317" s="122" t="n">
        <f aca="false">BACKUP!I417</f>
        <v>0</v>
      </c>
      <c r="J317" s="122" t="n">
        <f aca="false">BACKUP!J417</f>
        <v>0</v>
      </c>
      <c r="K317" s="122" t="n">
        <f aca="false">BACKUP!K417</f>
        <v>0</v>
      </c>
      <c r="L317" s="122" t="n">
        <f aca="false">BACKUP!L417</f>
        <v>0</v>
      </c>
      <c r="M317" s="122" t="n">
        <f aca="false">BACKUP!M417</f>
        <v>0</v>
      </c>
      <c r="N317" s="122" t="n">
        <f aca="false">BACKUP!N417</f>
        <v>0</v>
      </c>
      <c r="O317" s="122" t="n">
        <f aca="false">BACKUP!O417</f>
        <v>0</v>
      </c>
      <c r="P317" s="122" t="n">
        <f aca="false">SUM(D317:O317)</f>
        <v>0</v>
      </c>
      <c r="Q317" s="123" t="n">
        <f aca="false">SUM(D317:J317)</f>
        <v>0</v>
      </c>
      <c r="R317" s="122" t="n">
        <f aca="false">P317-Q317</f>
        <v>0</v>
      </c>
      <c r="S317" s="96"/>
      <c r="T317" s="123" t="n">
        <v>0</v>
      </c>
      <c r="U317" s="123" t="n">
        <v>0</v>
      </c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</row>
    <row r="318" customFormat="false" ht="14.65" hidden="false" customHeight="false" outlineLevel="0" collapsed="false">
      <c r="A318" s="122" t="str">
        <f aca="false">BACKUP!A418</f>
        <v>   PG&amp;E ($430) and UAF ($244) Accruals</v>
      </c>
      <c r="B318" s="96"/>
      <c r="C318" s="188" t="s">
        <v>561</v>
      </c>
      <c r="D318" s="122" t="n">
        <f aca="false">BACKUP!D418</f>
        <v>0</v>
      </c>
      <c r="E318" s="122" t="n">
        <f aca="false">BACKUP!E418</f>
        <v>0</v>
      </c>
      <c r="F318" s="122" t="n">
        <f aca="false">BACKUP!F418</f>
        <v>0</v>
      </c>
      <c r="G318" s="122" t="n">
        <f aca="false">BACKUP!G418</f>
        <v>0</v>
      </c>
      <c r="H318" s="122" t="n">
        <f aca="false">BACKUP!H418</f>
        <v>0</v>
      </c>
      <c r="I318" s="122" t="n">
        <f aca="false">BACKUP!I418</f>
        <v>0</v>
      </c>
      <c r="J318" s="122" t="n">
        <f aca="false">BACKUP!J418</f>
        <v>0</v>
      </c>
      <c r="K318" s="122" t="n">
        <f aca="false">BACKUP!K418</f>
        <v>0</v>
      </c>
      <c r="L318" s="122" t="n">
        <f aca="false">BACKUP!L418</f>
        <v>0</v>
      </c>
      <c r="M318" s="122" t="n">
        <f aca="false">BACKUP!M418</f>
        <v>0</v>
      </c>
      <c r="N318" s="122" t="n">
        <f aca="false">BACKUP!N418</f>
        <v>0</v>
      </c>
      <c r="O318" s="122" t="n">
        <f aca="false">BACKUP!O418</f>
        <v>0</v>
      </c>
      <c r="P318" s="122" t="n">
        <f aca="false">SUM(D318:O318)</f>
        <v>0</v>
      </c>
      <c r="Q318" s="123" t="n">
        <f aca="false">SUM(D318:J318)</f>
        <v>0</v>
      </c>
      <c r="R318" s="122" t="n">
        <f aca="false">P318-Q318</f>
        <v>0</v>
      </c>
      <c r="S318" s="96"/>
      <c r="T318" s="123" t="n">
        <v>0</v>
      </c>
      <c r="U318" s="123" t="n">
        <v>0</v>
      </c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</row>
    <row r="319" customFormat="false" ht="14.65" hidden="false" customHeight="false" outlineLevel="0" collapsed="false">
      <c r="A319" s="122" t="str">
        <f aca="false">BACKUP!A419</f>
        <v>   Provision for Rate Refund</v>
      </c>
      <c r="B319" s="96"/>
      <c r="C319" s="188" t="s">
        <v>561</v>
      </c>
      <c r="D319" s="122" t="n">
        <f aca="false">BACKUP!D419</f>
        <v>0</v>
      </c>
      <c r="E319" s="122" t="n">
        <f aca="false">BACKUP!E419</f>
        <v>0</v>
      </c>
      <c r="F319" s="122" t="n">
        <f aca="false">BACKUP!F419</f>
        <v>0</v>
      </c>
      <c r="G319" s="122" t="n">
        <f aca="false">BACKUP!G419</f>
        <v>0</v>
      </c>
      <c r="H319" s="122" t="n">
        <f aca="false">BACKUP!H419</f>
        <v>0</v>
      </c>
      <c r="I319" s="122" t="n">
        <f aca="false">BACKUP!I419</f>
        <v>0</v>
      </c>
      <c r="J319" s="122" t="n">
        <f aca="false">BACKUP!J419</f>
        <v>0</v>
      </c>
      <c r="K319" s="122" t="n">
        <f aca="false">BACKUP!K419</f>
        <v>0</v>
      </c>
      <c r="L319" s="122" t="n">
        <f aca="false">BACKUP!L419</f>
        <v>0</v>
      </c>
      <c r="M319" s="122" t="n">
        <f aca="false">BACKUP!M419</f>
        <v>0</v>
      </c>
      <c r="N319" s="122" t="n">
        <f aca="false">BACKUP!N419</f>
        <v>0</v>
      </c>
      <c r="O319" s="122" t="n">
        <f aca="false">BACKUP!O419</f>
        <v>0</v>
      </c>
      <c r="P319" s="122" t="n">
        <f aca="false">SUM(D319:O319)</f>
        <v>0</v>
      </c>
      <c r="Q319" s="123" t="n">
        <f aca="false">SUM(D319:J319)</f>
        <v>0</v>
      </c>
      <c r="R319" s="122" t="n">
        <f aca="false">P319-Q319</f>
        <v>0</v>
      </c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</row>
    <row r="320" customFormat="false" ht="14.65" hidden="false" customHeight="false" outlineLevel="0" collapsed="false">
      <c r="A320" s="122" t="str">
        <f aca="false">BACKUP!A420</f>
        <v>   Misc. (Acct. 2530-999-9999)</v>
      </c>
      <c r="B320" s="96"/>
      <c r="C320" s="188" t="s">
        <v>561</v>
      </c>
      <c r="D320" s="122" t="n">
        <f aca="false">BACKUP!D420</f>
        <v>0</v>
      </c>
      <c r="E320" s="122" t="n">
        <f aca="false">BACKUP!E420</f>
        <v>0</v>
      </c>
      <c r="F320" s="122" t="n">
        <f aca="false">BACKUP!F420</f>
        <v>0</v>
      </c>
      <c r="G320" s="122" t="n">
        <f aca="false">BACKUP!G420</f>
        <v>0</v>
      </c>
      <c r="H320" s="122" t="n">
        <f aca="false">BACKUP!H420</f>
        <v>0</v>
      </c>
      <c r="I320" s="122" t="n">
        <f aca="false">BACKUP!I420</f>
        <v>0</v>
      </c>
      <c r="J320" s="122" t="n">
        <f aca="false">BACKUP!J420</f>
        <v>0</v>
      </c>
      <c r="K320" s="122" t="n">
        <f aca="false">BACKUP!K420</f>
        <v>0</v>
      </c>
      <c r="L320" s="122" t="n">
        <f aca="false">BACKUP!L420</f>
        <v>0</v>
      </c>
      <c r="M320" s="122" t="n">
        <f aca="false">BACKUP!M420</f>
        <v>0</v>
      </c>
      <c r="N320" s="122" t="n">
        <f aca="false">BACKUP!N420</f>
        <v>0</v>
      </c>
      <c r="O320" s="122" t="n">
        <f aca="false">BACKUP!O420</f>
        <v>0</v>
      </c>
      <c r="P320" s="122" t="n">
        <f aca="false">SUM(D320:O320)</f>
        <v>0</v>
      </c>
      <c r="Q320" s="123" t="n">
        <f aca="false">SUM(D320:J320)</f>
        <v>0</v>
      </c>
      <c r="R320" s="122" t="n">
        <f aca="false">P320-Q320</f>
        <v>0</v>
      </c>
      <c r="S320" s="96"/>
      <c r="T320" s="123" t="n">
        <v>0</v>
      </c>
      <c r="U320" s="123" t="n">
        <v>0</v>
      </c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</row>
    <row r="321" customFormat="false" ht="14.65" hidden="false" customHeight="false" outlineLevel="0" collapsed="false">
      <c r="A321" s="122" t="str">
        <f aca="false">BACKUP!A421</f>
        <v>   Gallup Issue</v>
      </c>
      <c r="B321" s="96"/>
      <c r="C321" s="188" t="s">
        <v>561</v>
      </c>
      <c r="D321" s="122" t="n">
        <f aca="false">BACKUP!D421</f>
        <v>-24</v>
      </c>
      <c r="E321" s="122" t="n">
        <f aca="false">BACKUP!E421</f>
        <v>-23</v>
      </c>
      <c r="F321" s="122" t="n">
        <f aca="false">BACKUP!F421</f>
        <v>-22</v>
      </c>
      <c r="G321" s="122" t="n">
        <f aca="false">BACKUP!G421</f>
        <v>-22</v>
      </c>
      <c r="H321" s="122" t="n">
        <f aca="false">BACKUP!H421</f>
        <v>-24</v>
      </c>
      <c r="I321" s="122" t="n">
        <f aca="false">BACKUP!I421</f>
        <v>-24</v>
      </c>
      <c r="J321" s="122" t="n">
        <f aca="false">BACKUP!J421</f>
        <v>-24</v>
      </c>
      <c r="K321" s="122" t="n">
        <f aca="false">BACKUP!K421</f>
        <v>-24</v>
      </c>
      <c r="L321" s="122" t="n">
        <f aca="false">BACKUP!L421</f>
        <v>-24</v>
      </c>
      <c r="M321" s="122" t="n">
        <f aca="false">BACKUP!M421</f>
        <v>-24</v>
      </c>
      <c r="N321" s="122" t="n">
        <f aca="false">BACKUP!N421</f>
        <v>-24</v>
      </c>
      <c r="O321" s="122" t="n">
        <f aca="false">BACKUP!O421</f>
        <v>-24</v>
      </c>
      <c r="P321" s="122" t="n">
        <f aca="false">SUM(D321:O321)</f>
        <v>-283</v>
      </c>
      <c r="Q321" s="123" t="n">
        <f aca="false">SUM(D321:J321)</f>
        <v>-163</v>
      </c>
      <c r="R321" s="122" t="n">
        <f aca="false">P321-Q321</f>
        <v>-120</v>
      </c>
      <c r="S321" s="96"/>
      <c r="T321" s="123"/>
      <c r="U321" s="123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</row>
    <row r="322" customFormat="false" ht="14.65" hidden="false" customHeight="false" outlineLevel="0" collapsed="false">
      <c r="A322" s="122" t="str">
        <f aca="false">BACKUP!A422</f>
        <v>   Actual / Estimate Adjustment </v>
      </c>
      <c r="B322" s="96"/>
      <c r="C322" s="188" t="s">
        <v>561</v>
      </c>
      <c r="D322" s="135" t="n">
        <f aca="false">BACKUP!D422</f>
        <v>0</v>
      </c>
      <c r="E322" s="135" t="n">
        <f aca="false">BACKUP!E422</f>
        <v>0</v>
      </c>
      <c r="F322" s="135" t="n">
        <f aca="false">BACKUP!F422</f>
        <v>0</v>
      </c>
      <c r="G322" s="135" t="n">
        <f aca="false">BACKUP!G422</f>
        <v>0</v>
      </c>
      <c r="H322" s="135" t="n">
        <f aca="false">BACKUP!H422</f>
        <v>-4</v>
      </c>
      <c r="I322" s="135" t="n">
        <f aca="false">BACKUP!I422</f>
        <v>2</v>
      </c>
      <c r="J322" s="135" t="n">
        <f aca="false">BACKUP!J422</f>
        <v>1</v>
      </c>
      <c r="K322" s="135" t="n">
        <f aca="false">BACKUP!K422</f>
        <v>0</v>
      </c>
      <c r="L322" s="135" t="n">
        <f aca="false">BACKUP!L422</f>
        <v>0</v>
      </c>
      <c r="M322" s="135" t="n">
        <f aca="false">BACKUP!M422</f>
        <v>0</v>
      </c>
      <c r="N322" s="135" t="n">
        <f aca="false">BACKUP!N422</f>
        <v>0</v>
      </c>
      <c r="O322" s="135" t="n">
        <f aca="false">BACKUP!O422</f>
        <v>0</v>
      </c>
      <c r="P322" s="122" t="n">
        <f aca="false">SUM(D322:O322)</f>
        <v>-1</v>
      </c>
      <c r="Q322" s="123" t="n">
        <f aca="false">SUM(D322:J322)</f>
        <v>-1</v>
      </c>
      <c r="R322" s="122" t="n">
        <f aca="false">P322-Q322</f>
        <v>0</v>
      </c>
      <c r="S322" s="96"/>
      <c r="T322" s="123"/>
      <c r="U322" s="123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</row>
    <row r="323" customFormat="false" ht="3.95" hidden="false" customHeight="true" outlineLevel="0" collapsed="false">
      <c r="A323" s="96"/>
      <c r="B323" s="96"/>
      <c r="C323" s="188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96"/>
      <c r="Q323" s="96"/>
      <c r="R323" s="96"/>
      <c r="S323" s="96"/>
      <c r="T323" s="96"/>
      <c r="U323" s="122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</row>
    <row r="324" customFormat="false" ht="14.65" hidden="false" customHeight="false" outlineLevel="0" collapsed="false">
      <c r="A324" s="187" t="str">
        <f aca="false">BACKUP!A424</f>
        <v>Other Deferred Credits - End. Balance</v>
      </c>
      <c r="B324" s="96"/>
      <c r="C324" s="188"/>
      <c r="D324" s="135" t="n">
        <f aca="false">BACKUP!D424</f>
        <v>2637</v>
      </c>
      <c r="E324" s="135" t="n">
        <f aca="false">BACKUP!E424</f>
        <v>2614</v>
      </c>
      <c r="F324" s="135" t="n">
        <f aca="false">BACKUP!F424</f>
        <v>2592</v>
      </c>
      <c r="G324" s="135" t="n">
        <f aca="false">BACKUP!G424</f>
        <v>2570</v>
      </c>
      <c r="H324" s="135" t="n">
        <f aca="false">BACKUP!H424</f>
        <v>2542</v>
      </c>
      <c r="I324" s="135" t="n">
        <f aca="false">BACKUP!I424</f>
        <v>2520</v>
      </c>
      <c r="J324" s="135" t="n">
        <f aca="false">BACKUP!J424</f>
        <v>2497</v>
      </c>
      <c r="K324" s="135" t="n">
        <f aca="false">BACKUP!K424</f>
        <v>2473</v>
      </c>
      <c r="L324" s="135" t="n">
        <f aca="false">BACKUP!L424</f>
        <v>2449</v>
      </c>
      <c r="M324" s="135" t="n">
        <f aca="false">BACKUP!M424</f>
        <v>2425</v>
      </c>
      <c r="N324" s="135" t="n">
        <f aca="false">BACKUP!N424</f>
        <v>2401</v>
      </c>
      <c r="O324" s="135" t="n">
        <f aca="false">BACKUP!O424</f>
        <v>2377</v>
      </c>
      <c r="P324" s="96"/>
      <c r="Q324" s="96"/>
      <c r="R324" s="96"/>
      <c r="S324" s="96"/>
      <c r="T324" s="96"/>
      <c r="U324" s="122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</row>
    <row r="325" customFormat="false" ht="14.65" hidden="false" customHeight="false" outlineLevel="0" collapsed="false">
      <c r="A325" s="96"/>
      <c r="B325" s="96"/>
      <c r="C325" s="188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</row>
    <row r="326" customFormat="false" ht="14.65" hidden="false" customHeight="false" outlineLevel="0" collapsed="false">
      <c r="A326" s="187" t="str">
        <f aca="false">BACKUP!A226</f>
        <v>Regulatory Assets (Noncurrent) - End. Balance</v>
      </c>
      <c r="B326" s="96"/>
      <c r="C326" s="188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</row>
    <row r="327" customFormat="false" ht="14.65" hidden="false" customHeight="false" outlineLevel="0" collapsed="false">
      <c r="A327" s="122" t="str">
        <f aca="false">BACKUP!A228</f>
        <v>      Change</v>
      </c>
      <c r="B327" s="96"/>
      <c r="C327" s="188" t="s">
        <v>571</v>
      </c>
      <c r="D327" s="122" t="n">
        <f aca="false">BACKUP!D228</f>
        <v>-463</v>
      </c>
      <c r="E327" s="122" t="n">
        <f aca="false">BACKUP!E228</f>
        <v>-429</v>
      </c>
      <c r="F327" s="122" t="n">
        <f aca="false">BACKUP!F228</f>
        <v>-469</v>
      </c>
      <c r="G327" s="122" t="n">
        <f aca="false">BACKUP!G228</f>
        <v>-469</v>
      </c>
      <c r="H327" s="122" t="n">
        <f aca="false">BACKUP!H228</f>
        <v>-469</v>
      </c>
      <c r="I327" s="122" t="n">
        <f aca="false">BACKUP!I228</f>
        <v>-467</v>
      </c>
      <c r="J327" s="122" t="n">
        <f aca="false">BACKUP!J228</f>
        <v>-448</v>
      </c>
      <c r="K327" s="122" t="n">
        <f aca="false">BACKUP!K228</f>
        <v>-463</v>
      </c>
      <c r="L327" s="122" t="n">
        <f aca="false">BACKUP!L228</f>
        <v>-461</v>
      </c>
      <c r="M327" s="122" t="n">
        <f aca="false">BACKUP!M228</f>
        <v>-468</v>
      </c>
      <c r="N327" s="122" t="n">
        <f aca="false">BACKUP!N228</f>
        <v>-462</v>
      </c>
      <c r="O327" s="122" t="n">
        <f aca="false">BACKUP!O228</f>
        <v>36</v>
      </c>
      <c r="P327" s="122" t="n">
        <f aca="false">SUM(D327:O327)</f>
        <v>-5032</v>
      </c>
      <c r="Q327" s="123" t="n">
        <f aca="false">SUM(D327:J327)</f>
        <v>-3214</v>
      </c>
      <c r="R327" s="122" t="n">
        <f aca="false">P327-Q327</f>
        <v>-1818</v>
      </c>
      <c r="S327" s="96"/>
      <c r="T327" s="96"/>
      <c r="U327" s="123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</row>
    <row r="328" customFormat="false" ht="14.65" hidden="false" customHeight="false" outlineLevel="0" collapsed="false">
      <c r="A328" s="93"/>
      <c r="B328" s="96"/>
      <c r="C328" s="188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</row>
    <row r="329" customFormat="false" ht="14.65" hidden="false" customHeight="false" outlineLevel="0" collapsed="false">
      <c r="A329" s="187" t="str">
        <f aca="false">BACKUP!A411</f>
        <v>Regulatory Liabilities (Noncurrent) - End. Balance</v>
      </c>
      <c r="B329" s="96"/>
      <c r="C329" s="188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</row>
    <row r="330" customFormat="false" ht="14.65" hidden="false" customHeight="false" outlineLevel="0" collapsed="false">
      <c r="A330" s="122" t="str">
        <f aca="false">BACKUP!A413</f>
        <v>      Change</v>
      </c>
      <c r="B330" s="96"/>
      <c r="C330" s="188" t="s">
        <v>571</v>
      </c>
      <c r="D330" s="122" t="n">
        <f aca="false">BACKUP!D413</f>
        <v>0</v>
      </c>
      <c r="E330" s="122" t="n">
        <f aca="false">BACKUP!E413</f>
        <v>0</v>
      </c>
      <c r="F330" s="122" t="n">
        <f aca="false">BACKUP!F413</f>
        <v>0</v>
      </c>
      <c r="G330" s="122" t="n">
        <f aca="false">BACKUP!G413</f>
        <v>0</v>
      </c>
      <c r="H330" s="122" t="n">
        <f aca="false">BACKUP!H413</f>
        <v>0</v>
      </c>
      <c r="I330" s="122" t="n">
        <f aca="false">BACKUP!I413</f>
        <v>0</v>
      </c>
      <c r="J330" s="122" t="n">
        <f aca="false">BACKUP!J413</f>
        <v>0</v>
      </c>
      <c r="K330" s="122" t="n">
        <f aca="false">BACKUP!K413</f>
        <v>0</v>
      </c>
      <c r="L330" s="122" t="n">
        <f aca="false">BACKUP!L413</f>
        <v>0</v>
      </c>
      <c r="M330" s="122" t="n">
        <f aca="false">BACKUP!M413</f>
        <v>0</v>
      </c>
      <c r="N330" s="122" t="n">
        <f aca="false">BACKUP!N413</f>
        <v>0</v>
      </c>
      <c r="O330" s="122" t="n">
        <f aca="false">BACKUP!O413</f>
        <v>0</v>
      </c>
      <c r="P330" s="122" t="n">
        <f aca="false">SUM(D330:O330)</f>
        <v>0</v>
      </c>
      <c r="Q330" s="123" t="n">
        <f aca="false">SUM(D330:J330)</f>
        <v>0</v>
      </c>
      <c r="R330" s="122" t="n">
        <f aca="false">P330-Q330</f>
        <v>0</v>
      </c>
      <c r="S330" s="96"/>
      <c r="T330" s="96"/>
      <c r="U330" s="123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</row>
    <row r="331" customFormat="false" ht="14.65" hidden="false" customHeight="false" outlineLevel="0" collapsed="false">
      <c r="A331" s="96"/>
      <c r="B331" s="96"/>
      <c r="C331" s="188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122"/>
      <c r="U331" s="122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</row>
    <row r="332" customFormat="false" ht="14.65" hidden="false" customHeight="false" outlineLevel="0" collapsed="false">
      <c r="A332" s="187" t="str">
        <f aca="false">BACKUP!A467</f>
        <v>Capitalization - Beg. Balance</v>
      </c>
      <c r="B332" s="96"/>
      <c r="C332" s="188"/>
      <c r="D332" s="122" t="n">
        <f aca="false">BACKUP!D467</f>
        <v>942827</v>
      </c>
      <c r="E332" s="122" t="n">
        <f aca="false">BACKUP!E467</f>
        <v>923268</v>
      </c>
      <c r="F332" s="122" t="n">
        <f aca="false">BACKUP!F467</f>
        <v>940277</v>
      </c>
      <c r="G332" s="122" t="n">
        <f aca="false">BACKUP!G467</f>
        <v>939317</v>
      </c>
      <c r="H332" s="122" t="n">
        <f aca="false">BACKUP!H467</f>
        <v>953449</v>
      </c>
      <c r="I332" s="122" t="n">
        <f aca="false">BACKUP!I467</f>
        <v>980136</v>
      </c>
      <c r="J332" s="122" t="n">
        <f aca="false">BACKUP!J467</f>
        <v>1003347</v>
      </c>
      <c r="K332" s="122" t="n">
        <f aca="false">BACKUP!K467</f>
        <v>1009575</v>
      </c>
      <c r="L332" s="122" t="n">
        <f aca="false">BACKUP!L467</f>
        <v>1015897</v>
      </c>
      <c r="M332" s="122" t="n">
        <f aca="false">BACKUP!M467</f>
        <v>1027808</v>
      </c>
      <c r="N332" s="122" t="n">
        <f aca="false">BACKUP!N467</f>
        <v>1034122</v>
      </c>
      <c r="O332" s="122" t="n">
        <f aca="false">BACKUP!O467</f>
        <v>1040169</v>
      </c>
      <c r="P332" s="96"/>
      <c r="Q332" s="96"/>
      <c r="R332" s="96"/>
      <c r="S332" s="96"/>
      <c r="T332" s="96"/>
      <c r="U332" s="122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</row>
    <row r="333" customFormat="false" ht="14.65" hidden="false" customHeight="false" outlineLevel="0" collapsed="false">
      <c r="A333" s="122" t="str">
        <f aca="false">BACKUP!A468</f>
        <v>   Net Income Before Capital Costs-w/o Asset Sales</v>
      </c>
      <c r="B333" s="96"/>
      <c r="C333" s="188"/>
      <c r="D333" s="122" t="n">
        <f aca="false">BACKUP!D468</f>
        <v>6658</v>
      </c>
      <c r="E333" s="122" t="n">
        <f aca="false">BACKUP!E468</f>
        <v>8540</v>
      </c>
      <c r="F333" s="122" t="n">
        <f aca="false">BACKUP!F468</f>
        <v>3341</v>
      </c>
      <c r="G333" s="122" t="n">
        <f aca="false">BACKUP!G468</f>
        <v>8154</v>
      </c>
      <c r="H333" s="122" t="n">
        <f aca="false">BACKUP!H468</f>
        <v>7578</v>
      </c>
      <c r="I333" s="122" t="n">
        <f aca="false">BACKUP!I468</f>
        <v>6296</v>
      </c>
      <c r="J333" s="122" t="n">
        <f aca="false">BACKUP!J468</f>
        <v>6729</v>
      </c>
      <c r="K333" s="122" t="n">
        <f aca="false">BACKUP!K468</f>
        <v>6322</v>
      </c>
      <c r="L333" s="122" t="n">
        <f aca="false">BACKUP!L468</f>
        <v>11911</v>
      </c>
      <c r="M333" s="122" t="n">
        <f aca="false">BACKUP!M468</f>
        <v>6314</v>
      </c>
      <c r="N333" s="122" t="n">
        <f aca="false">BACKUP!N468</f>
        <v>6047</v>
      </c>
      <c r="O333" s="122" t="n">
        <f aca="false">BACKUP!O468</f>
        <v>6386</v>
      </c>
      <c r="P333" s="122" t="n">
        <f aca="false">SUM(D333:O333)</f>
        <v>84276</v>
      </c>
      <c r="Q333" s="123" t="n">
        <f aca="false">SUM(D333:J333)</f>
        <v>47296</v>
      </c>
      <c r="R333" s="122" t="n">
        <f aca="false">P333-Q333</f>
        <v>36980</v>
      </c>
      <c r="S333" s="96"/>
      <c r="T333" s="96"/>
      <c r="U333" s="122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</row>
    <row r="334" customFormat="false" ht="14.65" hidden="false" customHeight="false" outlineLevel="0" collapsed="false">
      <c r="A334" s="122" t="str">
        <f aca="false">BACKUP!A469</f>
        <v>         - Net Gain / (Loss) on Asset Sales (External)</v>
      </c>
      <c r="B334" s="96"/>
      <c r="C334" s="188" t="s">
        <v>564</v>
      </c>
      <c r="D334" s="122" t="n">
        <f aca="false">BACKUP!D469</f>
        <v>0</v>
      </c>
      <c r="E334" s="122" t="n">
        <f aca="false">BACKUP!E469</f>
        <v>0</v>
      </c>
      <c r="F334" s="122" t="n">
        <f aca="false">BACKUP!F469</f>
        <v>0</v>
      </c>
      <c r="G334" s="122" t="n">
        <f aca="false">BACKUP!G469</f>
        <v>0</v>
      </c>
      <c r="H334" s="122" t="n">
        <f aca="false">BACKUP!H469</f>
        <v>0</v>
      </c>
      <c r="I334" s="122" t="n">
        <f aca="false">BACKUP!I469</f>
        <v>0</v>
      </c>
      <c r="J334" s="122" t="n">
        <f aca="false">BACKUP!J469</f>
        <v>0</v>
      </c>
      <c r="K334" s="122" t="n">
        <f aca="false">BACKUP!K469</f>
        <v>0</v>
      </c>
      <c r="L334" s="122" t="n">
        <f aca="false">BACKUP!L469</f>
        <v>0</v>
      </c>
      <c r="M334" s="122" t="n">
        <f aca="false">BACKUP!M469</f>
        <v>0</v>
      </c>
      <c r="N334" s="122" t="n">
        <f aca="false">BACKUP!N469</f>
        <v>0</v>
      </c>
      <c r="O334" s="122" t="n">
        <f aca="false">BACKUP!O469</f>
        <v>0</v>
      </c>
      <c r="P334" s="122" t="n">
        <f aca="false">SUM(D334:O334)</f>
        <v>0</v>
      </c>
      <c r="Q334" s="123" t="n">
        <f aca="false">SUM(D334:J334)</f>
        <v>0</v>
      </c>
      <c r="R334" s="122" t="n">
        <f aca="false">P334-Q334</f>
        <v>0</v>
      </c>
      <c r="S334" s="96"/>
      <c r="T334" s="96"/>
      <c r="U334" s="122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</row>
    <row r="335" customFormat="false" ht="14.65" hidden="false" customHeight="false" outlineLevel="0" collapsed="false">
      <c r="A335" s="122" t="str">
        <f aca="false">BACKUP!A470</f>
        <v>         - Net Gain / (Loss) on Asset Sales (Assoc. Co.)</v>
      </c>
      <c r="B335" s="96"/>
      <c r="C335" s="188" t="s">
        <v>564</v>
      </c>
      <c r="D335" s="122" t="n">
        <f aca="false">BACKUP!D470</f>
        <v>0</v>
      </c>
      <c r="E335" s="122" t="n">
        <f aca="false">BACKUP!E470</f>
        <v>0</v>
      </c>
      <c r="F335" s="122" t="n">
        <f aca="false">BACKUP!F470</f>
        <v>0</v>
      </c>
      <c r="G335" s="122" t="n">
        <f aca="false">BACKUP!G470</f>
        <v>0</v>
      </c>
      <c r="H335" s="122" t="n">
        <f aca="false">BACKUP!H470</f>
        <v>0</v>
      </c>
      <c r="I335" s="122" t="n">
        <f aca="false">BACKUP!I470</f>
        <v>0</v>
      </c>
      <c r="J335" s="122" t="n">
        <f aca="false">BACKUP!J470</f>
        <v>0</v>
      </c>
      <c r="K335" s="122" t="n">
        <f aca="false">BACKUP!K470</f>
        <v>0</v>
      </c>
      <c r="L335" s="122" t="n">
        <f aca="false">BACKUP!L470</f>
        <v>0</v>
      </c>
      <c r="M335" s="122" t="n">
        <f aca="false">BACKUP!M470</f>
        <v>0</v>
      </c>
      <c r="N335" s="122" t="n">
        <f aca="false">BACKUP!N470</f>
        <v>0</v>
      </c>
      <c r="O335" s="122" t="n">
        <f aca="false">BACKUP!O470</f>
        <v>0</v>
      </c>
      <c r="P335" s="122" t="n">
        <f aca="false">SUM(D335:O335)</f>
        <v>0</v>
      </c>
      <c r="Q335" s="123" t="n">
        <f aca="false">SUM(D335:J335)</f>
        <v>0</v>
      </c>
      <c r="R335" s="122" t="n">
        <f aca="false">P335-Q335</f>
        <v>0</v>
      </c>
      <c r="S335" s="96"/>
      <c r="T335" s="96"/>
      <c r="U335" s="122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</row>
    <row r="336" customFormat="false" ht="14.65" hidden="false" customHeight="false" outlineLevel="0" collapsed="false">
      <c r="A336" s="122" t="str">
        <f aca="false">BACKUP!A471</f>
        <v>   Dividends to Corporate</v>
      </c>
      <c r="B336" s="96"/>
      <c r="C336" s="188"/>
      <c r="D336" s="122" t="n">
        <f aca="false">BACKUP!D471</f>
        <v>0</v>
      </c>
      <c r="E336" s="122" t="n">
        <f aca="false">BACKUP!E471</f>
        <v>0</v>
      </c>
      <c r="F336" s="122" t="n">
        <f aca="false">BACKUP!F471</f>
        <v>0</v>
      </c>
      <c r="G336" s="122" t="n">
        <f aca="false">BACKUP!G471</f>
        <v>0</v>
      </c>
      <c r="H336" s="122" t="n">
        <f aca="false">BACKUP!H471</f>
        <v>0</v>
      </c>
      <c r="I336" s="122" t="n">
        <f aca="false">BACKUP!I471</f>
        <v>0</v>
      </c>
      <c r="J336" s="122" t="n">
        <f aca="false">BACKUP!J471</f>
        <v>0</v>
      </c>
      <c r="K336" s="122" t="n">
        <f aca="false">BACKUP!K471</f>
        <v>0</v>
      </c>
      <c r="L336" s="122" t="n">
        <f aca="false">BACKUP!L471</f>
        <v>0</v>
      </c>
      <c r="M336" s="122" t="n">
        <f aca="false">BACKUP!M471</f>
        <v>0</v>
      </c>
      <c r="N336" s="122" t="n">
        <f aca="false">BACKUP!N471</f>
        <v>0</v>
      </c>
      <c r="O336" s="122" t="n">
        <f aca="false">BACKUP!O471</f>
        <v>0</v>
      </c>
      <c r="P336" s="122" t="n">
        <f aca="false">SUM(D336:O336)</f>
        <v>0</v>
      </c>
      <c r="Q336" s="123" t="n">
        <f aca="false">SUM(D336:J336)</f>
        <v>0</v>
      </c>
      <c r="R336" s="122" t="n">
        <f aca="false">P336-Q336</f>
        <v>0</v>
      </c>
      <c r="S336" s="96"/>
      <c r="T336" s="96"/>
      <c r="U336" s="122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</row>
    <row r="337" customFormat="false" ht="14.65" hidden="false" customHeight="false" outlineLevel="0" collapsed="false">
      <c r="A337" s="122" t="str">
        <f aca="false">BACKUP!A472</f>
        <v>   FASB 133 - Comprehensive Income / (Loss)</v>
      </c>
      <c r="B337" s="96"/>
      <c r="C337" s="188"/>
      <c r="D337" s="122" t="n">
        <f aca="false">BACKUP!D472</f>
        <v>-26217</v>
      </c>
      <c r="E337" s="122" t="n">
        <f aca="false">BACKUP!E472</f>
        <v>8469</v>
      </c>
      <c r="F337" s="122" t="n">
        <f aca="false">BACKUP!F472</f>
        <v>-18333</v>
      </c>
      <c r="G337" s="122" t="n">
        <f aca="false">BACKUP!G472</f>
        <v>9782</v>
      </c>
      <c r="H337" s="122" t="n">
        <f aca="false">BACKUP!H472</f>
        <v>31272</v>
      </c>
      <c r="I337" s="122" t="n">
        <f aca="false">BACKUP!I472</f>
        <v>14980</v>
      </c>
      <c r="J337" s="122" t="n">
        <f aca="false">BACKUP!J472</f>
        <v>-501</v>
      </c>
      <c r="K337" s="122" t="n">
        <f aca="false">BACKUP!K472</f>
        <v>0</v>
      </c>
      <c r="L337" s="122" t="n">
        <f aca="false">BACKUP!L472</f>
        <v>0</v>
      </c>
      <c r="M337" s="122" t="n">
        <f aca="false">BACKUP!M472</f>
        <v>0</v>
      </c>
      <c r="N337" s="122" t="n">
        <f aca="false">BACKUP!N472</f>
        <v>0</v>
      </c>
      <c r="O337" s="122" t="n">
        <f aca="false">BACKUP!O472</f>
        <v>0</v>
      </c>
      <c r="P337" s="122" t="n">
        <f aca="false">SUM(D337:O337)</f>
        <v>19452</v>
      </c>
      <c r="Q337" s="123" t="n">
        <f aca="false">SUM(D337:J337)</f>
        <v>19452</v>
      </c>
      <c r="R337" s="122" t="n">
        <f aca="false">P337-Q337</f>
        <v>0</v>
      </c>
      <c r="S337" s="96"/>
      <c r="T337" s="96"/>
      <c r="U337" s="122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</row>
    <row r="338" customFormat="false" ht="14.65" hidden="false" customHeight="false" outlineLevel="0" collapsed="false">
      <c r="A338" s="122" t="str">
        <f aca="false">BACKUP!A473</f>
        <v>                   - Tax Adjustment (1/01-4/01)</v>
      </c>
      <c r="B338" s="96"/>
      <c r="C338" s="188" t="s">
        <v>561</v>
      </c>
      <c r="D338" s="122" t="n">
        <f aca="false">BACKUP!D473</f>
        <v>-0</v>
      </c>
      <c r="E338" s="122" t="n">
        <f aca="false">BACKUP!E473</f>
        <v>-0</v>
      </c>
      <c r="F338" s="122" t="n">
        <f aca="false">BACKUP!F473</f>
        <v>14032</v>
      </c>
      <c r="G338" s="122" t="n">
        <f aca="false">BACKUP!G473</f>
        <v>-3804</v>
      </c>
      <c r="H338" s="122" t="n">
        <f aca="false">BACKUP!H473</f>
        <v>-12163</v>
      </c>
      <c r="I338" s="122" t="n">
        <f aca="false">BACKUP!I473</f>
        <v>1935</v>
      </c>
      <c r="J338" s="122" t="n">
        <f aca="false">BACKUP!J473</f>
        <v>-0</v>
      </c>
      <c r="K338" s="122" t="n">
        <f aca="false">BACKUP!K473</f>
        <v>-0</v>
      </c>
      <c r="L338" s="122" t="n">
        <f aca="false">BACKUP!L473</f>
        <v>-0</v>
      </c>
      <c r="M338" s="122" t="n">
        <f aca="false">BACKUP!M473</f>
        <v>-0</v>
      </c>
      <c r="N338" s="122" t="n">
        <f aca="false">BACKUP!N473</f>
        <v>-0</v>
      </c>
      <c r="O338" s="122" t="n">
        <f aca="false">BACKUP!O473</f>
        <v>-0</v>
      </c>
      <c r="P338" s="122" t="n">
        <f aca="false">SUM(D338:O338)</f>
        <v>0</v>
      </c>
      <c r="Q338" s="123" t="n">
        <f aca="false">SUM(D338:J338)</f>
        <v>0</v>
      </c>
      <c r="R338" s="122" t="n">
        <f aca="false">P338-Q338</f>
        <v>0</v>
      </c>
      <c r="S338" s="96"/>
      <c r="T338" s="96"/>
      <c r="U338" s="122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</row>
    <row r="339" customFormat="false" ht="14.65" hidden="false" customHeight="false" outlineLevel="0" collapsed="false">
      <c r="A339" s="122" t="str">
        <f aca="false">BACKUP!A474</f>
        <v>   Actual / Estimate Adjustment </v>
      </c>
      <c r="B339" s="96"/>
      <c r="C339" s="188"/>
      <c r="D339" s="135" t="n">
        <f aca="false">BACKUP!D474</f>
        <v>0</v>
      </c>
      <c r="E339" s="135" t="n">
        <f aca="false">BACKUP!E474</f>
        <v>0</v>
      </c>
      <c r="F339" s="135" t="n">
        <f aca="false">BACKUP!F474</f>
        <v>0</v>
      </c>
      <c r="G339" s="135" t="n">
        <f aca="false">BACKUP!G474</f>
        <v>0</v>
      </c>
      <c r="H339" s="135" t="n">
        <f aca="false">BACKUP!H474</f>
        <v>0</v>
      </c>
      <c r="I339" s="135" t="n">
        <f aca="false">BACKUP!I474</f>
        <v>0</v>
      </c>
      <c r="J339" s="135" t="n">
        <f aca="false">BACKUP!J474</f>
        <v>0</v>
      </c>
      <c r="K339" s="135" t="n">
        <f aca="false">BACKUP!K474</f>
        <v>0</v>
      </c>
      <c r="L339" s="135" t="n">
        <f aca="false">BACKUP!L474</f>
        <v>0</v>
      </c>
      <c r="M339" s="135" t="n">
        <f aca="false">BACKUP!M474</f>
        <v>0</v>
      </c>
      <c r="N339" s="135" t="n">
        <f aca="false">BACKUP!N474</f>
        <v>0</v>
      </c>
      <c r="O339" s="135" t="n">
        <f aca="false">BACKUP!O474</f>
        <v>0</v>
      </c>
      <c r="P339" s="122" t="n">
        <f aca="false">SUM(D339:O339)</f>
        <v>0</v>
      </c>
      <c r="Q339" s="123" t="n">
        <f aca="false">SUM(D339:J339)</f>
        <v>0</v>
      </c>
      <c r="R339" s="122" t="n">
        <f aca="false">P339-Q339</f>
        <v>0</v>
      </c>
      <c r="S339" s="96"/>
      <c r="T339" s="96"/>
      <c r="U339" s="122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</row>
    <row r="340" customFormat="false" ht="3.95" hidden="false" customHeight="true" outlineLevel="0" collapsed="false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122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</row>
    <row r="341" customFormat="false" ht="14.65" hidden="false" customHeight="false" outlineLevel="0" collapsed="false">
      <c r="A341" s="145" t="str">
        <f aca="false">BACKUP!A476</f>
        <v>Capitalization - End. Balance</v>
      </c>
      <c r="B341" s="96"/>
      <c r="C341" s="96"/>
      <c r="D341" s="135" t="n">
        <f aca="false">BACKUP!D476</f>
        <v>923268</v>
      </c>
      <c r="E341" s="135" t="n">
        <f aca="false">BACKUP!E476</f>
        <v>940277</v>
      </c>
      <c r="F341" s="135" t="n">
        <f aca="false">BACKUP!F476</f>
        <v>939317</v>
      </c>
      <c r="G341" s="135" t="n">
        <f aca="false">BACKUP!G476</f>
        <v>953449</v>
      </c>
      <c r="H341" s="135" t="n">
        <f aca="false">BACKUP!H476</f>
        <v>980136</v>
      </c>
      <c r="I341" s="135" t="n">
        <f aca="false">BACKUP!I476</f>
        <v>1003347</v>
      </c>
      <c r="J341" s="135" t="n">
        <f aca="false">BACKUP!J476</f>
        <v>1009575</v>
      </c>
      <c r="K341" s="135" t="n">
        <f aca="false">BACKUP!K476</f>
        <v>1015897</v>
      </c>
      <c r="L341" s="135" t="n">
        <f aca="false">BACKUP!L476</f>
        <v>1027808</v>
      </c>
      <c r="M341" s="135" t="n">
        <f aca="false">BACKUP!M476</f>
        <v>1034122</v>
      </c>
      <c r="N341" s="135" t="n">
        <f aca="false">BACKUP!N476</f>
        <v>1040169</v>
      </c>
      <c r="O341" s="135" t="n">
        <f aca="false">BACKUP!O476</f>
        <v>1046555</v>
      </c>
      <c r="P341" s="96"/>
      <c r="Q341" s="96"/>
      <c r="R341" s="96"/>
      <c r="S341" s="96"/>
      <c r="T341" s="96"/>
      <c r="U341" s="122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</row>
    <row r="342" customFormat="false" ht="8.1" hidden="false" customHeight="true" outlineLevel="0" collapsed="false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122"/>
      <c r="U342" s="122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</row>
    <row r="343" customFormat="false" ht="14.65" hidden="false" customHeight="false" outlineLevel="0" collapsed="false">
      <c r="A343" s="164" t="s">
        <v>572</v>
      </c>
      <c r="B343" s="164" t="s">
        <v>572</v>
      </c>
      <c r="C343" s="164" t="s">
        <v>572</v>
      </c>
      <c r="D343" s="164" t="s">
        <v>572</v>
      </c>
      <c r="E343" s="164" t="s">
        <v>572</v>
      </c>
      <c r="F343" s="164" t="s">
        <v>572</v>
      </c>
      <c r="G343" s="164" t="s">
        <v>572</v>
      </c>
      <c r="H343" s="164" t="s">
        <v>572</v>
      </c>
      <c r="I343" s="164" t="s">
        <v>572</v>
      </c>
      <c r="J343" s="164" t="s">
        <v>572</v>
      </c>
      <c r="K343" s="164" t="s">
        <v>572</v>
      </c>
      <c r="L343" s="164" t="s">
        <v>572</v>
      </c>
      <c r="M343" s="164" t="s">
        <v>572</v>
      </c>
      <c r="N343" s="164" t="s">
        <v>572</v>
      </c>
      <c r="O343" s="164" t="s">
        <v>572</v>
      </c>
      <c r="P343" s="164" t="s">
        <v>572</v>
      </c>
      <c r="Q343" s="96"/>
      <c r="R343" s="96"/>
      <c r="S343" s="96"/>
      <c r="T343" s="122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</row>
    <row r="344" customFormat="false" ht="14.65" hidden="false" customHeight="false" outlineLevel="0" collapsed="false">
      <c r="A344" s="97" t="str">
        <f aca="false">A1</f>
        <v>'file:///mnt/12tb/@roms/datasets/enron/EDRM Enron Email Data Set v2 XML/filtered-attachments/xls/TW3rdCECF.xls'#$BACKUP</v>
      </c>
      <c r="B344" s="93"/>
      <c r="C344" s="93" t="str">
        <f aca="false">I1</f>
        <v>TRANSWESTERN PIPELINE GROUP (Including Co. 92)</v>
      </c>
      <c r="D344" s="93"/>
      <c r="E344" s="93"/>
      <c r="F344" s="93"/>
      <c r="G344" s="93"/>
      <c r="H344" s="93"/>
      <c r="I344" s="93"/>
      <c r="J344" s="93"/>
      <c r="K344" s="96"/>
      <c r="L344" s="96"/>
      <c r="M344" s="189" t="n">
        <f aca="true">NOW()</f>
        <v>45926.9584326012</v>
      </c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</row>
    <row r="345" customFormat="false" ht="14.65" hidden="false" customHeight="false" outlineLevel="0" collapsed="false">
      <c r="A345" s="100" t="s">
        <v>573</v>
      </c>
      <c r="B345" s="93"/>
      <c r="C345" s="93" t="str">
        <f aca="false">I2</f>
        <v>CASH FLOW STATEMENT</v>
      </c>
      <c r="D345" s="93"/>
      <c r="E345" s="93"/>
      <c r="F345" s="93"/>
      <c r="G345" s="93"/>
      <c r="H345" s="93"/>
      <c r="I345" s="93"/>
      <c r="J345" s="93"/>
      <c r="K345" s="96"/>
      <c r="L345" s="96"/>
      <c r="M345" s="190" t="n">
        <f aca="true">NOW()</f>
        <v>45926.9584326013</v>
      </c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</row>
    <row r="346" customFormat="false" ht="14.65" hidden="false" customHeight="false" outlineLevel="0" collapsed="false">
      <c r="A346" s="93"/>
      <c r="B346" s="93"/>
      <c r="C346" s="93" t="str">
        <f aca="false">I3</f>
        <v>2001 ACTUAL / ESTIMATE</v>
      </c>
      <c r="D346" s="93"/>
      <c r="E346" s="93"/>
      <c r="F346" s="93"/>
      <c r="G346" s="93"/>
      <c r="H346" s="93"/>
      <c r="I346" s="93"/>
      <c r="J346" s="93"/>
      <c r="K346" s="93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</row>
    <row r="347" customFormat="false" ht="14.65" hidden="false" customHeight="false" outlineLevel="0" collapsed="false">
      <c r="A347" s="93"/>
      <c r="B347" s="93"/>
      <c r="C347" s="93" t="str">
        <f aca="false">I4</f>
        <v>(Thousands of Dollars)</v>
      </c>
      <c r="D347" s="93"/>
      <c r="E347" s="93"/>
      <c r="F347" s="93"/>
      <c r="G347" s="93"/>
      <c r="H347" s="93"/>
      <c r="I347" s="93"/>
      <c r="J347" s="93"/>
      <c r="K347" s="93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</row>
    <row r="348" customFormat="false" ht="14.65" hidden="false" customHeight="false" outlineLevel="0" collapsed="false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</row>
    <row r="349" customFormat="false" ht="14.65" hidden="false" customHeight="false" outlineLevel="0" collapsed="false">
      <c r="A349" s="93"/>
      <c r="B349" s="93"/>
      <c r="C349" s="93"/>
      <c r="D349" s="93"/>
      <c r="E349" s="93"/>
      <c r="F349" s="93"/>
      <c r="G349" s="93"/>
      <c r="H349" s="93"/>
      <c r="I349" s="191" t="s">
        <v>574</v>
      </c>
      <c r="J349" s="191"/>
      <c r="K349" s="191"/>
      <c r="L349" s="96"/>
      <c r="M349" s="113" t="s">
        <v>575</v>
      </c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</row>
    <row r="350" customFormat="false" ht="12.95" hidden="false" customHeight="true" outlineLevel="0" collapsed="false">
      <c r="A350" s="93"/>
      <c r="B350" s="93"/>
      <c r="C350" s="93"/>
      <c r="D350" s="93"/>
      <c r="E350" s="93"/>
      <c r="F350" s="93"/>
      <c r="G350" s="93"/>
      <c r="H350" s="93"/>
      <c r="I350" s="118" t="s">
        <v>576</v>
      </c>
      <c r="J350" s="93"/>
      <c r="K350" s="118" t="s">
        <v>577</v>
      </c>
      <c r="L350" s="96"/>
      <c r="M350" s="118" t="s">
        <v>578</v>
      </c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</row>
    <row r="351" customFormat="false" ht="3.95" hidden="false" customHeight="true" outlineLevel="0" collapsed="false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</row>
    <row r="352" customFormat="false" ht="14.65" hidden="false" customHeight="false" outlineLevel="0" collapsed="false">
      <c r="A352" s="185" t="s">
        <v>579</v>
      </c>
      <c r="B352" s="96"/>
      <c r="C352" s="96"/>
      <c r="D352" s="96"/>
      <c r="E352" s="96"/>
      <c r="F352" s="96"/>
      <c r="G352" s="96"/>
      <c r="H352" s="96"/>
      <c r="I352" s="192" t="n">
        <f aca="false">T45</f>
        <v>34340</v>
      </c>
      <c r="J352" s="96"/>
      <c r="K352" s="192" t="e">
        <f aca="false">#REF!</f>
        <v>#REF!</v>
      </c>
      <c r="L352" s="96"/>
      <c r="M352" s="192" t="n">
        <f aca="false">T55</f>
        <v>30490</v>
      </c>
      <c r="N352" s="96"/>
      <c r="O352" s="96"/>
      <c r="P352" s="96"/>
      <c r="Q352" s="96"/>
      <c r="R352" s="96"/>
      <c r="S352" s="96"/>
      <c r="T352" s="122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</row>
    <row r="353" customFormat="false" ht="3.95" hidden="false" customHeight="true" outlineLevel="0" collapsed="false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</row>
    <row r="354" customFormat="false" ht="14.65" hidden="false" customHeight="false" outlineLevel="0" collapsed="false">
      <c r="A354" s="193" t="s">
        <v>580</v>
      </c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</row>
    <row r="355" customFormat="false" ht="14.65" hidden="false" customHeight="false" outlineLevel="0" collapsed="false">
      <c r="A355" s="96" t="str">
        <f aca="false">A9</f>
        <v>   Net Income </v>
      </c>
      <c r="B355" s="96"/>
      <c r="C355" s="96"/>
      <c r="D355" s="96"/>
      <c r="E355" s="96"/>
      <c r="F355" s="96"/>
      <c r="G355" s="122" t="n">
        <f aca="false">AK9</f>
        <v>11479</v>
      </c>
      <c r="H355" s="96"/>
      <c r="I355" s="194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122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</row>
    <row r="356" customFormat="false" ht="14.65" hidden="false" customHeight="false" outlineLevel="0" collapsed="false">
      <c r="A356" s="96" t="str">
        <f aca="false">A11</f>
        <v>      Depreciation and Amortization</v>
      </c>
      <c r="B356" s="96"/>
      <c r="C356" s="96"/>
      <c r="D356" s="96"/>
      <c r="E356" s="96"/>
      <c r="F356" s="96"/>
      <c r="G356" s="122" t="n">
        <f aca="false">AK11</f>
        <v>-1454</v>
      </c>
      <c r="H356" s="96"/>
      <c r="I356" s="194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122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</row>
    <row r="357" customFormat="false" ht="14.65" hidden="false" customHeight="false" outlineLevel="0" collapsed="false">
      <c r="A357" s="96" t="str">
        <f aca="false">A12</f>
        <v>      Regulatory Amortization - TCR</v>
      </c>
      <c r="B357" s="194"/>
      <c r="C357" s="194"/>
      <c r="D357" s="96"/>
      <c r="E357" s="194"/>
      <c r="F357" s="96"/>
      <c r="G357" s="122" t="n">
        <f aca="false">AK12</f>
        <v>0</v>
      </c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</row>
    <row r="358" customFormat="false" ht="14.65" hidden="false" customHeight="false" outlineLevel="0" collapsed="false">
      <c r="A358" s="96" t="e">
        <f aca="false">#REF!</f>
        <v>#REF!</v>
      </c>
      <c r="B358" s="96"/>
      <c r="C358" s="96"/>
      <c r="D358" s="96"/>
      <c r="E358" s="96"/>
      <c r="F358" s="96"/>
      <c r="G358" s="122" t="e">
        <f aca="false">#REF!</f>
        <v>#REF!</v>
      </c>
      <c r="H358" s="96"/>
      <c r="I358" s="194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122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</row>
    <row r="359" customFormat="false" ht="14.65" hidden="false" customHeight="false" outlineLevel="0" collapsed="false">
      <c r="A359" s="96" t="str">
        <f aca="false">A13</f>
        <v>      Deferred Income Taxes - Both Current and Noncurrent</v>
      </c>
      <c r="B359" s="96"/>
      <c r="C359" s="96"/>
      <c r="D359" s="96"/>
      <c r="E359" s="96"/>
      <c r="F359" s="96"/>
      <c r="G359" s="122" t="n">
        <f aca="false">AK13</f>
        <v>4501</v>
      </c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</row>
    <row r="360" customFormat="false" ht="14.65" hidden="false" customHeight="false" outlineLevel="0" collapsed="false">
      <c r="A360" s="96" t="e">
        <f aca="false">#REF!</f>
        <v>#REF!</v>
      </c>
      <c r="B360" s="96"/>
      <c r="C360" s="96"/>
      <c r="D360" s="96"/>
      <c r="E360" s="96"/>
      <c r="F360" s="96"/>
      <c r="G360" s="122" t="e">
        <f aca="false">#REF!</f>
        <v>#REF!</v>
      </c>
      <c r="H360" s="96"/>
      <c r="I360" s="122" t="e">
        <f aca="false">SUM(G355:G360)</f>
        <v>#REF!</v>
      </c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</row>
    <row r="361" customFormat="false" ht="3.95" hidden="false" customHeight="true" outlineLevel="0" collapsed="false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</row>
    <row r="362" customFormat="false" ht="14.65" hidden="false" customHeight="false" outlineLevel="0" collapsed="false">
      <c r="A362" s="193" t="s">
        <v>581</v>
      </c>
      <c r="B362" s="96"/>
      <c r="C362" s="96"/>
      <c r="D362" s="96"/>
      <c r="E362" s="96"/>
      <c r="F362" s="96"/>
      <c r="G362" s="122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</row>
    <row r="363" customFormat="false" ht="14.65" hidden="false" customHeight="false" outlineLevel="0" collapsed="false">
      <c r="A363" s="96" t="str">
        <f aca="false">A16</f>
        <v>      Accounts and Notes Receivable</v>
      </c>
      <c r="B363" s="194"/>
      <c r="C363" s="194"/>
      <c r="D363" s="96"/>
      <c r="E363" s="96"/>
      <c r="F363" s="96"/>
      <c r="G363" s="122" t="n">
        <f aca="false">AK16</f>
        <v>-16193</v>
      </c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</row>
    <row r="364" customFormat="false" ht="14.65" hidden="false" customHeight="false" outlineLevel="0" collapsed="false">
      <c r="A364" s="96" t="str">
        <f aca="false">A17</f>
        <v>      Inventories (Materials &amp; Supplies)</v>
      </c>
      <c r="B364" s="194"/>
      <c r="C364" s="194"/>
      <c r="D364" s="96"/>
      <c r="E364" s="96"/>
      <c r="F364" s="96"/>
      <c r="G364" s="122" t="n">
        <f aca="false">AK17</f>
        <v>101</v>
      </c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</row>
    <row r="365" customFormat="false" ht="14.65" hidden="false" customHeight="false" outlineLevel="0" collapsed="false">
      <c r="A365" s="96" t="str">
        <f aca="false">A18</f>
        <v>      Accounts Payable - Assoc. Companies / Trade</v>
      </c>
      <c r="B365" s="194"/>
      <c r="C365" s="194"/>
      <c r="D365" s="96"/>
      <c r="E365" s="96"/>
      <c r="F365" s="96"/>
      <c r="G365" s="122" t="n">
        <f aca="false">AK18</f>
        <v>136</v>
      </c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</row>
    <row r="366" customFormat="false" ht="14.65" hidden="false" customHeight="false" outlineLevel="0" collapsed="false">
      <c r="A366" s="96" t="e">
        <f aca="false">#REF!</f>
        <v>#REF!</v>
      </c>
      <c r="B366" s="194"/>
      <c r="C366" s="194"/>
      <c r="D366" s="96"/>
      <c r="E366" s="96"/>
      <c r="F366" s="96"/>
      <c r="G366" s="122" t="e">
        <f aca="false">#REF!</f>
        <v>#REF!</v>
      </c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</row>
    <row r="367" customFormat="false" ht="14.65" hidden="false" customHeight="false" outlineLevel="0" collapsed="false">
      <c r="A367" s="96" t="str">
        <f aca="false">A20</f>
        <v>      Exchange Gas - Receivable</v>
      </c>
      <c r="B367" s="194"/>
      <c r="C367" s="194"/>
      <c r="D367" s="96"/>
      <c r="E367" s="96"/>
      <c r="F367" s="96"/>
      <c r="G367" s="122" t="n">
        <f aca="false">AK20</f>
        <v>-2552</v>
      </c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</row>
    <row r="368" customFormat="false" ht="14.65" hidden="false" customHeight="false" outlineLevel="0" collapsed="false">
      <c r="A368" s="96" t="str">
        <f aca="false">A22</f>
        <v>      Prepayments</v>
      </c>
      <c r="B368" s="194"/>
      <c r="C368" s="194"/>
      <c r="D368" s="96"/>
      <c r="E368" s="96"/>
      <c r="F368" s="96"/>
      <c r="G368" s="122" t="n">
        <f aca="false">AK22</f>
        <v>-157</v>
      </c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</row>
    <row r="369" customFormat="false" ht="14.65" hidden="false" customHeight="false" outlineLevel="0" collapsed="false">
      <c r="A369" s="96" t="e">
        <f aca="false">#REF!</f>
        <v>#REF!</v>
      </c>
      <c r="B369" s="194"/>
      <c r="C369" s="194"/>
      <c r="D369" s="96"/>
      <c r="E369" s="96"/>
      <c r="F369" s="96"/>
      <c r="G369" s="122" t="e">
        <f aca="false">#REF!</f>
        <v>#REF!</v>
      </c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</row>
    <row r="370" customFormat="false" ht="14.65" hidden="false" customHeight="false" outlineLevel="0" collapsed="false">
      <c r="A370" s="96" t="str">
        <f aca="false">A23</f>
        <v>      Accrued Interest - Third Party</v>
      </c>
      <c r="B370" s="194"/>
      <c r="C370" s="194"/>
      <c r="D370" s="96"/>
      <c r="E370" s="96"/>
      <c r="F370" s="96"/>
      <c r="G370" s="122" t="n">
        <f aca="false">AK23</f>
        <v>-2854</v>
      </c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</row>
    <row r="371" customFormat="false" ht="14.65" hidden="false" customHeight="false" outlineLevel="0" collapsed="false">
      <c r="A371" s="96" t="str">
        <f aca="false">A24</f>
        <v>      Accrued Taxes, Other Than Income</v>
      </c>
      <c r="B371" s="194"/>
      <c r="C371" s="194"/>
      <c r="D371" s="96"/>
      <c r="E371" s="96"/>
      <c r="F371" s="96"/>
      <c r="G371" s="122" t="n">
        <f aca="false">AK24</f>
        <v>-937</v>
      </c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</row>
    <row r="372" customFormat="false" ht="14.65" hidden="false" customHeight="false" outlineLevel="0" collapsed="false">
      <c r="A372" s="96" t="str">
        <f aca="false">A25</f>
        <v>      Other Current Assets or Liabilities (W/O Reserve Activity)</v>
      </c>
      <c r="B372" s="194"/>
      <c r="C372" s="194"/>
      <c r="D372" s="96"/>
      <c r="E372" s="96"/>
      <c r="F372" s="96"/>
      <c r="G372" s="122" t="n">
        <f aca="false">AK25</f>
        <v>88</v>
      </c>
      <c r="H372" s="96"/>
      <c r="I372" s="122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</row>
    <row r="373" customFormat="false" ht="6" hidden="false" customHeight="true" outlineLevel="0" collapsed="false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</row>
    <row r="374" customFormat="false" ht="14.65" hidden="false" customHeight="false" outlineLevel="0" collapsed="false">
      <c r="A374" s="96" t="e">
        <f aca="false">#REF!</f>
        <v>#REF!</v>
      </c>
      <c r="B374" s="96"/>
      <c r="C374" s="96"/>
      <c r="D374" s="96"/>
      <c r="E374" s="96"/>
      <c r="F374" s="96"/>
      <c r="G374" s="122" t="e">
        <f aca="false">#REF!</f>
        <v>#REF!</v>
      </c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</row>
    <row r="375" customFormat="false" ht="14.65" hidden="false" customHeight="false" outlineLevel="0" collapsed="false">
      <c r="A375" s="96" t="e">
        <f aca="false">#REF!</f>
        <v>#REF!</v>
      </c>
      <c r="B375" s="96"/>
      <c r="C375" s="96"/>
      <c r="D375" s="96"/>
      <c r="E375" s="96"/>
      <c r="F375" s="96"/>
      <c r="G375" s="122" t="e">
        <f aca="false">#REF!</f>
        <v>#REF!</v>
      </c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</row>
    <row r="376" customFormat="false" ht="14.65" hidden="false" customHeight="false" outlineLevel="0" collapsed="false">
      <c r="A376" s="96" t="e">
        <f aca="false">#REF!</f>
        <v>#REF!</v>
      </c>
      <c r="B376" s="96"/>
      <c r="C376" s="96"/>
      <c r="D376" s="96"/>
      <c r="E376" s="96"/>
      <c r="F376" s="96"/>
      <c r="G376" s="122" t="e">
        <f aca="false">#REF!</f>
        <v>#REF!</v>
      </c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</row>
    <row r="377" customFormat="false" ht="14.65" hidden="false" customHeight="false" outlineLevel="0" collapsed="false">
      <c r="A377" s="96" t="str">
        <f aca="false">A28</f>
        <v>   Equity Earnings</v>
      </c>
      <c r="B377" s="96"/>
      <c r="C377" s="96"/>
      <c r="D377" s="96"/>
      <c r="E377" s="96"/>
      <c r="F377" s="96"/>
      <c r="G377" s="122" t="n">
        <f aca="false">AK28</f>
        <v>0</v>
      </c>
      <c r="H377" s="96"/>
      <c r="I377" s="194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</row>
    <row r="378" customFormat="false" ht="14.65" hidden="false" customHeight="false" outlineLevel="0" collapsed="false">
      <c r="A378" s="96" t="str">
        <f aca="false">A29</f>
        <v>   Equity / Partnership Distributions</v>
      </c>
      <c r="B378" s="96"/>
      <c r="C378" s="96"/>
      <c r="D378" s="96"/>
      <c r="E378" s="96"/>
      <c r="F378" s="96"/>
      <c r="G378" s="122" t="n">
        <f aca="false">AK29</f>
        <v>0</v>
      </c>
      <c r="H378" s="96"/>
      <c r="I378" s="194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</row>
    <row r="379" customFormat="false" ht="14.65" hidden="false" customHeight="false" outlineLevel="0" collapsed="false">
      <c r="A379" s="96" t="str">
        <f aca="false">A30</f>
        <v>   Net (Gain) / Loss on Sale of Assets</v>
      </c>
      <c r="B379" s="96"/>
      <c r="C379" s="96"/>
      <c r="D379" s="96"/>
      <c r="E379" s="96"/>
      <c r="F379" s="96"/>
      <c r="G379" s="122" t="n">
        <f aca="false">AK30</f>
        <v>88</v>
      </c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</row>
    <row r="380" customFormat="false" ht="14.65" hidden="false" customHeight="false" outlineLevel="0" collapsed="false">
      <c r="A380" s="96" t="str">
        <f aca="false">A31</f>
        <v>   Other Regulatory Assets / Liabilities</v>
      </c>
      <c r="B380" s="96"/>
      <c r="C380" s="96"/>
      <c r="D380" s="96"/>
      <c r="E380" s="96"/>
      <c r="F380" s="96"/>
      <c r="G380" s="122" t="n">
        <f aca="false">AK31</f>
        <v>51</v>
      </c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</row>
    <row r="381" customFormat="false" ht="14.65" hidden="false" customHeight="false" outlineLevel="0" collapsed="false">
      <c r="A381" s="193" t="s">
        <v>582</v>
      </c>
      <c r="B381" s="96"/>
      <c r="C381" s="96"/>
      <c r="D381" s="96"/>
      <c r="E381" s="123" t="n">
        <v>0</v>
      </c>
      <c r="F381" s="96"/>
      <c r="G381" s="122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</row>
    <row r="382" customFormat="false" ht="14.65" hidden="false" customHeight="false" outlineLevel="0" collapsed="false">
      <c r="A382" s="193" t="s">
        <v>583</v>
      </c>
      <c r="B382" s="96"/>
      <c r="C382" s="96"/>
      <c r="D382" s="96"/>
      <c r="E382" s="122" t="n">
        <f aca="false">-P295-P297-P299+T295+T297+T299</f>
        <v>3</v>
      </c>
      <c r="F382" s="96"/>
      <c r="G382" s="122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</row>
    <row r="383" customFormat="false" ht="14.65" hidden="false" customHeight="false" outlineLevel="0" collapsed="false">
      <c r="A383" s="193" t="s">
        <v>582</v>
      </c>
      <c r="B383" s="96"/>
      <c r="C383" s="96"/>
      <c r="D383" s="96"/>
      <c r="E383" s="123" t="n">
        <v>0</v>
      </c>
      <c r="F383" s="96"/>
      <c r="G383" s="122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</row>
    <row r="384" customFormat="false" ht="14.65" hidden="false" customHeight="false" outlineLevel="0" collapsed="false">
      <c r="A384" s="193" t="s">
        <v>584</v>
      </c>
      <c r="B384" s="96"/>
      <c r="C384" s="96"/>
      <c r="D384" s="96"/>
      <c r="E384" s="122" t="e">
        <f aca="false">-#REF!+#REF!</f>
        <v>#REF!</v>
      </c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</row>
    <row r="385" customFormat="false" ht="14.65" hidden="false" customHeight="false" outlineLevel="0" collapsed="false">
      <c r="A385" s="193" t="s">
        <v>585</v>
      </c>
      <c r="B385" s="96"/>
      <c r="C385" s="96"/>
      <c r="D385" s="96"/>
      <c r="E385" s="122" t="n">
        <f aca="false">-P302+T302</f>
        <v>0</v>
      </c>
      <c r="F385" s="96"/>
      <c r="G385" s="122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</row>
    <row r="386" customFormat="false" ht="14.65" hidden="false" customHeight="false" outlineLevel="0" collapsed="false">
      <c r="A386" s="193" t="s">
        <v>586</v>
      </c>
      <c r="B386" s="96"/>
      <c r="C386" s="96"/>
      <c r="D386" s="96"/>
      <c r="E386" s="122" t="n">
        <f aca="false">P320-T320</f>
        <v>0</v>
      </c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</row>
    <row r="387" customFormat="false" ht="14.65" hidden="false" customHeight="false" outlineLevel="0" collapsed="false">
      <c r="A387" s="193" t="s">
        <v>587</v>
      </c>
      <c r="B387" s="96"/>
      <c r="C387" s="96"/>
      <c r="D387" s="96"/>
      <c r="E387" s="122" t="e">
        <f aca="false">G387-SUM(E381:E386)</f>
        <v>#REF!</v>
      </c>
      <c r="F387" s="96"/>
      <c r="G387" s="135" t="n">
        <f aca="false">AK32</f>
        <v>8211</v>
      </c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</row>
    <row r="388" customFormat="false" ht="14.65" hidden="false" customHeight="false" outlineLevel="0" collapsed="false">
      <c r="A388" s="193" t="s">
        <v>588</v>
      </c>
      <c r="B388" s="96"/>
      <c r="C388" s="96"/>
      <c r="D388" s="96"/>
      <c r="E388" s="96"/>
      <c r="F388" s="96"/>
      <c r="G388" s="96"/>
      <c r="H388" s="96"/>
      <c r="I388" s="122" t="e">
        <f aca="false">SUM(G360:G388)</f>
        <v>#REF!</v>
      </c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</row>
    <row r="389" customFormat="false" ht="3.95" hidden="false" customHeight="true" outlineLevel="0" collapsed="false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</row>
    <row r="390" customFormat="false" ht="14.65" hidden="false" customHeight="false" outlineLevel="0" collapsed="false">
      <c r="A390" s="96" t="str">
        <f aca="false">A36</f>
        <v>CASH FLOW FROM INVESTING ACTIVITIES</v>
      </c>
      <c r="B390" s="96"/>
      <c r="C390" s="96"/>
      <c r="D390" s="96"/>
      <c r="E390" s="96"/>
      <c r="F390" s="96"/>
      <c r="G390" s="122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</row>
    <row r="391" customFormat="false" ht="14.65" hidden="false" customHeight="false" outlineLevel="0" collapsed="false">
      <c r="A391" s="96" t="str">
        <f aca="false">A37</f>
        <v>   Proceeds from Sale of Investments</v>
      </c>
      <c r="B391" s="96"/>
      <c r="C391" s="96"/>
      <c r="D391" s="96"/>
      <c r="E391" s="96"/>
      <c r="F391" s="96"/>
      <c r="G391" s="122" t="n">
        <f aca="false">AK37</f>
        <v>18</v>
      </c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</row>
    <row r="392" customFormat="false" ht="14.65" hidden="false" customHeight="false" outlineLevel="0" collapsed="false">
      <c r="A392" s="96" t="str">
        <f aca="false">A38</f>
        <v>   Additions to Property </v>
      </c>
      <c r="B392" s="96"/>
      <c r="C392" s="96"/>
      <c r="D392" s="96"/>
      <c r="E392" s="96"/>
      <c r="F392" s="96"/>
      <c r="G392" s="122" t="n">
        <f aca="false">AK38</f>
        <v>-20300</v>
      </c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</row>
    <row r="393" customFormat="false" ht="14.65" hidden="false" customHeight="false" outlineLevel="0" collapsed="false">
      <c r="A393" s="96" t="str">
        <f aca="false">A39</f>
        <v>   Other Capital Expenditures</v>
      </c>
      <c r="B393" s="194"/>
      <c r="C393" s="194"/>
      <c r="D393" s="96"/>
      <c r="E393" s="96"/>
      <c r="F393" s="96"/>
      <c r="G393" s="122" t="n">
        <f aca="false">AK39</f>
        <v>-237</v>
      </c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</row>
    <row r="394" customFormat="false" ht="14.65" hidden="false" customHeight="false" outlineLevel="0" collapsed="false">
      <c r="A394" s="96" t="str">
        <f aca="false">A40</f>
        <v>   Other Investments</v>
      </c>
      <c r="B394" s="194"/>
      <c r="C394" s="194"/>
      <c r="D394" s="96"/>
      <c r="E394" s="96"/>
      <c r="F394" s="96"/>
      <c r="G394" s="135" t="n">
        <f aca="false">AK40</f>
        <v>0</v>
      </c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</row>
    <row r="395" customFormat="false" ht="14.65" hidden="false" customHeight="false" outlineLevel="0" collapsed="false">
      <c r="A395" s="96" t="str">
        <f aca="false">A43</f>
        <v>      Cash Provided by (Used in) Investing Activities</v>
      </c>
      <c r="B395" s="194"/>
      <c r="C395" s="194"/>
      <c r="D395" s="96"/>
      <c r="E395" s="194"/>
      <c r="F395" s="96"/>
      <c r="G395" s="96"/>
      <c r="H395" s="96"/>
      <c r="I395" s="135" t="n">
        <f aca="false">SUM(G390:G395)</f>
        <v>-20519</v>
      </c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</row>
    <row r="396" customFormat="false" ht="3.95" hidden="false" customHeight="true" outlineLevel="0" collapsed="false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</row>
    <row r="397" customFormat="false" ht="14.65" hidden="false" customHeight="false" outlineLevel="0" collapsed="false">
      <c r="A397" s="93" t="str">
        <f aca="false">A45</f>
        <v>            Net Cash Flow Before Corporate Adjustments</v>
      </c>
      <c r="B397" s="96"/>
      <c r="C397" s="96"/>
      <c r="D397" s="122" t="n">
        <f aca="false">P45</f>
        <v>36278</v>
      </c>
      <c r="E397" s="96"/>
      <c r="F397" s="96"/>
      <c r="G397" s="96"/>
      <c r="H397" s="96"/>
      <c r="I397" s="192" t="e">
        <f aca="false">SUM(I352:I396)</f>
        <v>#REF!</v>
      </c>
      <c r="J397" s="96"/>
      <c r="K397" s="122" t="e">
        <f aca="false">I397-I352</f>
        <v>#REF!</v>
      </c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</row>
    <row r="398" customFormat="false" ht="3.95" hidden="false" customHeight="true" outlineLevel="0" collapsed="false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</row>
    <row r="399" customFormat="false" ht="14.65" hidden="false" customHeight="false" outlineLevel="0" collapsed="false">
      <c r="A399" s="96" t="e">
        <f aca="false">#REF!</f>
        <v>#REF!</v>
      </c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</row>
    <row r="400" customFormat="false" ht="14.65" hidden="false" customHeight="false" outlineLevel="0" collapsed="false">
      <c r="A400" s="96" t="e">
        <f aca="false">#REF!</f>
        <v>#REF!</v>
      </c>
      <c r="B400" s="194"/>
      <c r="C400" s="194"/>
      <c r="D400" s="96"/>
      <c r="E400" s="96"/>
      <c r="F400" s="96"/>
      <c r="G400" s="122" t="e">
        <f aca="false">#REF!</f>
        <v>#REF!</v>
      </c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</row>
    <row r="401" customFormat="false" ht="14.65" hidden="false" customHeight="false" outlineLevel="0" collapsed="false">
      <c r="A401" s="96" t="e">
        <f aca="false">#REF!</f>
        <v>#REF!</v>
      </c>
      <c r="B401" s="96"/>
      <c r="C401" s="96"/>
      <c r="D401" s="96"/>
      <c r="E401" s="96"/>
      <c r="F401" s="96"/>
      <c r="G401" s="122" t="e">
        <f aca="false">#REF!</f>
        <v>#REF!</v>
      </c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</row>
    <row r="402" customFormat="false" ht="14.65" hidden="false" customHeight="false" outlineLevel="0" collapsed="false">
      <c r="A402" s="96" t="str">
        <f aca="false">A19</f>
        <v>                    - Other</v>
      </c>
      <c r="B402" s="194"/>
      <c r="C402" s="194"/>
      <c r="D402" s="96"/>
      <c r="E402" s="96"/>
      <c r="F402" s="96"/>
      <c r="G402" s="135" t="n">
        <f aca="false">AK19</f>
        <v>16209</v>
      </c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</row>
    <row r="403" customFormat="false" ht="14.65" hidden="false" customHeight="false" outlineLevel="0" collapsed="false">
      <c r="A403" s="96" t="e">
        <f aca="false">#REF!</f>
        <v>#REF!</v>
      </c>
      <c r="B403" s="96"/>
      <c r="C403" s="96"/>
      <c r="D403" s="96"/>
      <c r="E403" s="96"/>
      <c r="F403" s="96"/>
      <c r="G403" s="96"/>
      <c r="H403" s="96"/>
      <c r="I403" s="96"/>
      <c r="J403" s="96"/>
      <c r="K403" s="135" t="e">
        <f aca="false">SUM(G400:G402)</f>
        <v>#REF!</v>
      </c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</row>
    <row r="404" customFormat="false" ht="3.95" hidden="false" customHeight="true" outlineLevel="0" collapsed="false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</row>
    <row r="405" customFormat="false" ht="14.65" hidden="false" customHeight="false" outlineLevel="0" collapsed="false">
      <c r="A405" s="93" t="e">
        <f aca="false">#REF!</f>
        <v>#REF!</v>
      </c>
      <c r="B405" s="96"/>
      <c r="C405" s="96"/>
      <c r="D405" s="122" t="e">
        <f aca="false">#REF!</f>
        <v>#REF!</v>
      </c>
      <c r="E405" s="96"/>
      <c r="F405" s="96"/>
      <c r="G405" s="96"/>
      <c r="H405" s="96"/>
      <c r="I405" s="96"/>
      <c r="J405" s="96"/>
      <c r="K405" s="192" t="e">
        <f aca="false">SUM(K352:K403)</f>
        <v>#REF!</v>
      </c>
      <c r="L405" s="96"/>
      <c r="M405" s="122" t="e">
        <f aca="false">K405-K352</f>
        <v>#REF!</v>
      </c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</row>
    <row r="406" customFormat="false" ht="3.95" hidden="false" customHeight="true" outlineLevel="0" collapsed="false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</row>
    <row r="407" customFormat="false" ht="14.65" hidden="false" customHeight="false" outlineLevel="0" collapsed="false">
      <c r="A407" s="96" t="str">
        <f aca="false">A47</f>
        <v>OTHER ITEMS AFFECTING INTERCO. (CORP.) BALANCE</v>
      </c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</row>
    <row r="408" customFormat="false" ht="14.65" hidden="false" customHeight="false" outlineLevel="0" collapsed="false">
      <c r="A408" s="96" t="str">
        <f aca="false">A48</f>
        <v>   Dividends Transferred to Corporate</v>
      </c>
      <c r="B408" s="194"/>
      <c r="C408" s="194"/>
      <c r="D408" s="96"/>
      <c r="E408" s="96"/>
      <c r="F408" s="96"/>
      <c r="G408" s="122" t="n">
        <f aca="false">AK48</f>
        <v>0</v>
      </c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</row>
    <row r="409" customFormat="false" ht="14.65" hidden="false" customHeight="false" outlineLevel="0" collapsed="false">
      <c r="A409" s="96" t="str">
        <f aca="false">A49</f>
        <v>   Other</v>
      </c>
      <c r="B409" s="194"/>
      <c r="C409" s="194"/>
      <c r="D409" s="96"/>
      <c r="E409" s="96"/>
      <c r="F409" s="96"/>
      <c r="G409" s="122" t="n">
        <f aca="false">AK49</f>
        <v>0</v>
      </c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</row>
    <row r="410" customFormat="false" ht="14.65" hidden="false" customHeight="false" outlineLevel="0" collapsed="false">
      <c r="A410" s="96" t="str">
        <f aca="false">A50</f>
        <v>   Inc. / (Dec.) in Long-Term Debt  (External)</v>
      </c>
      <c r="B410" s="96"/>
      <c r="C410" s="96"/>
      <c r="D410" s="96"/>
      <c r="E410" s="96"/>
      <c r="F410" s="96"/>
      <c r="G410" s="122" t="n">
        <f aca="false">AK50</f>
        <v>-150000</v>
      </c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</row>
    <row r="411" customFormat="false" ht="14.65" hidden="false" customHeight="false" outlineLevel="0" collapsed="false">
      <c r="A411" s="96" t="str">
        <f aca="false">A51</f>
        <v>   Inc. / (Dec.) in Sale of Receivables</v>
      </c>
      <c r="B411" s="96"/>
      <c r="C411" s="96"/>
      <c r="D411" s="96"/>
      <c r="E411" s="96"/>
      <c r="F411" s="96"/>
      <c r="G411" s="135" t="n">
        <f aca="false">AK51</f>
        <v>0</v>
      </c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</row>
    <row r="412" customFormat="false" ht="14.65" hidden="false" customHeight="false" outlineLevel="0" collapsed="false">
      <c r="A412" s="96" t="str">
        <f aca="false">A53</f>
        <v>      Total Items Affecting Intercompany (Corp.) Balance</v>
      </c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135" t="n">
        <f aca="false">SUM(G408:G411)</f>
        <v>-150000</v>
      </c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</row>
    <row r="413" customFormat="false" ht="6" hidden="false" customHeight="true" outlineLevel="0" collapsed="false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</row>
    <row r="414" customFormat="false" ht="14.65" hidden="false" customHeight="false" outlineLevel="0" collapsed="false">
      <c r="A414" s="185" t="s">
        <v>476</v>
      </c>
      <c r="B414" s="96"/>
      <c r="C414" s="194"/>
      <c r="D414" s="122" t="n">
        <f aca="false">P55</f>
        <v>-117572</v>
      </c>
      <c r="E414" s="194"/>
      <c r="F414" s="96"/>
      <c r="G414" s="122"/>
      <c r="H414" s="96"/>
      <c r="I414" s="96"/>
      <c r="J414" s="96"/>
      <c r="K414" s="96"/>
      <c r="L414" s="96"/>
      <c r="M414" s="195" t="e">
        <f aca="false">SUM(M352:M413)</f>
        <v>#REF!</v>
      </c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</row>
    <row r="415" customFormat="false" ht="8.1" hidden="false" customHeight="true" outlineLevel="0" collapsed="false">
      <c r="A415" s="96"/>
      <c r="B415" s="194"/>
      <c r="C415" s="194"/>
      <c r="D415" s="96"/>
      <c r="E415" s="194"/>
      <c r="F415" s="96"/>
      <c r="G415" s="122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</row>
    <row r="416" customFormat="false" ht="14.65" hidden="false" customHeight="false" outlineLevel="0" collapsed="false">
      <c r="A416" s="164" t="s">
        <v>572</v>
      </c>
      <c r="B416" s="164" t="s">
        <v>572</v>
      </c>
      <c r="C416" s="164" t="s">
        <v>572</v>
      </c>
      <c r="D416" s="164" t="s">
        <v>572</v>
      </c>
      <c r="E416" s="164" t="s">
        <v>572</v>
      </c>
      <c r="F416" s="164" t="s">
        <v>572</v>
      </c>
      <c r="G416" s="164" t="s">
        <v>572</v>
      </c>
      <c r="H416" s="164" t="s">
        <v>572</v>
      </c>
      <c r="I416" s="164" t="s">
        <v>572</v>
      </c>
      <c r="J416" s="164" t="s">
        <v>572</v>
      </c>
      <c r="K416" s="164" t="s">
        <v>572</v>
      </c>
      <c r="L416" s="164" t="s">
        <v>572</v>
      </c>
      <c r="M416" s="164" t="s">
        <v>572</v>
      </c>
      <c r="N416" s="164" t="s">
        <v>572</v>
      </c>
      <c r="O416" s="164" t="s">
        <v>572</v>
      </c>
      <c r="P416" s="164" t="s">
        <v>572</v>
      </c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</row>
    <row r="417" customFormat="false" ht="14.65" hidden="false" customHeight="false" outlineLevel="0" collapsed="false">
      <c r="A417" s="97" t="str">
        <f aca="false">A1</f>
        <v>'file:///mnt/12tb/@roms/datasets/enron/EDRM Enron Email Data Set v2 XML/filtered-attachments/xls/TW3rdCECF.xls'#$BACKUP</v>
      </c>
      <c r="B417" s="93"/>
      <c r="C417" s="93" t="str">
        <f aca="false">I1</f>
        <v>TRANSWESTERN PIPELINE GROUP (Including Co. 92)</v>
      </c>
      <c r="D417" s="93"/>
      <c r="E417" s="93"/>
      <c r="F417" s="93"/>
      <c r="G417" s="93"/>
      <c r="H417" s="93"/>
      <c r="I417" s="93"/>
      <c r="J417" s="93"/>
      <c r="K417" s="96"/>
      <c r="L417" s="96"/>
      <c r="M417" s="189" t="n">
        <f aca="true">NOW()</f>
        <v>45926.958432606</v>
      </c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</row>
    <row r="418" customFormat="false" ht="14.65" hidden="false" customHeight="false" outlineLevel="0" collapsed="false">
      <c r="A418" s="100" t="s">
        <v>589</v>
      </c>
      <c r="B418" s="93"/>
      <c r="C418" s="93" t="str">
        <f aca="false">I2</f>
        <v>CASH FLOW STATEMENT</v>
      </c>
      <c r="D418" s="93"/>
      <c r="E418" s="93"/>
      <c r="F418" s="93"/>
      <c r="G418" s="93"/>
      <c r="H418" s="93"/>
      <c r="I418" s="93"/>
      <c r="J418" s="93"/>
      <c r="K418" s="96"/>
      <c r="L418" s="96"/>
      <c r="M418" s="190" t="n">
        <f aca="true">NOW()</f>
        <v>45926.958432606</v>
      </c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</row>
    <row r="419" customFormat="false" ht="14.65" hidden="false" customHeight="false" outlineLevel="0" collapsed="false">
      <c r="A419" s="93"/>
      <c r="B419" s="93"/>
      <c r="C419" s="93" t="str">
        <f aca="false">I3</f>
        <v>2001 ACTUAL / ESTIMATE</v>
      </c>
      <c r="D419" s="93"/>
      <c r="E419" s="93"/>
      <c r="F419" s="93"/>
      <c r="G419" s="93"/>
      <c r="H419" s="93"/>
      <c r="I419" s="93"/>
      <c r="J419" s="93"/>
      <c r="K419" s="93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</row>
    <row r="420" customFormat="false" ht="14.65" hidden="false" customHeight="false" outlineLevel="0" collapsed="false">
      <c r="A420" s="93"/>
      <c r="B420" s="93"/>
      <c r="C420" s="93" t="str">
        <f aca="false">I4</f>
        <v>(Thousands of Dollars)</v>
      </c>
      <c r="D420" s="93"/>
      <c r="E420" s="93"/>
      <c r="F420" s="93"/>
      <c r="G420" s="93"/>
      <c r="H420" s="93"/>
      <c r="I420" s="93"/>
      <c r="J420" s="93"/>
      <c r="K420" s="93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</row>
    <row r="421" customFormat="false" ht="14.65" hidden="false" customHeight="false" outlineLevel="0" collapsed="false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</row>
    <row r="422" customFormat="false" ht="14.65" hidden="false" customHeight="false" outlineLevel="0" collapsed="false">
      <c r="A422" s="93"/>
      <c r="B422" s="93"/>
      <c r="C422" s="93"/>
      <c r="D422" s="93"/>
      <c r="E422" s="93"/>
      <c r="F422" s="93"/>
      <c r="G422" s="93"/>
      <c r="H422" s="93"/>
      <c r="I422" s="191" t="s">
        <v>574</v>
      </c>
      <c r="J422" s="191"/>
      <c r="K422" s="191"/>
      <c r="L422" s="96"/>
      <c r="M422" s="113" t="s">
        <v>575</v>
      </c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</row>
    <row r="423" customFormat="false" ht="12.95" hidden="false" customHeight="true" outlineLevel="0" collapsed="false">
      <c r="A423" s="93"/>
      <c r="B423" s="93"/>
      <c r="C423" s="93"/>
      <c r="D423" s="93"/>
      <c r="E423" s="93"/>
      <c r="F423" s="93"/>
      <c r="G423" s="93"/>
      <c r="H423" s="93"/>
      <c r="I423" s="118" t="s">
        <v>576</v>
      </c>
      <c r="J423" s="93"/>
      <c r="K423" s="118" t="s">
        <v>577</v>
      </c>
      <c r="L423" s="96"/>
      <c r="M423" s="118" t="s">
        <v>578</v>
      </c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</row>
    <row r="424" customFormat="false" ht="3.95" hidden="false" customHeight="true" outlineLevel="0" collapsed="false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</row>
    <row r="425" customFormat="false" ht="14.65" hidden="false" customHeight="false" outlineLevel="0" collapsed="false">
      <c r="A425" s="185" t="s">
        <v>590</v>
      </c>
      <c r="B425" s="96"/>
      <c r="C425" s="96"/>
      <c r="D425" s="96"/>
      <c r="E425" s="96"/>
      <c r="F425" s="96"/>
      <c r="G425" s="96"/>
      <c r="H425" s="96"/>
      <c r="I425" s="192" t="n">
        <f aca="false">AM45</f>
        <v>12032</v>
      </c>
      <c r="J425" s="96"/>
      <c r="K425" s="192" t="e">
        <f aca="false">#REF!</f>
        <v>#REF!</v>
      </c>
      <c r="L425" s="96"/>
      <c r="M425" s="192" t="n">
        <f aca="false">AM55</f>
        <v>-141818</v>
      </c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</row>
    <row r="426" customFormat="false" ht="3.95" hidden="false" customHeight="true" outlineLevel="0" collapsed="false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</row>
    <row r="427" customFormat="false" ht="14.65" hidden="false" customHeight="false" outlineLevel="0" collapsed="false">
      <c r="A427" s="193" t="s">
        <v>580</v>
      </c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</row>
    <row r="428" customFormat="false" ht="14.65" hidden="false" customHeight="false" outlineLevel="0" collapsed="false">
      <c r="A428" s="96" t="str">
        <f aca="false">A9</f>
        <v>   Net Income </v>
      </c>
      <c r="B428" s="96"/>
      <c r="C428" s="96"/>
      <c r="D428" s="96"/>
      <c r="E428" s="96"/>
      <c r="F428" s="96"/>
      <c r="G428" s="122" t="n">
        <f aca="false">AN9</f>
        <v>-225</v>
      </c>
      <c r="H428" s="96"/>
      <c r="I428" s="194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</row>
    <row r="429" customFormat="false" ht="14.65" hidden="false" customHeight="false" outlineLevel="0" collapsed="false">
      <c r="A429" s="96" t="str">
        <f aca="false">A11</f>
        <v>      Depreciation and Amortization</v>
      </c>
      <c r="B429" s="96"/>
      <c r="C429" s="96"/>
      <c r="D429" s="96"/>
      <c r="E429" s="96"/>
      <c r="F429" s="96"/>
      <c r="G429" s="122" t="n">
        <f aca="false">AN11</f>
        <v>0</v>
      </c>
      <c r="H429" s="96"/>
      <c r="I429" s="194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</row>
    <row r="430" customFormat="false" ht="14.65" hidden="false" customHeight="false" outlineLevel="0" collapsed="false">
      <c r="A430" s="96" t="str">
        <f aca="false">A12</f>
        <v>      Regulatory Amortization - TCR</v>
      </c>
      <c r="B430" s="194"/>
      <c r="C430" s="194"/>
      <c r="D430" s="96"/>
      <c r="E430" s="194"/>
      <c r="F430" s="96"/>
      <c r="G430" s="122" t="n">
        <f aca="false">AN12</f>
        <v>0</v>
      </c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</row>
    <row r="431" customFormat="false" ht="14.65" hidden="false" customHeight="false" outlineLevel="0" collapsed="false">
      <c r="A431" s="96" t="e">
        <f aca="false">#REF!</f>
        <v>#REF!</v>
      </c>
      <c r="B431" s="96"/>
      <c r="C431" s="96"/>
      <c r="D431" s="96"/>
      <c r="E431" s="96"/>
      <c r="F431" s="96"/>
      <c r="G431" s="122" t="e">
        <f aca="false">#REF!</f>
        <v>#REF!</v>
      </c>
      <c r="H431" s="96"/>
      <c r="I431" s="194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</row>
    <row r="432" customFormat="false" ht="14.65" hidden="false" customHeight="false" outlineLevel="0" collapsed="false">
      <c r="A432" s="96" t="str">
        <f aca="false">A13</f>
        <v>      Deferred Income Taxes - Both Current and Noncurrent</v>
      </c>
      <c r="B432" s="96"/>
      <c r="C432" s="96"/>
      <c r="D432" s="96"/>
      <c r="E432" s="96"/>
      <c r="F432" s="96"/>
      <c r="G432" s="122" t="n">
        <f aca="false">AN13</f>
        <v>0</v>
      </c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</row>
    <row r="433" customFormat="false" ht="14.65" hidden="false" customHeight="false" outlineLevel="0" collapsed="false">
      <c r="A433" s="96" t="e">
        <f aca="false">#REF!</f>
        <v>#REF!</v>
      </c>
      <c r="B433" s="96"/>
      <c r="C433" s="96"/>
      <c r="D433" s="96"/>
      <c r="E433" s="96"/>
      <c r="F433" s="96"/>
      <c r="G433" s="122" t="e">
        <f aca="false">#REF!</f>
        <v>#REF!</v>
      </c>
      <c r="H433" s="96"/>
      <c r="I433" s="122" t="e">
        <f aca="false">SUM(G428:G433)</f>
        <v>#REF!</v>
      </c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</row>
    <row r="434" customFormat="false" ht="3.95" hidden="false" customHeight="true" outlineLevel="0" collapsed="false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</row>
    <row r="435" customFormat="false" ht="14.65" hidden="false" customHeight="false" outlineLevel="0" collapsed="false">
      <c r="A435" s="193" t="s">
        <v>581</v>
      </c>
      <c r="B435" s="96"/>
      <c r="C435" s="96"/>
      <c r="D435" s="96"/>
      <c r="E435" s="96"/>
      <c r="F435" s="96"/>
      <c r="G435" s="122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</row>
    <row r="436" customFormat="false" ht="14.65" hidden="false" customHeight="false" outlineLevel="0" collapsed="false">
      <c r="A436" s="96" t="str">
        <f aca="false">A16</f>
        <v>      Accounts and Notes Receivable</v>
      </c>
      <c r="B436" s="194"/>
      <c r="C436" s="194"/>
      <c r="D436" s="96"/>
      <c r="E436" s="96"/>
      <c r="F436" s="96"/>
      <c r="G436" s="122" t="n">
        <f aca="false">AN16</f>
        <v>-12270</v>
      </c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</row>
    <row r="437" customFormat="false" ht="14.65" hidden="false" customHeight="false" outlineLevel="0" collapsed="false">
      <c r="A437" s="96" t="str">
        <f aca="false">A17</f>
        <v>      Inventories (Materials &amp; Supplies)</v>
      </c>
      <c r="B437" s="196" t="s">
        <v>591</v>
      </c>
      <c r="C437" s="194"/>
      <c r="D437" s="96"/>
      <c r="E437" s="96"/>
      <c r="F437" s="96"/>
      <c r="G437" s="122" t="n">
        <f aca="false">AN17</f>
        <v>18</v>
      </c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</row>
    <row r="438" customFormat="false" ht="14.65" hidden="false" customHeight="false" outlineLevel="0" collapsed="false">
      <c r="A438" s="96" t="str">
        <f aca="false">A18</f>
        <v>      Accounts Payable - Assoc. Companies / Trade</v>
      </c>
      <c r="B438" s="194"/>
      <c r="C438" s="194"/>
      <c r="D438" s="96"/>
      <c r="E438" s="96"/>
      <c r="F438" s="96"/>
      <c r="G438" s="122" t="n">
        <f aca="false">AN18</f>
        <v>-2388</v>
      </c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</row>
    <row r="439" customFormat="false" ht="14.65" hidden="false" customHeight="false" outlineLevel="0" collapsed="false">
      <c r="A439" s="96" t="e">
        <f aca="false">#REF!</f>
        <v>#REF!</v>
      </c>
      <c r="B439" s="194"/>
      <c r="C439" s="194"/>
      <c r="D439" s="96"/>
      <c r="E439" s="96"/>
      <c r="F439" s="96"/>
      <c r="G439" s="122" t="e">
        <f aca="false">#REF!</f>
        <v>#REF!</v>
      </c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</row>
    <row r="440" customFormat="false" ht="14.65" hidden="false" customHeight="false" outlineLevel="0" collapsed="false">
      <c r="A440" s="96" t="str">
        <f aca="false">A20</f>
        <v>      Exchange Gas - Receivable</v>
      </c>
      <c r="B440" s="194"/>
      <c r="C440" s="194"/>
      <c r="D440" s="96"/>
      <c r="E440" s="96"/>
      <c r="F440" s="96"/>
      <c r="G440" s="122" t="n">
        <f aca="false">AN20</f>
        <v>534</v>
      </c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</row>
    <row r="441" customFormat="false" ht="14.65" hidden="false" customHeight="false" outlineLevel="0" collapsed="false">
      <c r="A441" s="96" t="str">
        <f aca="false">A22</f>
        <v>      Prepayments</v>
      </c>
      <c r="B441" s="194"/>
      <c r="C441" s="194"/>
      <c r="D441" s="96"/>
      <c r="E441" s="96"/>
      <c r="F441" s="96"/>
      <c r="G441" s="122" t="n">
        <f aca="false">AN22</f>
        <v>0</v>
      </c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</row>
    <row r="442" customFormat="false" ht="14.65" hidden="false" customHeight="false" outlineLevel="0" collapsed="false">
      <c r="A442" s="96" t="e">
        <f aca="false">#REF!</f>
        <v>#REF!</v>
      </c>
      <c r="B442" s="194"/>
      <c r="C442" s="194"/>
      <c r="D442" s="96"/>
      <c r="E442" s="96"/>
      <c r="F442" s="96"/>
      <c r="G442" s="122" t="e">
        <f aca="false">#REF!</f>
        <v>#REF!</v>
      </c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</row>
    <row r="443" customFormat="false" ht="14.65" hidden="false" customHeight="false" outlineLevel="0" collapsed="false">
      <c r="A443" s="96" t="str">
        <f aca="false">A23</f>
        <v>      Accrued Interest - Third Party</v>
      </c>
      <c r="B443" s="194"/>
      <c r="C443" s="194"/>
      <c r="D443" s="96"/>
      <c r="E443" s="96"/>
      <c r="F443" s="96"/>
      <c r="G443" s="122" t="n">
        <f aca="false">AN23</f>
        <v>0</v>
      </c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</row>
    <row r="444" customFormat="false" ht="14.65" hidden="false" customHeight="false" outlineLevel="0" collapsed="false">
      <c r="A444" s="96" t="str">
        <f aca="false">A24</f>
        <v>      Accrued Taxes, Other Than Income</v>
      </c>
      <c r="B444" s="194"/>
      <c r="C444" s="194"/>
      <c r="D444" s="96"/>
      <c r="E444" s="96"/>
      <c r="F444" s="96"/>
      <c r="G444" s="122" t="n">
        <f aca="false">AN24</f>
        <v>-74</v>
      </c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</row>
    <row r="445" customFormat="false" ht="14.65" hidden="false" customHeight="false" outlineLevel="0" collapsed="false">
      <c r="A445" s="96" t="str">
        <f aca="false">A25</f>
        <v>      Other Current Assets or Liabilities (W/O Reserve Activity)</v>
      </c>
      <c r="B445" s="194"/>
      <c r="C445" s="194"/>
      <c r="D445" s="96"/>
      <c r="E445" s="96"/>
      <c r="F445" s="96"/>
      <c r="G445" s="122" t="n">
        <f aca="false">AN25</f>
        <v>23</v>
      </c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</row>
    <row r="446" customFormat="false" ht="6" hidden="false" customHeight="true" outlineLevel="0" collapsed="false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</row>
    <row r="447" customFormat="false" ht="14.65" hidden="false" customHeight="false" outlineLevel="0" collapsed="false">
      <c r="A447" s="96" t="e">
        <f aca="false">#REF!</f>
        <v>#REF!</v>
      </c>
      <c r="B447" s="96"/>
      <c r="C447" s="96"/>
      <c r="D447" s="96"/>
      <c r="E447" s="96"/>
      <c r="F447" s="96"/>
      <c r="G447" s="122" t="e">
        <f aca="false">#REF!</f>
        <v>#REF!</v>
      </c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</row>
    <row r="448" customFormat="false" ht="14.65" hidden="false" customHeight="false" outlineLevel="0" collapsed="false">
      <c r="A448" s="96" t="e">
        <f aca="false">#REF!</f>
        <v>#REF!</v>
      </c>
      <c r="B448" s="96"/>
      <c r="C448" s="96"/>
      <c r="D448" s="96"/>
      <c r="E448" s="96"/>
      <c r="F448" s="96"/>
      <c r="G448" s="122" t="e">
        <f aca="false">#REF!</f>
        <v>#REF!</v>
      </c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</row>
    <row r="449" customFormat="false" ht="14.65" hidden="false" customHeight="false" outlineLevel="0" collapsed="false">
      <c r="A449" s="96" t="e">
        <f aca="false">#REF!</f>
        <v>#REF!</v>
      </c>
      <c r="B449" s="96"/>
      <c r="C449" s="96"/>
      <c r="D449" s="96"/>
      <c r="E449" s="96"/>
      <c r="F449" s="96"/>
      <c r="G449" s="122" t="e">
        <f aca="false">#REF!</f>
        <v>#REF!</v>
      </c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</row>
    <row r="450" customFormat="false" ht="14.65" hidden="false" customHeight="false" outlineLevel="0" collapsed="false">
      <c r="A450" s="96" t="str">
        <f aca="false">A28</f>
        <v>   Equity Earnings</v>
      </c>
      <c r="B450" s="96"/>
      <c r="C450" s="96"/>
      <c r="D450" s="96"/>
      <c r="E450" s="96"/>
      <c r="F450" s="96"/>
      <c r="G450" s="122" t="n">
        <f aca="false">AN28</f>
        <v>0</v>
      </c>
      <c r="H450" s="96"/>
      <c r="I450" s="194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</row>
    <row r="451" customFormat="false" ht="14.65" hidden="false" customHeight="false" outlineLevel="0" collapsed="false">
      <c r="A451" s="96" t="str">
        <f aca="false">A29</f>
        <v>   Equity / Partnership Distributions</v>
      </c>
      <c r="B451" s="96"/>
      <c r="C451" s="96"/>
      <c r="D451" s="96"/>
      <c r="E451" s="96"/>
      <c r="F451" s="96"/>
      <c r="G451" s="122" t="n">
        <f aca="false">AN29</f>
        <v>0</v>
      </c>
      <c r="H451" s="96"/>
      <c r="I451" s="194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</row>
    <row r="452" customFormat="false" ht="14.65" hidden="false" customHeight="false" outlineLevel="0" collapsed="false">
      <c r="A452" s="96" t="str">
        <f aca="false">A30</f>
        <v>   Net (Gain) / Loss on Sale of Assets</v>
      </c>
      <c r="B452" s="96"/>
      <c r="C452" s="96"/>
      <c r="D452" s="96"/>
      <c r="E452" s="96"/>
      <c r="F452" s="96"/>
      <c r="G452" s="122" t="n">
        <f aca="false">AN30</f>
        <v>-18</v>
      </c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</row>
    <row r="453" customFormat="false" ht="14.65" hidden="false" customHeight="false" outlineLevel="0" collapsed="false">
      <c r="A453" s="96" t="str">
        <f aca="false">A31</f>
        <v>   Other Regulatory Assets / Liabilities</v>
      </c>
      <c r="B453" s="96"/>
      <c r="C453" s="96"/>
      <c r="D453" s="96"/>
      <c r="E453" s="96"/>
      <c r="F453" s="96"/>
      <c r="G453" s="122" t="n">
        <f aca="false">AN31</f>
        <v>-18</v>
      </c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</row>
    <row r="454" customFormat="false" ht="14.65" hidden="false" customHeight="false" outlineLevel="0" collapsed="false">
      <c r="A454" s="197" t="s">
        <v>592</v>
      </c>
      <c r="B454" s="96"/>
      <c r="C454" s="96"/>
      <c r="D454" s="96"/>
      <c r="E454" s="123" t="n">
        <v>-18794</v>
      </c>
      <c r="F454" s="96"/>
      <c r="G454" s="122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</row>
    <row r="455" customFormat="false" ht="14.65" hidden="false" customHeight="false" outlineLevel="0" collapsed="false">
      <c r="A455" s="96" t="str">
        <f aca="false">A382</f>
        <v>      - Severance (Involuntary / Voluntary) </v>
      </c>
      <c r="B455" s="96"/>
      <c r="C455" s="96"/>
      <c r="D455" s="96"/>
      <c r="E455" s="122" t="n">
        <f aca="false">-P295-P297-P299+U295+U297+U299</f>
        <v>3</v>
      </c>
      <c r="F455" s="96"/>
      <c r="G455" s="122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</row>
    <row r="456" customFormat="false" ht="14.65" hidden="false" customHeight="false" outlineLevel="0" collapsed="false">
      <c r="A456" s="197" t="s">
        <v>593</v>
      </c>
      <c r="B456" s="96"/>
      <c r="C456" s="96"/>
      <c r="D456" s="96"/>
      <c r="E456" s="123" t="n">
        <v>-23425</v>
      </c>
      <c r="F456" s="96"/>
      <c r="G456" s="122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</row>
    <row r="457" customFormat="false" ht="14.65" hidden="false" customHeight="false" outlineLevel="0" collapsed="false">
      <c r="A457" s="96" t="str">
        <f aca="false">A384</f>
        <v>      - Unamortized Debt Expense</v>
      </c>
      <c r="B457" s="96"/>
      <c r="C457" s="96"/>
      <c r="D457" s="96"/>
      <c r="E457" s="122" t="e">
        <f aca="false">-#REF!+#REF!</f>
        <v>#REF!</v>
      </c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</row>
    <row r="458" customFormat="false" ht="14.65" hidden="false" customHeight="false" outlineLevel="0" collapsed="false">
      <c r="A458" s="96" t="str">
        <f aca="false">A385</f>
        <v>      - Other Deferred Charges (Actual Adjust.)</v>
      </c>
      <c r="B458" s="96"/>
      <c r="C458" s="96"/>
      <c r="D458" s="96"/>
      <c r="E458" s="122" t="n">
        <f aca="false">-P302+U302</f>
        <v>0</v>
      </c>
      <c r="F458" s="96"/>
      <c r="G458" s="122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</row>
    <row r="459" customFormat="false" ht="14.65" hidden="false" customHeight="false" outlineLevel="0" collapsed="false">
      <c r="A459" s="96" t="str">
        <f aca="false">A386</f>
        <v>      - Other Deferred Credits (Actual Adjust.)</v>
      </c>
      <c r="B459" s="96"/>
      <c r="C459" s="96"/>
      <c r="D459" s="96"/>
      <c r="E459" s="122" t="n">
        <f aca="false">P320-U320</f>
        <v>0</v>
      </c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</row>
    <row r="460" customFormat="false" ht="14.65" hidden="false" customHeight="false" outlineLevel="0" collapsed="false">
      <c r="A460" s="197" t="s">
        <v>594</v>
      </c>
      <c r="B460" s="96"/>
      <c r="C460" s="96"/>
      <c r="D460" s="96"/>
      <c r="E460" s="122" t="e">
        <f aca="false">G460-SUM(E454:E459)</f>
        <v>#REF!</v>
      </c>
      <c r="F460" s="96"/>
      <c r="G460" s="135" t="n">
        <f aca="false">AN32</f>
        <v>-222</v>
      </c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</row>
    <row r="461" customFormat="false" ht="14.65" hidden="false" customHeight="false" outlineLevel="0" collapsed="false">
      <c r="A461" s="193" t="s">
        <v>588</v>
      </c>
      <c r="B461" s="96"/>
      <c r="C461" s="96"/>
      <c r="D461" s="96"/>
      <c r="E461" s="96"/>
      <c r="F461" s="96"/>
      <c r="G461" s="96"/>
      <c r="H461" s="96"/>
      <c r="I461" s="122" t="e">
        <f aca="false">SUM(G433:G461)</f>
        <v>#REF!</v>
      </c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</row>
    <row r="462" customFormat="false" ht="3.95" hidden="false" customHeight="true" outlineLevel="0" collapsed="false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</row>
    <row r="463" customFormat="false" ht="14.65" hidden="false" customHeight="false" outlineLevel="0" collapsed="false">
      <c r="A463" s="96" t="str">
        <f aca="false">A36</f>
        <v>CASH FLOW FROM INVESTING ACTIVITIES</v>
      </c>
      <c r="B463" s="96"/>
      <c r="C463" s="96"/>
      <c r="D463" s="96"/>
      <c r="E463" s="96"/>
      <c r="F463" s="96"/>
      <c r="G463" s="122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</row>
    <row r="464" customFormat="false" ht="14.65" hidden="false" customHeight="false" outlineLevel="0" collapsed="false">
      <c r="A464" s="96" t="str">
        <f aca="false">A37</f>
        <v>   Proceeds from Sale of Investments</v>
      </c>
      <c r="B464" s="96"/>
      <c r="C464" s="96"/>
      <c r="D464" s="96"/>
      <c r="E464" s="96"/>
      <c r="F464" s="96"/>
      <c r="G464" s="122" t="n">
        <f aca="false">AN37</f>
        <v>18</v>
      </c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</row>
    <row r="465" customFormat="false" ht="14.65" hidden="false" customHeight="false" outlineLevel="0" collapsed="false">
      <c r="A465" s="96" t="str">
        <f aca="false">A38</f>
        <v>   Additions to Property </v>
      </c>
      <c r="B465" s="96"/>
      <c r="C465" s="96"/>
      <c r="D465" s="96"/>
      <c r="E465" s="96"/>
      <c r="F465" s="96"/>
      <c r="G465" s="122" t="n">
        <f aca="false">AN38</f>
        <v>20400</v>
      </c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</row>
    <row r="466" customFormat="false" ht="14.65" hidden="false" customHeight="false" outlineLevel="0" collapsed="false">
      <c r="A466" s="96" t="str">
        <f aca="false">A39</f>
        <v>   Other Capital Expenditures</v>
      </c>
      <c r="B466" s="194"/>
      <c r="C466" s="194"/>
      <c r="D466" s="96"/>
      <c r="E466" s="96"/>
      <c r="F466" s="96"/>
      <c r="G466" s="122" t="n">
        <f aca="false">AN39</f>
        <v>267</v>
      </c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</row>
    <row r="467" customFormat="false" ht="14.65" hidden="false" customHeight="false" outlineLevel="0" collapsed="false">
      <c r="A467" s="96" t="str">
        <f aca="false">A40</f>
        <v>   Other Investments</v>
      </c>
      <c r="B467" s="198" t="s">
        <v>595</v>
      </c>
      <c r="C467" s="194"/>
      <c r="D467" s="96"/>
      <c r="E467" s="96"/>
      <c r="F467" s="96"/>
      <c r="G467" s="135" t="n">
        <f aca="false">AN40</f>
        <v>0</v>
      </c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</row>
    <row r="468" customFormat="false" ht="14.65" hidden="false" customHeight="false" outlineLevel="0" collapsed="false">
      <c r="A468" s="193" t="s">
        <v>596</v>
      </c>
      <c r="B468" s="194"/>
      <c r="C468" s="194"/>
      <c r="D468" s="96"/>
      <c r="E468" s="194"/>
      <c r="F468" s="96"/>
      <c r="G468" s="96"/>
      <c r="H468" s="96"/>
      <c r="I468" s="135" t="n">
        <f aca="false">SUM(G463:G468)</f>
        <v>20685</v>
      </c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</row>
    <row r="469" customFormat="false" ht="3.95" hidden="false" customHeight="true" outlineLevel="0" collapsed="false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</row>
    <row r="470" customFormat="false" ht="14.65" hidden="false" customHeight="false" outlineLevel="0" collapsed="false">
      <c r="A470" s="93" t="str">
        <f aca="false">A45</f>
        <v>            Net Cash Flow Before Corporate Adjustments</v>
      </c>
      <c r="B470" s="96"/>
      <c r="C470" s="96"/>
      <c r="D470" s="122" t="n">
        <f aca="false">P45</f>
        <v>36278</v>
      </c>
      <c r="E470" s="96"/>
      <c r="F470" s="96"/>
      <c r="G470" s="96"/>
      <c r="H470" s="96"/>
      <c r="I470" s="192" t="e">
        <f aca="false">SUM(I425:I469)</f>
        <v>#REF!</v>
      </c>
      <c r="J470" s="96"/>
      <c r="K470" s="122" t="e">
        <f aca="false">I470-I425</f>
        <v>#REF!</v>
      </c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</row>
    <row r="471" customFormat="false" ht="3.95" hidden="false" customHeight="true" outlineLevel="0" collapsed="false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96"/>
      <c r="AK471" s="96"/>
      <c r="AL471" s="96"/>
      <c r="AM471" s="96"/>
      <c r="AN471" s="96"/>
      <c r="AO471" s="96"/>
      <c r="AP471" s="96"/>
      <c r="AQ471" s="96"/>
      <c r="AR471" s="96"/>
      <c r="AS471" s="96"/>
      <c r="AT471" s="96"/>
      <c r="AU471" s="96"/>
    </row>
    <row r="472" customFormat="false" ht="14.65" hidden="false" customHeight="false" outlineLevel="0" collapsed="false">
      <c r="A472" s="96" t="e">
        <f aca="false">#REF!</f>
        <v>#REF!</v>
      </c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  <c r="AK472" s="96"/>
      <c r="AL472" s="96"/>
      <c r="AM472" s="96"/>
      <c r="AN472" s="96"/>
      <c r="AO472" s="96"/>
      <c r="AP472" s="96"/>
      <c r="AQ472" s="96"/>
      <c r="AR472" s="96"/>
      <c r="AS472" s="96"/>
      <c r="AT472" s="96"/>
      <c r="AU472" s="96"/>
    </row>
    <row r="473" customFormat="false" ht="14.65" hidden="false" customHeight="false" outlineLevel="0" collapsed="false">
      <c r="A473" s="96" t="e">
        <f aca="false">#REF!</f>
        <v>#REF!</v>
      </c>
      <c r="B473" s="194"/>
      <c r="C473" s="194"/>
      <c r="D473" s="96"/>
      <c r="E473" s="96"/>
      <c r="F473" s="96"/>
      <c r="G473" s="122" t="e">
        <f aca="false">#REF!</f>
        <v>#REF!</v>
      </c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  <c r="AR473" s="96"/>
      <c r="AS473" s="96"/>
      <c r="AT473" s="96"/>
      <c r="AU473" s="96"/>
    </row>
    <row r="474" customFormat="false" ht="14.65" hidden="false" customHeight="false" outlineLevel="0" collapsed="false">
      <c r="A474" s="96" t="e">
        <f aca="false">#REF!</f>
        <v>#REF!</v>
      </c>
      <c r="B474" s="96"/>
      <c r="C474" s="96"/>
      <c r="D474" s="96"/>
      <c r="E474" s="96"/>
      <c r="F474" s="96"/>
      <c r="G474" s="122" t="e">
        <f aca="false">#REF!</f>
        <v>#REF!</v>
      </c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</row>
    <row r="475" customFormat="false" ht="14.65" hidden="false" customHeight="false" outlineLevel="0" collapsed="false">
      <c r="A475" s="96" t="str">
        <f aca="false">A19</f>
        <v>                    - Other</v>
      </c>
      <c r="B475" s="194"/>
      <c r="C475" s="194"/>
      <c r="D475" s="96"/>
      <c r="E475" s="96"/>
      <c r="F475" s="96"/>
      <c r="G475" s="135" t="n">
        <f aca="false">AN19</f>
        <v>17066</v>
      </c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  <c r="AJ475" s="96"/>
      <c r="AK475" s="96"/>
      <c r="AL475" s="96"/>
      <c r="AM475" s="96"/>
      <c r="AN475" s="96"/>
      <c r="AO475" s="96"/>
      <c r="AP475" s="96"/>
      <c r="AQ475" s="96"/>
      <c r="AR475" s="96"/>
      <c r="AS475" s="96"/>
      <c r="AT475" s="96"/>
      <c r="AU475" s="96"/>
    </row>
    <row r="476" customFormat="false" ht="14.65" hidden="false" customHeight="false" outlineLevel="0" collapsed="false">
      <c r="A476" s="96" t="e">
        <f aca="false">#REF!</f>
        <v>#REF!</v>
      </c>
      <c r="B476" s="96"/>
      <c r="C476" s="96"/>
      <c r="D476" s="96"/>
      <c r="E476" s="96"/>
      <c r="F476" s="96"/>
      <c r="G476" s="96"/>
      <c r="H476" s="96"/>
      <c r="I476" s="96"/>
      <c r="J476" s="96"/>
      <c r="K476" s="135" t="e">
        <f aca="false">SUM(G473:G475)</f>
        <v>#REF!</v>
      </c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  <c r="AK476" s="96"/>
      <c r="AL476" s="96"/>
      <c r="AM476" s="96"/>
      <c r="AN476" s="96"/>
      <c r="AO476" s="96"/>
      <c r="AP476" s="96"/>
      <c r="AQ476" s="96"/>
      <c r="AR476" s="96"/>
      <c r="AS476" s="96"/>
      <c r="AT476" s="96"/>
      <c r="AU476" s="96"/>
    </row>
    <row r="477" customFormat="false" ht="3.95" hidden="false" customHeight="true" outlineLevel="0" collapsed="false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  <c r="AK477" s="96"/>
      <c r="AL477" s="96"/>
      <c r="AM477" s="96"/>
      <c r="AN477" s="96"/>
      <c r="AO477" s="96"/>
      <c r="AP477" s="96"/>
      <c r="AQ477" s="96"/>
      <c r="AR477" s="96"/>
      <c r="AS477" s="96"/>
      <c r="AT477" s="96"/>
      <c r="AU477" s="96"/>
    </row>
    <row r="478" customFormat="false" ht="14.65" hidden="false" customHeight="false" outlineLevel="0" collapsed="false">
      <c r="A478" s="93" t="e">
        <f aca="false">#REF!</f>
        <v>#REF!</v>
      </c>
      <c r="B478" s="96"/>
      <c r="C478" s="96"/>
      <c r="D478" s="122" t="e">
        <f aca="false">#REF!</f>
        <v>#REF!</v>
      </c>
      <c r="E478" s="96"/>
      <c r="F478" s="96"/>
      <c r="G478" s="96"/>
      <c r="H478" s="96"/>
      <c r="I478" s="192"/>
      <c r="J478" s="96"/>
      <c r="K478" s="192" t="e">
        <f aca="false">SUM(K425:K476)</f>
        <v>#REF!</v>
      </c>
      <c r="L478" s="96"/>
      <c r="M478" s="122" t="e">
        <f aca="false">K478-K425</f>
        <v>#REF!</v>
      </c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  <c r="AD478" s="96"/>
      <c r="AE478" s="96"/>
      <c r="AF478" s="96"/>
      <c r="AG478" s="96"/>
      <c r="AH478" s="96"/>
      <c r="AI478" s="96"/>
      <c r="AJ478" s="96"/>
      <c r="AK478" s="96"/>
      <c r="AL478" s="96"/>
      <c r="AM478" s="96"/>
      <c r="AN478" s="96"/>
      <c r="AO478" s="96"/>
      <c r="AP478" s="96"/>
      <c r="AQ478" s="96"/>
      <c r="AR478" s="96"/>
      <c r="AS478" s="96"/>
      <c r="AT478" s="96"/>
      <c r="AU478" s="96"/>
    </row>
    <row r="479" customFormat="false" ht="3.95" hidden="false" customHeight="true" outlineLevel="0" collapsed="false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  <c r="AK479" s="96"/>
      <c r="AL479" s="96"/>
      <c r="AM479" s="96"/>
      <c r="AN479" s="96"/>
      <c r="AO479" s="96"/>
      <c r="AP479" s="96"/>
      <c r="AQ479" s="96"/>
      <c r="AR479" s="96"/>
      <c r="AS479" s="96"/>
      <c r="AT479" s="96"/>
      <c r="AU479" s="96"/>
    </row>
    <row r="480" customFormat="false" ht="14.65" hidden="false" customHeight="false" outlineLevel="0" collapsed="false">
      <c r="A480" s="96" t="str">
        <f aca="false">A47</f>
        <v>OTHER ITEMS AFFECTING INTERCO. (CORP.) BALANCE</v>
      </c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  <c r="AT480" s="96"/>
      <c r="AU480" s="96"/>
    </row>
    <row r="481" customFormat="false" ht="14.65" hidden="false" customHeight="false" outlineLevel="0" collapsed="false">
      <c r="A481" s="96" t="str">
        <f aca="false">A48</f>
        <v>   Dividends Transferred to Corporate</v>
      </c>
      <c r="B481" s="194"/>
      <c r="C481" s="194"/>
      <c r="D481" s="96"/>
      <c r="E481" s="96"/>
      <c r="F481" s="96"/>
      <c r="G481" s="122" t="n">
        <f aca="false">AN48</f>
        <v>0</v>
      </c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</row>
    <row r="482" customFormat="false" ht="14.65" hidden="false" customHeight="false" outlineLevel="0" collapsed="false">
      <c r="A482" s="96" t="str">
        <f aca="false">A49</f>
        <v>   Other</v>
      </c>
      <c r="B482" s="194"/>
      <c r="C482" s="194"/>
      <c r="D482" s="96"/>
      <c r="E482" s="96"/>
      <c r="F482" s="96"/>
      <c r="G482" s="122" t="n">
        <f aca="false">AN49</f>
        <v>0</v>
      </c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  <c r="AK482" s="96"/>
      <c r="AL482" s="96"/>
      <c r="AM482" s="96"/>
      <c r="AN482" s="96"/>
      <c r="AO482" s="96"/>
      <c r="AP482" s="96"/>
      <c r="AQ482" s="96"/>
      <c r="AR482" s="96"/>
      <c r="AS482" s="96"/>
      <c r="AT482" s="96"/>
      <c r="AU482" s="96"/>
    </row>
    <row r="483" customFormat="false" ht="14.65" hidden="false" customHeight="false" outlineLevel="0" collapsed="false">
      <c r="A483" s="96" t="str">
        <f aca="false">A50</f>
        <v>   Inc. / (Dec.) in Long-Term Debt  (External)</v>
      </c>
      <c r="B483" s="96"/>
      <c r="C483" s="96"/>
      <c r="D483" s="96"/>
      <c r="E483" s="96"/>
      <c r="F483" s="96"/>
      <c r="G483" s="122" t="n">
        <f aca="false">AN50</f>
        <v>0</v>
      </c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  <c r="AT483" s="96"/>
      <c r="AU483" s="96"/>
    </row>
    <row r="484" customFormat="false" ht="14.65" hidden="false" customHeight="false" outlineLevel="0" collapsed="false">
      <c r="A484" s="96" t="str">
        <f aca="false">A51</f>
        <v>   Inc. / (Dec.) in Sale of Receivables</v>
      </c>
      <c r="B484" s="96"/>
      <c r="C484" s="96"/>
      <c r="D484" s="96"/>
      <c r="E484" s="96"/>
      <c r="F484" s="96"/>
      <c r="G484" s="135" t="n">
        <f aca="false">AN51</f>
        <v>0</v>
      </c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  <c r="AT484" s="96"/>
      <c r="AU484" s="96"/>
    </row>
    <row r="485" customFormat="false" ht="14.65" hidden="false" customHeight="false" outlineLevel="0" collapsed="false">
      <c r="A485" s="96" t="str">
        <f aca="false">A53</f>
        <v>      Total Items Affecting Intercompany (Corp.) Balance</v>
      </c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135" t="n">
        <f aca="false">SUM(G481:G484)</f>
        <v>0</v>
      </c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</row>
    <row r="486" customFormat="false" ht="6" hidden="false" customHeight="true" outlineLevel="0" collapsed="false">
      <c r="A486" s="96"/>
      <c r="B486" s="194"/>
      <c r="C486" s="194"/>
      <c r="D486" s="96"/>
      <c r="E486" s="194"/>
      <c r="F486" s="96"/>
      <c r="G486" s="122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  <c r="AK486" s="96"/>
      <c r="AL486" s="96"/>
      <c r="AM486" s="96"/>
      <c r="AN486" s="96"/>
      <c r="AO486" s="96"/>
      <c r="AP486" s="96"/>
      <c r="AQ486" s="96"/>
      <c r="AR486" s="96"/>
      <c r="AS486" s="96"/>
      <c r="AT486" s="96"/>
      <c r="AU486" s="96"/>
    </row>
    <row r="487" customFormat="false" ht="14.65" hidden="false" customHeight="false" outlineLevel="0" collapsed="false">
      <c r="A487" s="185" t="s">
        <v>476</v>
      </c>
      <c r="B487" s="96"/>
      <c r="C487" s="194"/>
      <c r="D487" s="122" t="n">
        <f aca="false">P55</f>
        <v>-117572</v>
      </c>
      <c r="E487" s="194"/>
      <c r="F487" s="96"/>
      <c r="G487" s="122"/>
      <c r="H487" s="96"/>
      <c r="I487" s="96"/>
      <c r="J487" s="96"/>
      <c r="K487" s="96"/>
      <c r="L487" s="96"/>
      <c r="M487" s="195" t="e">
        <f aca="false">SUM(M425:M486)</f>
        <v>#REF!</v>
      </c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  <c r="AK487" s="96"/>
      <c r="AL487" s="96"/>
      <c r="AM487" s="96"/>
      <c r="AN487" s="96"/>
      <c r="AO487" s="96"/>
      <c r="AP487" s="96"/>
      <c r="AQ487" s="96"/>
      <c r="AR487" s="96"/>
      <c r="AS487" s="96"/>
      <c r="AT487" s="96"/>
      <c r="AU487" s="96"/>
    </row>
    <row r="488" customFormat="false" ht="8.1" hidden="false" customHeight="true" outlineLevel="0" collapsed="false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  <c r="AT488" s="96"/>
      <c r="AU488" s="96"/>
    </row>
    <row r="491" customFormat="false" ht="14.65" hidden="false" customHeight="false" outlineLevel="0" collapsed="false">
      <c r="B491" s="199" t="s">
        <v>597</v>
      </c>
      <c r="C491" s="199" t="s">
        <v>598</v>
      </c>
    </row>
    <row r="492" customFormat="false" ht="14.65" hidden="false" customHeight="false" outlineLevel="0" collapsed="false">
      <c r="C492" s="199" t="s">
        <v>599</v>
      </c>
    </row>
  </sheetData>
  <mergeCells count="50">
    <mergeCell ref="I1:L1"/>
    <mergeCell ref="AD1:AG1"/>
    <mergeCell ref="I2:L2"/>
    <mergeCell ref="AD2:AG2"/>
    <mergeCell ref="I3:L3"/>
    <mergeCell ref="AD3:AG3"/>
    <mergeCell ref="I4:L4"/>
    <mergeCell ref="AD4:AG4"/>
    <mergeCell ref="AJ6:AK6"/>
    <mergeCell ref="AM6:AN6"/>
    <mergeCell ref="AP6:AQ6"/>
    <mergeCell ref="I62:L62"/>
    <mergeCell ref="AD62:AG62"/>
    <mergeCell ref="I63:L63"/>
    <mergeCell ref="AD63:AG63"/>
    <mergeCell ref="I64:L64"/>
    <mergeCell ref="AD64:AG64"/>
    <mergeCell ref="I65:L65"/>
    <mergeCell ref="AD65:AG65"/>
    <mergeCell ref="AJ67:AK67"/>
    <mergeCell ref="AM67:AN67"/>
    <mergeCell ref="AP67:AQ67"/>
    <mergeCell ref="I118:L118"/>
    <mergeCell ref="AD118:AG118"/>
    <mergeCell ref="I119:L119"/>
    <mergeCell ref="AD119:AG119"/>
    <mergeCell ref="I120:L120"/>
    <mergeCell ref="AD120:AG120"/>
    <mergeCell ref="I121:L121"/>
    <mergeCell ref="AD121:AG121"/>
    <mergeCell ref="AJ123:AK123"/>
    <mergeCell ref="AM123:AN123"/>
    <mergeCell ref="AP123:AQ123"/>
    <mergeCell ref="I183:U183"/>
    <mergeCell ref="AD183:AG183"/>
    <mergeCell ref="I184:U184"/>
    <mergeCell ref="AC184:AH184"/>
    <mergeCell ref="I185:U185"/>
    <mergeCell ref="AD185:AG185"/>
    <mergeCell ref="I186:U186"/>
    <mergeCell ref="AD186:AG186"/>
    <mergeCell ref="AJ188:AK188"/>
    <mergeCell ref="AM188:AN188"/>
    <mergeCell ref="AP188:AQ188"/>
    <mergeCell ref="I244:L244"/>
    <mergeCell ref="I245:L245"/>
    <mergeCell ref="I246:L246"/>
    <mergeCell ref="I247:L247"/>
    <mergeCell ref="I349:K349"/>
    <mergeCell ref="I422:K422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0</xdr:col>
                    <xdr:colOff>1560600</xdr:colOff>
                    <xdr:row>2</xdr:row>
                    <xdr:rowOff>120600</xdr:rowOff>
                  </from>
                  <to>
                    <xdr:col>1</xdr:col>
                    <xdr:colOff>81360</xdr:colOff>
                    <xdr:row>5</xdr:row>
                    <xdr:rowOff>186120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