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#1@15.15" sheetId="2" state="visible" r:id="rId4"/>
    <sheet name="#2@15.10" sheetId="3" state="visible" r:id="rId5"/>
    <sheet name="#3@15.50" sheetId="4" state="visible" r:id="rId6"/>
    <sheet name="#4Daily Deal" sheetId="5" state="visible" r:id="rId7"/>
    <sheet name="#5Feb@10.00" sheetId="6" state="visible" r:id="rId8"/>
    <sheet name="#6Feb@11.5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<sst xmlns="http://schemas.openxmlformats.org/spreadsheetml/2006/main" count="191" uniqueCount="61">
  <si>
    <t xml:space="preserve">TW - OPERATION SUN DEVIL SUMMARY</t>
  </si>
  <si>
    <t xml:space="preserve">PACKAGE #1</t>
  </si>
  <si>
    <t xml:space="preserve">PACKAGE #2</t>
  </si>
  <si>
    <t xml:space="preserve">PACKAGE #3</t>
  </si>
  <si>
    <t xml:space="preserve">PACKAGE #4</t>
  </si>
  <si>
    <t xml:space="preserve">PACKAGE #5</t>
  </si>
  <si>
    <t xml:space="preserve">PACKAGE #6</t>
  </si>
  <si>
    <t xml:space="preserve">TOTALS</t>
  </si>
  <si>
    <t xml:space="preserve">NNG TRANSPORT REV.</t>
  </si>
  <si>
    <t xml:space="preserve">TW TRANSPORT REV.</t>
  </si>
  <si>
    <t xml:space="preserve">SWAP VALUE</t>
  </si>
  <si>
    <t xml:space="preserve">TOTAL ETS VALUE</t>
  </si>
  <si>
    <t xml:space="preserve">TENASKA SHARE</t>
  </si>
  <si>
    <t xml:space="preserve">Tenaska Swap (Apr -Dec)</t>
  </si>
  <si>
    <t xml:space="preserve">NO OF DAYS--&gt;</t>
  </si>
  <si>
    <t xml:space="preserve">VOLUME</t>
  </si>
  <si>
    <t xml:space="preserve">NNG BUYS FIXED</t>
  </si>
  <si>
    <t xml:space="preserve">NNG SELLS NYMEX LAST DAY </t>
  </si>
  <si>
    <t xml:space="preserve">NNG SELLS FIXED</t>
  </si>
  <si>
    <t xml:space="preserve">NNG BUYS NYMEX LAST DAY</t>
  </si>
  <si>
    <t xml:space="preserve">TW - OPERATION SUN DEVIL # Package #1</t>
  </si>
  <si>
    <t xml:space="preserve">TENASKA</t>
  </si>
  <si>
    <t xml:space="preserve">NNG/TW</t>
  </si>
  <si>
    <t xml:space="preserve">PRICE</t>
  </si>
  <si>
    <t xml:space="preserve">TOTAL GAINS</t>
  </si>
  <si>
    <t xml:space="preserve">CASH FLOW</t>
  </si>
  <si>
    <t xml:space="preserve">CASHFLOW</t>
  </si>
  <si>
    <t xml:space="preserve">JANUARY  2001 NYMEX PRICE:</t>
  </si>
  <si>
    <t xml:space="preserve">JANUARY 2001 PERMIAN BASIS PRICE:</t>
  </si>
  <si>
    <t xml:space="preserve">PHYSICAL PREMIUM / DISCOUNT:</t>
  </si>
  <si>
    <t xml:space="preserve">PERMIAN FIXED PRICE:</t>
  </si>
  <si>
    <t xml:space="preserve">FUEL RATE PERMIAN TO TW/HALEY:</t>
  </si>
  <si>
    <t xml:space="preserve">DEMAND:</t>
  </si>
  <si>
    <t xml:space="preserve">COMMODITY:</t>
  </si>
  <si>
    <t xml:space="preserve">TW/NNG HALEY PRICE</t>
  </si>
  <si>
    <t xml:space="preserve">TW FUEL</t>
  </si>
  <si>
    <t xml:space="preserve">TW DEMAND</t>
  </si>
  <si>
    <t xml:space="preserve">TW COMMODITY:</t>
  </si>
  <si>
    <t xml:space="preserve">CALIFORNIA PRICE</t>
  </si>
  <si>
    <t xml:space="preserve">CASH FLOW BEFORE SHARING:</t>
  </si>
  <si>
    <t xml:space="preserve">TENASKA SHARE @ 8%</t>
  </si>
  <si>
    <t xml:space="preserve">NNG/TW SHARE @ 92%</t>
  </si>
  <si>
    <t xml:space="preserve">PAYMENT TRANSFER THRU SWAP</t>
  </si>
  <si>
    <t xml:space="preserve">NET CASH</t>
  </si>
  <si>
    <t xml:space="preserve">PERMIAN POOL VOLUME</t>
  </si>
  <si>
    <t xml:space="preserve">TW / HALEY </t>
  </si>
  <si>
    <t xml:space="preserve">VOLUME AT THE BORDER</t>
  </si>
  <si>
    <t xml:space="preserve">TW - OPERATION SUN DEVIL Package #2</t>
  </si>
  <si>
    <t xml:space="preserve">TW - OPERATION SUN DEVIL Package #3</t>
  </si>
  <si>
    <t xml:space="preserve">TW - OPERATION SUN DEVIL Package #4</t>
  </si>
  <si>
    <t xml:space="preserve">(Daily Price Spread)</t>
  </si>
  <si>
    <t xml:space="preserve">PERMIAN GAS DAILY AVE. PRICE:</t>
  </si>
  <si>
    <t xml:space="preserve">(See Table)</t>
  </si>
  <si>
    <t xml:space="preserve">PRICE TABLE</t>
  </si>
  <si>
    <t xml:space="preserve">PGE</t>
  </si>
  <si>
    <t xml:space="preserve">PERMIAN</t>
  </si>
  <si>
    <t xml:space="preserve">CITY GATE</t>
  </si>
  <si>
    <t xml:space="preserve">TW - OPERATION SUN DEVIL Package #5</t>
  </si>
  <si>
    <t xml:space="preserve">FEBRUARY  2001 NYMEX PRICE:</t>
  </si>
  <si>
    <t xml:space="preserve">FEBRUARY 2001 PERMIAN BASIS PRICE:</t>
  </si>
  <si>
    <t xml:space="preserve">TW - OPERATION SUN DEVIL Package #6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</si>
</sst>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.0000_);_(\$* \(#,##0.0000\);_(\$* \-??_);_(@_)"/>
    <numFmt numFmtId="169" formatCode="[$-409]m/d/yyyy\ h:mm"/>
    <numFmt numFmtId="170" formatCode="0.000"/>
    <numFmt numFmtId="171" formatCode="0%"/>
    <numFmt numFmtId="172" formatCode="0.00%"/>
    <numFmt numFmtId="173" formatCode="0.0000"/>
    <numFmt numFmtId="174" formatCode="0"/>
    <numFmt numFmtId="175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i val="true"/>
      <sz val="14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90000</xdr:colOff>
      <xdr:row>7</xdr:row>
      <xdr:rowOff>0</xdr:rowOff>
    </xdr:from>
    <xdr:to>
      <xdr:col>10</xdr:col>
      <xdr:colOff>10800</xdr:colOff>
      <xdr:row>23</xdr:row>
      <xdr:rowOff>66960</xdr:rowOff>
    </xdr:to>
    <xdr:sp>
      <xdr:nvSpPr>
        <xdr:cNvPr id="0" name="Line 1"/>
        <xdr:cNvSpPr/>
      </xdr:nvSpPr>
      <xdr:spPr>
        <a:xfrm flipH="1">
          <a:off x="5523120" y="1143000"/>
          <a:ext cx="4156200" cy="270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K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8.14"/>
    <col collapsed="false" customWidth="true" hidden="false" outlineLevel="0" max="4" min="4" style="0" width="15.13"/>
    <col collapsed="false" customWidth="true" hidden="false" outlineLevel="0" max="5" min="5" style="0" width="15.7"/>
    <col collapsed="false" customWidth="true" hidden="false" outlineLevel="0" max="6" min="6" style="0" width="13.28"/>
    <col collapsed="false" customWidth="true" hidden="false" outlineLevel="0" max="7" min="7" style="0" width="14.41"/>
    <col collapsed="false" customWidth="true" hidden="false" outlineLevel="0" max="8" min="8" style="0" width="2.7"/>
    <col collapsed="false" customWidth="true" hidden="false" outlineLevel="0" max="10" min="9" style="0" width="14.85"/>
    <col collapsed="false" customWidth="true" hidden="false" outlineLevel="0" max="11" min="11" style="0" width="18.14"/>
  </cols>
  <sheetData>
    <row r="2" customFormat="false" ht="12.75" hidden="false" customHeight="false" outlineLevel="0" collapsed="false">
      <c r="C2" s="1" t="s">
        <v>0</v>
      </c>
    </row>
    <row r="3" customFormat="false" ht="12.75" hidden="false" customHeight="false" outlineLevel="0" collapsed="false"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D4" s="3" t="s">
        <v>1</v>
      </c>
      <c r="E4" s="3" t="s">
        <v>2</v>
      </c>
      <c r="F4" s="2" t="s">
        <v>3</v>
      </c>
      <c r="G4" s="3" t="s">
        <v>4</v>
      </c>
      <c r="H4" s="2"/>
      <c r="I4" s="3" t="s">
        <v>5</v>
      </c>
      <c r="J4" s="3" t="s">
        <v>6</v>
      </c>
      <c r="K4" s="3" t="s">
        <v>7</v>
      </c>
    </row>
    <row r="5" customFormat="false" ht="12.75" hidden="false" customHeight="false" outlineLevel="0" collapsed="false">
      <c r="C5" s="0" t="s">
        <v>8</v>
      </c>
      <c r="D5" s="4" t="n">
        <f aca="false">+'#1@15.15'!L12+'#1@15.15'!L13</f>
        <v>43170.75</v>
      </c>
      <c r="E5" s="4" t="n">
        <f aca="false">+D5</f>
        <v>43170.75</v>
      </c>
      <c r="F5" s="4" t="n">
        <f aca="false">+E5</f>
        <v>43170.75</v>
      </c>
      <c r="G5" s="4" t="n">
        <f aca="false">+F5</f>
        <v>43170.75</v>
      </c>
      <c r="I5" s="4" t="n">
        <f aca="false">+'#5Feb@10.00'!K13+'#5Feb@10.00'!K14</f>
        <v>77985.8709677419</v>
      </c>
      <c r="J5" s="4" t="n">
        <f aca="false">+'#6Feb@11.55'!K13+'#6Feb@11.55'!K14</f>
        <v>77985.8709677419</v>
      </c>
      <c r="K5" s="4" t="n">
        <f aca="false">SUM(D5:J5)</f>
        <v>328654.741935484</v>
      </c>
    </row>
    <row r="6" customFormat="false" ht="12.75" hidden="false" customHeight="false" outlineLevel="0" collapsed="false">
      <c r="C6" s="0" t="s">
        <v>9</v>
      </c>
      <c r="D6" s="4" t="n">
        <f aca="false">+'#1@15.15'!L17+'#1@15.15'!L18</f>
        <v>59473.5</v>
      </c>
      <c r="E6" s="4" t="n">
        <f aca="false">+D6</f>
        <v>59473.5</v>
      </c>
      <c r="F6" s="4" t="n">
        <f aca="false">+E6</f>
        <v>59473.5</v>
      </c>
      <c r="G6" s="4" t="n">
        <f aca="false">+F6</f>
        <v>59473.5</v>
      </c>
      <c r="I6" s="4" t="n">
        <f aca="false">+'#5Feb@10.00'!K18+'#5Feb@10.00'!K19</f>
        <v>107436</v>
      </c>
      <c r="J6" s="4" t="n">
        <f aca="false">+'#6Feb@11.55'!K18+'#6Feb@11.55'!K19</f>
        <v>107436</v>
      </c>
      <c r="K6" s="4" t="n">
        <f aca="false">SUM(D6:J6)</f>
        <v>452766</v>
      </c>
    </row>
    <row r="7" customFormat="false" ht="13.5" hidden="false" customHeight="false" outlineLevel="0" collapsed="false">
      <c r="C7" s="0" t="s">
        <v>10</v>
      </c>
      <c r="D7" s="5" t="n">
        <f aca="false">+'#1@15.15'!L30</f>
        <v>565952.3916</v>
      </c>
      <c r="E7" s="5" t="n">
        <f aca="false">+'#2@15.10'!K31</f>
        <v>509241.9154</v>
      </c>
      <c r="F7" s="5" t="n">
        <f aca="false">+'#3@15.50'!K31</f>
        <v>605868.5868</v>
      </c>
      <c r="G7" s="5" t="n">
        <f aca="false">+'#4Daily Deal'!K29</f>
        <v>181286.7836</v>
      </c>
      <c r="I7" s="5" t="n">
        <f aca="false">+'#5Feb@10.00'!K31</f>
        <v>665982.399112259</v>
      </c>
      <c r="J7" s="5" t="n">
        <f aca="false">+'#6Feb@11.55'!K31</f>
        <v>785887.780232258</v>
      </c>
      <c r="K7" s="5" t="n">
        <f aca="false">SUM(D7:J7)</f>
        <v>3314219.85674452</v>
      </c>
    </row>
    <row r="8" customFormat="false" ht="13.5" hidden="false" customHeight="false" outlineLevel="0" collapsed="false">
      <c r="C8" s="0" t="s">
        <v>11</v>
      </c>
      <c r="D8" s="4" t="n">
        <f aca="false">SUM(D5:D7)</f>
        <v>668596.6416</v>
      </c>
      <c r="E8" s="4" t="n">
        <f aca="false">SUM(E5:E7)</f>
        <v>611886.1654</v>
      </c>
      <c r="F8" s="4" t="n">
        <f aca="false">SUM(F5:F7)</f>
        <v>708512.8368</v>
      </c>
      <c r="G8" s="4" t="n">
        <f aca="false">SUM(G5:G7)</f>
        <v>283931.0336</v>
      </c>
      <c r="I8" s="4" t="n">
        <f aca="false">+I5+I6+I7</f>
        <v>851404.27008</v>
      </c>
      <c r="J8" s="4" t="n">
        <f aca="false">+J5+J6+J7</f>
        <v>971309.6512</v>
      </c>
      <c r="K8" s="6" t="n">
        <f aca="false">SUM(K5:K7)</f>
        <v>4095640.59868</v>
      </c>
    </row>
    <row r="10" customFormat="false" ht="13.5" hidden="false" customHeight="false" outlineLevel="0" collapsed="false"/>
    <row r="11" customFormat="false" ht="13.5" hidden="false" customHeight="false" outlineLevel="0" collapsed="false">
      <c r="C11" s="0" t="s">
        <v>12</v>
      </c>
      <c r="D11" s="4" t="n">
        <f aca="false">+'#1@15.15'!I26</f>
        <v>58138.8384</v>
      </c>
      <c r="E11" s="4" t="n">
        <f aca="false">+'#2@15.10'!H27</f>
        <v>53155.1296</v>
      </c>
      <c r="F11" s="4" t="n">
        <f aca="false">+'#3@15.50'!H27</f>
        <v>61553.2032</v>
      </c>
      <c r="G11" s="4" t="n">
        <f aca="false">+'#4Daily Deal'!H25</f>
        <v>24633.0464</v>
      </c>
      <c r="I11" s="4" t="n">
        <f aca="false">+'#6Feb@11.55'!H27</f>
        <v>84461.7088</v>
      </c>
      <c r="J11" s="4" t="n">
        <f aca="false">+'#6Feb@11.55'!H27</f>
        <v>84461.7088</v>
      </c>
      <c r="K11" s="6" t="n">
        <f aca="false">SUM(D11:J11)</f>
        <v>366403.6352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7" t="s">
        <v>13</v>
      </c>
      <c r="D14" s="8" t="s">
        <v>14</v>
      </c>
      <c r="E14" s="9" t="n">
        <f aca="false">214+30+31</f>
        <v>275</v>
      </c>
    </row>
    <row r="15" customFormat="false" ht="12.75" hidden="false" customHeight="false" outlineLevel="0" collapsed="false">
      <c r="C15" s="10"/>
      <c r="D15" s="11"/>
      <c r="E15" s="12"/>
    </row>
    <row r="16" customFormat="false" ht="12.75" hidden="false" customHeight="false" outlineLevel="0" collapsed="false">
      <c r="C16" s="10" t="s">
        <v>15</v>
      </c>
      <c r="D16" s="11"/>
      <c r="E16" s="13" t="n">
        <v>20000</v>
      </c>
    </row>
    <row r="17" customFormat="false" ht="12.75" hidden="false" customHeight="false" outlineLevel="0" collapsed="false">
      <c r="C17" s="10"/>
      <c r="D17" s="11"/>
      <c r="E17" s="12"/>
    </row>
    <row r="18" customFormat="false" ht="12.75" hidden="false" customHeight="false" outlineLevel="0" collapsed="false">
      <c r="C18" s="10"/>
      <c r="D18" s="11"/>
      <c r="E18" s="12"/>
    </row>
    <row r="19" customFormat="false" ht="12.75" hidden="false" customHeight="false" outlineLevel="0" collapsed="false">
      <c r="C19" s="10" t="s">
        <v>16</v>
      </c>
      <c r="D19" s="14" t="n">
        <v>-5</v>
      </c>
      <c r="E19" s="15" t="n">
        <f aca="false">+D19*E$16*E$14</f>
        <v>-27500000</v>
      </c>
    </row>
    <row r="20" customFormat="false" ht="12.75" hidden="false" customHeight="false" outlineLevel="0" collapsed="false">
      <c r="C20" s="10" t="s">
        <v>17</v>
      </c>
      <c r="D20" s="16" t="n">
        <v>6</v>
      </c>
      <c r="E20" s="15" t="n">
        <f aca="false">+D20*E$16*E$14</f>
        <v>33000000</v>
      </c>
    </row>
    <row r="21" customFormat="false" ht="12.75" hidden="false" customHeight="false" outlineLevel="0" collapsed="false">
      <c r="C21" s="10"/>
      <c r="D21" s="16"/>
      <c r="E21" s="15"/>
    </row>
    <row r="22" customFormat="false" ht="12.75" hidden="false" customHeight="false" outlineLevel="0" collapsed="false">
      <c r="C22" s="10" t="s">
        <v>18</v>
      </c>
      <c r="D22" s="17" t="n">
        <v>5.6026</v>
      </c>
      <c r="E22" s="15" t="n">
        <f aca="false">+D22*E$16*E$14</f>
        <v>30814300</v>
      </c>
    </row>
    <row r="23" customFormat="false" ht="13.5" hidden="false" customHeight="false" outlineLevel="0" collapsed="false">
      <c r="C23" s="10" t="s">
        <v>19</v>
      </c>
      <c r="D23" s="16" t="n">
        <f aca="false">-D20</f>
        <v>-6</v>
      </c>
      <c r="E23" s="18" t="n">
        <f aca="false">+D23*E$16*E$14</f>
        <v>-33000000</v>
      </c>
    </row>
    <row r="24" customFormat="false" ht="13.5" hidden="false" customHeight="false" outlineLevel="0" collapsed="false">
      <c r="C24" s="19"/>
      <c r="D24" s="20"/>
      <c r="E24" s="21" t="n">
        <f aca="false">SUM(E19:E23)</f>
        <v>3314300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2:M39"/>
  <sheetViews>
    <sheetView showFormulas="false" showGridLines="true" showRowColHeaders="true" showZeros="true" rightToLeft="false" tabSelected="false" showOutlineSymbols="true" defaultGridColor="true" view="normal" topLeftCell="B9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6.42"/>
    <col collapsed="false" customWidth="true" hidden="false" outlineLevel="0" max="7" min="7" style="0" width="8.99"/>
    <col collapsed="false" customWidth="true" hidden="false" outlineLevel="0" max="8" min="8" style="0" width="9.41"/>
    <col collapsed="false" customWidth="true" hidden="false" outlineLevel="0" max="9" min="9" style="0" width="17.42"/>
    <col collapsed="false" customWidth="true" hidden="false" outlineLevel="0" max="10" min="10" style="0" width="16.56"/>
    <col collapsed="false" customWidth="true" hidden="false" outlineLevel="0" max="11" min="11" style="0" width="2.99"/>
    <col collapsed="false" customWidth="true" hidden="false" outlineLevel="0" max="12" min="12" style="0" width="16.84"/>
    <col collapsed="false" customWidth="true" hidden="false" outlineLevel="0" max="13" min="13" style="0" width="14.99"/>
  </cols>
  <sheetData>
    <row r="2" customFormat="false" ht="18.75" hidden="false" customHeight="false" outlineLevel="0" collapsed="false">
      <c r="D2" s="22" t="s">
        <v>20</v>
      </c>
      <c r="J2" s="23" t="n">
        <f aca="true">NOW()</f>
        <v>45926.9720067556</v>
      </c>
      <c r="K2" s="23"/>
    </row>
    <row r="4" customFormat="false" ht="12.75" hidden="false" customHeight="false" outlineLevel="0" collapsed="false">
      <c r="J4" s="24" t="s">
        <v>21</v>
      </c>
      <c r="K4" s="24"/>
      <c r="L4" s="24" t="s">
        <v>22</v>
      </c>
    </row>
    <row r="5" customFormat="false" ht="13.5" hidden="false" customHeight="false" outlineLevel="0" collapsed="false">
      <c r="G5" s="25" t="s">
        <v>15</v>
      </c>
      <c r="H5" s="25" t="s">
        <v>23</v>
      </c>
      <c r="I5" s="25" t="s">
        <v>24</v>
      </c>
      <c r="J5" s="25" t="s">
        <v>25</v>
      </c>
      <c r="K5" s="25"/>
      <c r="L5" s="25" t="s">
        <v>26</v>
      </c>
    </row>
    <row r="6" customFormat="false" ht="12.75" hidden="false" customHeight="false" outlineLevel="0" collapsed="false">
      <c r="D6" s="0" t="s">
        <v>27</v>
      </c>
      <c r="H6" s="26" t="n">
        <v>9.52</v>
      </c>
    </row>
    <row r="7" customFormat="false" ht="12.75" hidden="false" customHeight="false" outlineLevel="0" collapsed="false">
      <c r="D7" s="0" t="s">
        <v>28</v>
      </c>
      <c r="H7" s="27" t="n">
        <v>0.24</v>
      </c>
    </row>
    <row r="8" customFormat="false" ht="13.5" hidden="false" customHeight="false" outlineLevel="0" collapsed="false">
      <c r="D8" s="0" t="s">
        <v>29</v>
      </c>
      <c r="H8" s="28" t="n">
        <v>0.05</v>
      </c>
    </row>
    <row r="9" customFormat="false" ht="12.75" hidden="false" customHeight="false" outlineLevel="0" collapsed="false">
      <c r="D9" s="0" t="s">
        <v>30</v>
      </c>
      <c r="G9" s="29" t="n">
        <f aca="false">+H36</f>
        <v>5332</v>
      </c>
      <c r="H9" s="27" t="n">
        <f aca="false">+H6+H7+H8</f>
        <v>9.81</v>
      </c>
      <c r="I9" s="4" t="n">
        <f aca="false">+J9</f>
        <v>-1621514.52</v>
      </c>
      <c r="J9" s="16" t="n">
        <f aca="false">-H9*H36*31</f>
        <v>-1621514.52</v>
      </c>
      <c r="K9" s="16"/>
    </row>
    <row r="10" customFormat="false" ht="12.75" hidden="false" customHeight="false" outlineLevel="0" collapsed="false">
      <c r="H10" s="27"/>
      <c r="J10" s="16"/>
      <c r="K10" s="16"/>
      <c r="M10" s="0" t="n">
        <f aca="false">15.15-9.85</f>
        <v>5.3</v>
      </c>
    </row>
    <row r="11" customFormat="false" ht="12.75" hidden="false" customHeight="false" outlineLevel="0" collapsed="false">
      <c r="D11" s="0" t="s">
        <v>31</v>
      </c>
      <c r="G11" s="30" t="n">
        <v>0.0129</v>
      </c>
      <c r="H11" s="31" t="n">
        <f aca="false">+G11*H9</f>
        <v>0.126549</v>
      </c>
      <c r="J11" s="16"/>
      <c r="K11" s="16"/>
    </row>
    <row r="12" customFormat="false" ht="12.75" hidden="false" customHeight="false" outlineLevel="0" collapsed="false">
      <c r="D12" s="0" t="s">
        <v>32</v>
      </c>
      <c r="H12" s="31" t="n">
        <f aca="false">7.913/31</f>
        <v>0.255258064516129</v>
      </c>
      <c r="J12" s="16" t="n">
        <f aca="false">-H12*H37*31</f>
        <v>-41543.25</v>
      </c>
      <c r="K12" s="16"/>
      <c r="L12" s="4" t="n">
        <f aca="false">-J12</f>
        <v>41543.25</v>
      </c>
    </row>
    <row r="13" customFormat="false" ht="12.75" hidden="false" customHeight="false" outlineLevel="0" collapsed="false">
      <c r="D13" s="0" t="s">
        <v>33</v>
      </c>
      <c r="H13" s="32" t="n">
        <v>0.01</v>
      </c>
      <c r="J13" s="16" t="n">
        <f aca="false">-H37*H13*31</f>
        <v>-1627.5</v>
      </c>
      <c r="K13" s="16"/>
      <c r="L13" s="4" t="n">
        <f aca="false">-J13</f>
        <v>1627.5</v>
      </c>
    </row>
    <row r="14" customFormat="false" ht="12.75" hidden="false" customHeight="false" outlineLevel="0" collapsed="false">
      <c r="H14" s="27"/>
      <c r="J14" s="16"/>
      <c r="K14" s="16"/>
    </row>
    <row r="15" customFormat="false" ht="12.75" hidden="false" customHeight="false" outlineLevel="0" collapsed="false">
      <c r="D15" s="0" t="s">
        <v>34</v>
      </c>
      <c r="H15" s="27" t="n">
        <f aca="false">+H9+H11+H12+H13</f>
        <v>10.2018070645161</v>
      </c>
      <c r="J15" s="16"/>
      <c r="K15" s="16"/>
    </row>
    <row r="16" customFormat="false" ht="12.75" hidden="false" customHeight="false" outlineLevel="0" collapsed="false">
      <c r="D16" s="0" t="s">
        <v>35</v>
      </c>
      <c r="H16" s="27" t="n">
        <f aca="false">+H15/0.95</f>
        <v>10.738744278438</v>
      </c>
      <c r="J16" s="16"/>
      <c r="K16" s="16"/>
    </row>
    <row r="17" customFormat="false" ht="12.75" hidden="false" customHeight="false" outlineLevel="0" collapsed="false">
      <c r="D17" s="0" t="s">
        <v>36</v>
      </c>
      <c r="H17" s="33" t="n">
        <v>0.3519</v>
      </c>
      <c r="J17" s="16" t="n">
        <f aca="false">-H17*H38*31</f>
        <v>-54544.5</v>
      </c>
      <c r="K17" s="16"/>
      <c r="L17" s="4" t="n">
        <f aca="false">-J17</f>
        <v>54544.5</v>
      </c>
    </row>
    <row r="18" customFormat="false" ht="12.75" hidden="false" customHeight="false" outlineLevel="0" collapsed="false">
      <c r="D18" s="0" t="s">
        <v>37</v>
      </c>
      <c r="H18" s="33" t="n">
        <v>0.0318</v>
      </c>
      <c r="J18" s="16" t="n">
        <f aca="false">-H18*H38*31</f>
        <v>-4929</v>
      </c>
      <c r="K18" s="16"/>
      <c r="L18" s="4" t="n">
        <f aca="false">-J18</f>
        <v>4929</v>
      </c>
    </row>
    <row r="19" customFormat="false" ht="12.75" hidden="false" customHeight="false" outlineLevel="0" collapsed="false">
      <c r="H19" s="27"/>
    </row>
    <row r="20" customFormat="false" ht="12.75" hidden="false" customHeight="false" outlineLevel="0" collapsed="false">
      <c r="H20" s="27"/>
    </row>
    <row r="21" customFormat="false" ht="12.75" hidden="false" customHeight="false" outlineLevel="0" collapsed="false">
      <c r="H21" s="27"/>
    </row>
    <row r="22" customFormat="false" ht="13.5" hidden="false" customHeight="false" outlineLevel="0" collapsed="false">
      <c r="D22" s="0" t="s">
        <v>38</v>
      </c>
      <c r="G22" s="29" t="n">
        <v>5000</v>
      </c>
      <c r="H22" s="26" t="n">
        <v>15.15</v>
      </c>
      <c r="I22" s="5" t="n">
        <f aca="false">+J22</f>
        <v>2348250</v>
      </c>
      <c r="J22" s="34" t="n">
        <f aca="false">+H22*H38*31</f>
        <v>2348250</v>
      </c>
      <c r="K22" s="16"/>
      <c r="L22" s="20"/>
    </row>
    <row r="24" customFormat="false" ht="12.75" hidden="false" customHeight="false" outlineLevel="0" collapsed="false">
      <c r="D24" s="11" t="s">
        <v>39</v>
      </c>
      <c r="E24" s="11"/>
      <c r="F24" s="11"/>
      <c r="G24" s="11"/>
      <c r="H24" s="35"/>
      <c r="I24" s="4" t="n">
        <f aca="false">+I9+I22</f>
        <v>726735.48</v>
      </c>
      <c r="J24" s="36" t="n">
        <f aca="false">SUM(J9:J22)</f>
        <v>624091.23</v>
      </c>
      <c r="K24" s="36"/>
      <c r="L24" s="36" t="n">
        <f aca="false">SUM(L12:L22)</f>
        <v>102644.25</v>
      </c>
    </row>
    <row r="25" customFormat="false" ht="13.5" hidden="false" customHeight="false" outlineLevel="0" collapsed="false"/>
    <row r="26" customFormat="false" ht="13.5" hidden="false" customHeight="false" outlineLevel="0" collapsed="false">
      <c r="D26" s="0" t="s">
        <v>40</v>
      </c>
      <c r="I26" s="37" t="n">
        <f aca="false">+I24*0.08</f>
        <v>58138.8384</v>
      </c>
      <c r="J26" s="4"/>
      <c r="K26" s="4"/>
    </row>
    <row r="27" customFormat="false" ht="12.75" hidden="false" customHeight="false" outlineLevel="0" collapsed="false">
      <c r="J27" s="11"/>
    </row>
    <row r="28" customFormat="false" ht="12.75" hidden="false" customHeight="false" outlineLevel="0" collapsed="false">
      <c r="D28" s="0" t="s">
        <v>41</v>
      </c>
      <c r="I28" s="16" t="n">
        <f aca="false">+I24*0.92</f>
        <v>668596.6416</v>
      </c>
      <c r="J28" s="4"/>
      <c r="K28" s="4"/>
    </row>
    <row r="30" customFormat="false" ht="12.75" hidden="false" customHeight="false" outlineLevel="0" collapsed="false">
      <c r="D30" s="0" t="s">
        <v>42</v>
      </c>
      <c r="J30" s="4" t="n">
        <f aca="false">+J32-J24</f>
        <v>-565952.3916</v>
      </c>
      <c r="K30" s="16"/>
      <c r="L30" s="4" t="n">
        <f aca="false">-J30</f>
        <v>565952.3916</v>
      </c>
    </row>
    <row r="31" customFormat="false" ht="13.5" hidden="false" customHeight="false" outlineLevel="0" collapsed="false">
      <c r="I31" s="11"/>
      <c r="J31" s="16"/>
      <c r="K31" s="16"/>
      <c r="L31" s="11"/>
    </row>
    <row r="32" customFormat="false" ht="16.5" hidden="false" customHeight="false" outlineLevel="0" collapsed="false">
      <c r="D32" s="38" t="s">
        <v>43</v>
      </c>
      <c r="E32" s="39"/>
      <c r="F32" s="39"/>
      <c r="G32" s="39"/>
      <c r="H32" s="39"/>
      <c r="I32" s="40" t="n">
        <f aca="false">+I24</f>
        <v>726735.48</v>
      </c>
      <c r="J32" s="40" t="n">
        <f aca="false">+I26</f>
        <v>58138.8384</v>
      </c>
      <c r="K32" s="41"/>
      <c r="L32" s="42" t="n">
        <f aca="false">+I28</f>
        <v>668596.6416</v>
      </c>
    </row>
    <row r="33" customFormat="false" ht="12.75" hidden="false" customHeight="false" outlineLevel="0" collapsed="false">
      <c r="J33" s="16"/>
      <c r="K33" s="16"/>
      <c r="L33" s="4"/>
    </row>
    <row r="34" customFormat="false" ht="12.75" hidden="false" customHeight="false" outlineLevel="0" collapsed="false">
      <c r="J34" s="16"/>
      <c r="K34" s="16"/>
      <c r="L34" s="4"/>
    </row>
    <row r="36" customFormat="false" ht="12.75" hidden="false" customHeight="false" outlineLevel="0" collapsed="false">
      <c r="D36" s="0" t="s">
        <v>44</v>
      </c>
      <c r="G36" s="0" t="n">
        <f aca="false">+(1-0.0129)</f>
        <v>0.9871</v>
      </c>
      <c r="H36" s="43" t="n">
        <v>5332</v>
      </c>
      <c r="L36" s="4"/>
    </row>
    <row r="37" customFormat="false" ht="12.75" hidden="false" customHeight="false" outlineLevel="0" collapsed="false">
      <c r="D37" s="0" t="s">
        <v>45</v>
      </c>
      <c r="H37" s="43" t="n">
        <f aca="false">+H38*1.05</f>
        <v>5250</v>
      </c>
      <c r="L37" s="4"/>
    </row>
    <row r="38" customFormat="false" ht="12.75" hidden="false" customHeight="false" outlineLevel="0" collapsed="false">
      <c r="D38" s="0" t="s">
        <v>46</v>
      </c>
      <c r="H38" s="43" t="n">
        <v>5000</v>
      </c>
      <c r="K38" s="11"/>
      <c r="L38" s="36"/>
    </row>
    <row r="39" customFormat="false" ht="12.75" hidden="false" customHeight="false" outlineLevel="0" collapsed="false">
      <c r="K39" s="11"/>
      <c r="L3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M4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G43" activeCellId="0" sqref="G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9.14"/>
    <col collapsed="false" customWidth="true" hidden="false" outlineLevel="0" max="9" min="9" style="0" width="16.84"/>
    <col collapsed="false" customWidth="true" hidden="false" outlineLevel="0" max="10" min="10" style="0" width="5.28"/>
    <col collapsed="false" customWidth="true" hidden="false" outlineLevel="0" max="11" min="11" style="0" width="15.99"/>
  </cols>
  <sheetData>
    <row r="3" customFormat="false" ht="18.75" hidden="false" customHeight="false" outlineLevel="0" collapsed="false">
      <c r="C3" s="22" t="s">
        <v>47</v>
      </c>
      <c r="I3" s="23" t="n">
        <f aca="true">NOW()</f>
        <v>45926.9720067767</v>
      </c>
      <c r="J3" s="23"/>
    </row>
    <row r="5" customFormat="false" ht="12.75" hidden="false" customHeight="false" outlineLevel="0" collapsed="false">
      <c r="I5" s="24" t="s">
        <v>21</v>
      </c>
      <c r="J5" s="24"/>
      <c r="K5" s="24" t="s">
        <v>22</v>
      </c>
    </row>
    <row r="6" customFormat="false" ht="13.5" hidden="false" customHeight="false" outlineLevel="0" collapsed="false">
      <c r="F6" s="25" t="s">
        <v>15</v>
      </c>
      <c r="G6" s="25" t="s">
        <v>23</v>
      </c>
      <c r="H6" s="25" t="s">
        <v>24</v>
      </c>
      <c r="I6" s="25" t="s">
        <v>25</v>
      </c>
      <c r="J6" s="25"/>
      <c r="K6" s="25" t="s">
        <v>26</v>
      </c>
    </row>
    <row r="7" customFormat="false" ht="12.75" hidden="false" customHeight="false" outlineLevel="0" collapsed="false">
      <c r="C7" s="0" t="s">
        <v>27</v>
      </c>
      <c r="G7" s="26" t="n">
        <v>9.82</v>
      </c>
    </row>
    <row r="8" customFormat="false" ht="12.75" hidden="false" customHeight="false" outlineLevel="0" collapsed="false">
      <c r="C8" s="0" t="s">
        <v>28</v>
      </c>
      <c r="G8" s="26" t="n">
        <v>0.27</v>
      </c>
    </row>
    <row r="9" customFormat="false" ht="13.5" hidden="false" customHeight="false" outlineLevel="0" collapsed="false">
      <c r="C9" s="0" t="s">
        <v>29</v>
      </c>
      <c r="G9" s="28" t="n">
        <v>0.05</v>
      </c>
    </row>
    <row r="10" customFormat="false" ht="12.75" hidden="false" customHeight="false" outlineLevel="0" collapsed="false">
      <c r="C10" s="0" t="s">
        <v>30</v>
      </c>
      <c r="F10" s="29" t="n">
        <f aca="false">+G42</f>
        <v>5332</v>
      </c>
      <c r="G10" s="27" t="n">
        <f aca="false">+G7+G8+G9</f>
        <v>10.14</v>
      </c>
      <c r="H10" s="4" t="n">
        <f aca="false">+I10</f>
        <v>-1676060.88</v>
      </c>
      <c r="I10" s="16" t="n">
        <f aca="false">-G10*G42*31</f>
        <v>-1676060.88</v>
      </c>
      <c r="J10" s="16"/>
    </row>
    <row r="11" customFormat="false" ht="12.75" hidden="false" customHeight="false" outlineLevel="0" collapsed="false">
      <c r="G11" s="27"/>
      <c r="I11" s="16"/>
      <c r="J11" s="16"/>
    </row>
    <row r="12" customFormat="false" ht="12.75" hidden="false" customHeight="false" outlineLevel="0" collapsed="false">
      <c r="C12" s="0" t="s">
        <v>31</v>
      </c>
      <c r="F12" s="30" t="n">
        <v>0.0129</v>
      </c>
      <c r="G12" s="31" t="n">
        <f aca="false">+F12*G10</f>
        <v>0.130806</v>
      </c>
      <c r="I12" s="16"/>
      <c r="J12" s="16"/>
    </row>
    <row r="13" customFormat="false" ht="12.75" hidden="false" customHeight="false" outlineLevel="0" collapsed="false">
      <c r="C13" s="0" t="s">
        <v>32</v>
      </c>
      <c r="G13" s="31" t="n">
        <f aca="false">7.913/31</f>
        <v>0.255258064516129</v>
      </c>
      <c r="I13" s="16" t="n">
        <f aca="false">-G13*G43*31</f>
        <v>-41543.25</v>
      </c>
      <c r="J13" s="16"/>
      <c r="K13" s="4" t="n">
        <f aca="false">-I13</f>
        <v>41543.25</v>
      </c>
    </row>
    <row r="14" customFormat="false" ht="12.75" hidden="false" customHeight="false" outlineLevel="0" collapsed="false">
      <c r="C14" s="0" t="s">
        <v>33</v>
      </c>
      <c r="G14" s="32" t="n">
        <v>0.0063</v>
      </c>
      <c r="I14" s="16" t="n">
        <f aca="false">-G43*G14*31</f>
        <v>-1025.325</v>
      </c>
      <c r="J14" s="16"/>
      <c r="K14" s="4" t="n">
        <f aca="false">-I14</f>
        <v>1025.325</v>
      </c>
    </row>
    <row r="15" customFormat="false" ht="12.75" hidden="false" customHeight="false" outlineLevel="0" collapsed="false">
      <c r="G15" s="27"/>
      <c r="I15" s="16"/>
      <c r="J15" s="16"/>
      <c r="M15" s="44" t="n">
        <f aca="false">15.1-10.15</f>
        <v>4.95</v>
      </c>
    </row>
    <row r="16" customFormat="false" ht="12.75" hidden="false" customHeight="false" outlineLevel="0" collapsed="false">
      <c r="C16" s="0" t="s">
        <v>34</v>
      </c>
      <c r="G16" s="27" t="n">
        <f aca="false">+G10+G12+G13+G14</f>
        <v>10.5323640645161</v>
      </c>
      <c r="I16" s="16"/>
      <c r="J16" s="16"/>
    </row>
    <row r="17" customFormat="false" ht="12.75" hidden="false" customHeight="false" outlineLevel="0" collapsed="false">
      <c r="C17" s="0" t="s">
        <v>35</v>
      </c>
      <c r="G17" s="27" t="n">
        <f aca="false">+G16/0.95</f>
        <v>11.0866990152801</v>
      </c>
      <c r="I17" s="16"/>
      <c r="J17" s="16"/>
    </row>
    <row r="18" customFormat="false" ht="12.75" hidden="false" customHeight="false" outlineLevel="0" collapsed="false">
      <c r="C18" s="0" t="s">
        <v>36</v>
      </c>
      <c r="G18" s="33" t="n">
        <v>0.3519</v>
      </c>
      <c r="I18" s="16" t="n">
        <f aca="false">-G18*G44*31</f>
        <v>-54544.5</v>
      </c>
      <c r="J18" s="16"/>
      <c r="K18" s="4" t="n">
        <f aca="false">-I18</f>
        <v>54544.5</v>
      </c>
    </row>
    <row r="19" customFormat="false" ht="12.75" hidden="false" customHeight="false" outlineLevel="0" collapsed="false">
      <c r="C19" s="0" t="s">
        <v>37</v>
      </c>
      <c r="G19" s="33" t="n">
        <v>0.0318</v>
      </c>
      <c r="I19" s="16" t="n">
        <f aca="false">-G19*G44*31</f>
        <v>-4929</v>
      </c>
      <c r="J19" s="16"/>
      <c r="K19" s="4" t="n">
        <f aca="false">-I19</f>
        <v>4929</v>
      </c>
    </row>
    <row r="20" customFormat="false" ht="12.75" hidden="false" customHeight="false" outlineLevel="0" collapsed="false">
      <c r="G20" s="27"/>
    </row>
    <row r="21" customFormat="false" ht="12.75" hidden="false" customHeight="false" outlineLevel="0" collapsed="false">
      <c r="G21" s="27"/>
    </row>
    <row r="22" customFormat="false" ht="12.75" hidden="false" customHeight="false" outlineLevel="0" collapsed="false">
      <c r="G22" s="27"/>
    </row>
    <row r="23" customFormat="false" ht="13.5" hidden="false" customHeight="false" outlineLevel="0" collapsed="false">
      <c r="C23" s="0" t="s">
        <v>38</v>
      </c>
      <c r="F23" s="29" t="n">
        <v>5000</v>
      </c>
      <c r="G23" s="26" t="n">
        <v>15.1</v>
      </c>
      <c r="H23" s="5" t="n">
        <f aca="false">+I23</f>
        <v>2340500</v>
      </c>
      <c r="I23" s="34" t="n">
        <f aca="false">+G23*G44*31</f>
        <v>2340500</v>
      </c>
      <c r="J23" s="16"/>
      <c r="K23" s="20"/>
    </row>
    <row r="25" customFormat="false" ht="12.75" hidden="false" customHeight="false" outlineLevel="0" collapsed="false">
      <c r="C25" s="11" t="s">
        <v>39</v>
      </c>
      <c r="D25" s="11"/>
      <c r="E25" s="11"/>
      <c r="F25" s="11"/>
      <c r="G25" s="35"/>
      <c r="H25" s="4" t="n">
        <f aca="false">+H10+H23</f>
        <v>664439.12</v>
      </c>
      <c r="I25" s="36" t="n">
        <f aca="false">SUM(I10:I23)</f>
        <v>562397.045</v>
      </c>
      <c r="J25" s="36"/>
      <c r="K25" s="36" t="n">
        <f aca="false">SUM(K13:K23)</f>
        <v>102042.075</v>
      </c>
    </row>
    <row r="26" customFormat="false" ht="13.5" hidden="false" customHeight="false" outlineLevel="0" collapsed="false"/>
    <row r="27" customFormat="false" ht="13.5" hidden="false" customHeight="false" outlineLevel="0" collapsed="false">
      <c r="C27" s="0" t="s">
        <v>40</v>
      </c>
      <c r="H27" s="37" t="n">
        <f aca="false">+H25*0.08</f>
        <v>53155.1296</v>
      </c>
      <c r="I27" s="4"/>
      <c r="J27" s="4"/>
    </row>
    <row r="28" customFormat="false" ht="12.75" hidden="false" customHeight="false" outlineLevel="0" collapsed="false">
      <c r="I28" s="11"/>
    </row>
    <row r="29" customFormat="false" ht="12.75" hidden="false" customHeight="false" outlineLevel="0" collapsed="false">
      <c r="C29" s="0" t="s">
        <v>41</v>
      </c>
      <c r="H29" s="16" t="n">
        <f aca="false">+H25*0.92</f>
        <v>611283.9904</v>
      </c>
      <c r="I29" s="4"/>
      <c r="J29" s="4"/>
    </row>
    <row r="31" customFormat="false" ht="12.75" hidden="false" customHeight="false" outlineLevel="0" collapsed="false">
      <c r="C31" s="0" t="s">
        <v>42</v>
      </c>
      <c r="I31" s="4" t="n">
        <f aca="false">+I33-I25</f>
        <v>-509241.9154</v>
      </c>
      <c r="J31" s="16"/>
      <c r="K31" s="4" t="n">
        <f aca="false">-I31</f>
        <v>509241.9154</v>
      </c>
    </row>
    <row r="32" customFormat="false" ht="13.5" hidden="false" customHeight="false" outlineLevel="0" collapsed="false">
      <c r="H32" s="11"/>
      <c r="I32" s="16"/>
      <c r="J32" s="16"/>
      <c r="K32" s="11"/>
    </row>
    <row r="33" customFormat="false" ht="16.5" hidden="false" customHeight="false" outlineLevel="0" collapsed="false">
      <c r="C33" s="38" t="s">
        <v>43</v>
      </c>
      <c r="D33" s="39"/>
      <c r="E33" s="39"/>
      <c r="F33" s="39"/>
      <c r="G33" s="39"/>
      <c r="H33" s="40" t="n">
        <f aca="false">+H25</f>
        <v>664439.12</v>
      </c>
      <c r="I33" s="40" t="n">
        <f aca="false">+H27</f>
        <v>53155.1296</v>
      </c>
      <c r="J33" s="41"/>
      <c r="K33" s="42" t="n">
        <f aca="false">+H29</f>
        <v>611283.9904</v>
      </c>
    </row>
    <row r="34" customFormat="false" ht="12.75" hidden="false" customHeight="false" outlineLevel="0" collapsed="false">
      <c r="I34" s="16"/>
      <c r="J34" s="16"/>
      <c r="K34" s="4"/>
    </row>
    <row r="35" customFormat="false" ht="12.75" hidden="false" customHeight="false" outlineLevel="0" collapsed="false">
      <c r="I35" s="16"/>
      <c r="J35" s="16"/>
      <c r="K35" s="4"/>
    </row>
    <row r="42" customFormat="false" ht="12.75" hidden="false" customHeight="false" outlineLevel="0" collapsed="false">
      <c r="C42" s="0" t="s">
        <v>44</v>
      </c>
      <c r="F42" s="0" t="n">
        <f aca="false">+(1-0.0129)</f>
        <v>0.9871</v>
      </c>
      <c r="G42" s="43" t="n">
        <v>5332</v>
      </c>
    </row>
    <row r="43" customFormat="false" ht="12.75" hidden="false" customHeight="false" outlineLevel="0" collapsed="false">
      <c r="C43" s="0" t="s">
        <v>45</v>
      </c>
      <c r="G43" s="43" t="n">
        <f aca="false">+G44*1.05</f>
        <v>5250</v>
      </c>
    </row>
    <row r="44" customFormat="false" ht="12.75" hidden="false" customHeight="false" outlineLevel="0" collapsed="false">
      <c r="C44" s="0" t="s">
        <v>46</v>
      </c>
      <c r="G44" s="43" t="n">
        <v>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M4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9.14"/>
    <col collapsed="false" customWidth="true" hidden="false" outlineLevel="0" max="9" min="9" style="0" width="16.84"/>
    <col collapsed="false" customWidth="true" hidden="false" outlineLevel="0" max="10" min="10" style="0" width="5.28"/>
    <col collapsed="false" customWidth="true" hidden="false" outlineLevel="0" max="11" min="11" style="0" width="15.99"/>
  </cols>
  <sheetData>
    <row r="3" customFormat="false" ht="18.75" hidden="false" customHeight="false" outlineLevel="0" collapsed="false">
      <c r="C3" s="22" t="s">
        <v>48</v>
      </c>
      <c r="I3" s="23" t="n">
        <f aca="true">NOW()</f>
        <v>45926.9720067965</v>
      </c>
      <c r="J3" s="23"/>
    </row>
    <row r="5" customFormat="false" ht="12.75" hidden="false" customHeight="false" outlineLevel="0" collapsed="false">
      <c r="I5" s="24" t="s">
        <v>21</v>
      </c>
      <c r="J5" s="24"/>
      <c r="K5" s="24" t="s">
        <v>22</v>
      </c>
    </row>
    <row r="6" customFormat="false" ht="13.5" hidden="false" customHeight="false" outlineLevel="0" collapsed="false">
      <c r="F6" s="25" t="s">
        <v>15</v>
      </c>
      <c r="G6" s="25" t="s">
        <v>23</v>
      </c>
      <c r="H6" s="25" t="s">
        <v>24</v>
      </c>
      <c r="I6" s="25" t="s">
        <v>25</v>
      </c>
      <c r="J6" s="25"/>
      <c r="K6" s="25" t="s">
        <v>26</v>
      </c>
    </row>
    <row r="7" customFormat="false" ht="12.75" hidden="false" customHeight="false" outlineLevel="0" collapsed="false">
      <c r="C7" s="0" t="s">
        <v>27</v>
      </c>
      <c r="G7" s="27" t="n">
        <v>9.57</v>
      </c>
    </row>
    <row r="8" customFormat="false" ht="12.75" hidden="false" customHeight="false" outlineLevel="0" collapsed="false">
      <c r="C8" s="0" t="s">
        <v>28</v>
      </c>
      <c r="G8" s="27" t="n">
        <v>0.26</v>
      </c>
    </row>
    <row r="9" customFormat="false" ht="13.5" hidden="false" customHeight="false" outlineLevel="0" collapsed="false">
      <c r="C9" s="0" t="s">
        <v>29</v>
      </c>
      <c r="G9" s="28" t="n">
        <v>0.05</v>
      </c>
    </row>
    <row r="10" customFormat="false" ht="12.75" hidden="false" customHeight="false" outlineLevel="0" collapsed="false">
      <c r="C10" s="0" t="s">
        <v>30</v>
      </c>
      <c r="F10" s="29" t="n">
        <v>5332</v>
      </c>
      <c r="G10" s="27" t="n">
        <f aca="false">+G7+G8+G9</f>
        <v>9.88</v>
      </c>
      <c r="H10" s="4" t="n">
        <f aca="false">+I10</f>
        <v>-1633084.96</v>
      </c>
      <c r="I10" s="16" t="n">
        <f aca="false">-G10*G42*31</f>
        <v>-1633084.96</v>
      </c>
      <c r="J10" s="16"/>
    </row>
    <row r="11" customFormat="false" ht="12.75" hidden="false" customHeight="false" outlineLevel="0" collapsed="false">
      <c r="G11" s="27"/>
      <c r="I11" s="16"/>
      <c r="J11" s="16"/>
    </row>
    <row r="12" customFormat="false" ht="12.75" hidden="false" customHeight="false" outlineLevel="0" collapsed="false">
      <c r="C12" s="0" t="s">
        <v>31</v>
      </c>
      <c r="F12" s="30" t="n">
        <v>0.0129</v>
      </c>
      <c r="G12" s="31" t="n">
        <f aca="false">+F12*G10</f>
        <v>0.127452</v>
      </c>
      <c r="I12" s="16"/>
      <c r="J12" s="16"/>
    </row>
    <row r="13" customFormat="false" ht="12.75" hidden="false" customHeight="false" outlineLevel="0" collapsed="false">
      <c r="C13" s="0" t="s">
        <v>32</v>
      </c>
      <c r="G13" s="31" t="n">
        <f aca="false">7.913/31</f>
        <v>0.255258064516129</v>
      </c>
      <c r="I13" s="16" t="n">
        <f aca="false">-G13*G43*31</f>
        <v>-41543.25</v>
      </c>
      <c r="J13" s="16"/>
      <c r="K13" s="4" t="n">
        <f aca="false">-I13</f>
        <v>41543.25</v>
      </c>
    </row>
    <row r="14" customFormat="false" ht="12.75" hidden="false" customHeight="false" outlineLevel="0" collapsed="false">
      <c r="C14" s="0" t="s">
        <v>33</v>
      </c>
      <c r="G14" s="32" t="n">
        <v>0.006</v>
      </c>
      <c r="I14" s="16" t="n">
        <f aca="false">-G43*G14*31</f>
        <v>-976.5</v>
      </c>
      <c r="J14" s="16"/>
      <c r="K14" s="4" t="n">
        <f aca="false">-I14</f>
        <v>976.5</v>
      </c>
    </row>
    <row r="15" customFormat="false" ht="12.75" hidden="false" customHeight="false" outlineLevel="0" collapsed="false">
      <c r="G15" s="27"/>
      <c r="I15" s="16"/>
      <c r="J15" s="16"/>
    </row>
    <row r="16" customFormat="false" ht="12.75" hidden="false" customHeight="false" outlineLevel="0" collapsed="false">
      <c r="C16" s="0" t="s">
        <v>34</v>
      </c>
      <c r="G16" s="27" t="n">
        <f aca="false">+G10+G12+G13+G14</f>
        <v>10.2687100645161</v>
      </c>
      <c r="I16" s="16"/>
      <c r="J16" s="16"/>
    </row>
    <row r="17" customFormat="false" ht="12.75" hidden="false" customHeight="false" outlineLevel="0" collapsed="false">
      <c r="C17" s="0" t="s">
        <v>35</v>
      </c>
      <c r="G17" s="27" t="n">
        <f aca="false">+G16/0.95</f>
        <v>10.8091684889643</v>
      </c>
      <c r="I17" s="16"/>
      <c r="J17" s="16"/>
      <c r="M17" s="0" t="n">
        <f aca="false">15.58-10.01</f>
        <v>5.57</v>
      </c>
    </row>
    <row r="18" customFormat="false" ht="12.75" hidden="false" customHeight="false" outlineLevel="0" collapsed="false">
      <c r="C18" s="0" t="s">
        <v>36</v>
      </c>
      <c r="G18" s="33" t="n">
        <v>0.3519</v>
      </c>
      <c r="I18" s="16" t="n">
        <f aca="false">-G18*G44*31</f>
        <v>-54544.5</v>
      </c>
      <c r="J18" s="16"/>
      <c r="K18" s="4" t="n">
        <f aca="false">-I18</f>
        <v>54544.5</v>
      </c>
    </row>
    <row r="19" customFormat="false" ht="12.75" hidden="false" customHeight="false" outlineLevel="0" collapsed="false">
      <c r="C19" s="0" t="s">
        <v>37</v>
      </c>
      <c r="G19" s="33" t="n">
        <v>0.0318</v>
      </c>
      <c r="I19" s="16" t="n">
        <f aca="false">-G19*G44*31</f>
        <v>-4929</v>
      </c>
      <c r="J19" s="16"/>
      <c r="K19" s="4" t="n">
        <f aca="false">-I19</f>
        <v>4929</v>
      </c>
    </row>
    <row r="20" customFormat="false" ht="12.75" hidden="false" customHeight="false" outlineLevel="0" collapsed="false">
      <c r="G20" s="27"/>
    </row>
    <row r="21" customFormat="false" ht="12.75" hidden="false" customHeight="false" outlineLevel="0" collapsed="false">
      <c r="G21" s="27"/>
    </row>
    <row r="22" customFormat="false" ht="12.75" hidden="false" customHeight="false" outlineLevel="0" collapsed="false">
      <c r="G22" s="27"/>
    </row>
    <row r="23" customFormat="false" ht="13.5" hidden="false" customHeight="false" outlineLevel="0" collapsed="false">
      <c r="C23" s="0" t="s">
        <v>38</v>
      </c>
      <c r="F23" s="29" t="n">
        <v>5000</v>
      </c>
      <c r="G23" s="27" t="n">
        <v>15.5</v>
      </c>
      <c r="H23" s="5" t="n">
        <f aca="false">+I23</f>
        <v>2402500</v>
      </c>
      <c r="I23" s="34" t="n">
        <f aca="false">+G23*G44*31</f>
        <v>2402500</v>
      </c>
      <c r="J23" s="16"/>
      <c r="K23" s="20"/>
    </row>
    <row r="25" customFormat="false" ht="12.75" hidden="false" customHeight="false" outlineLevel="0" collapsed="false">
      <c r="C25" s="11" t="s">
        <v>39</v>
      </c>
      <c r="D25" s="11"/>
      <c r="E25" s="11"/>
      <c r="F25" s="11"/>
      <c r="G25" s="35"/>
      <c r="H25" s="4" t="n">
        <f aca="false">+H10+H23</f>
        <v>769415.04</v>
      </c>
      <c r="I25" s="36" t="n">
        <f aca="false">SUM(I10:I23)</f>
        <v>667421.79</v>
      </c>
      <c r="J25" s="36"/>
      <c r="K25" s="36" t="n">
        <f aca="false">SUM(K13:K23)</f>
        <v>101993.25</v>
      </c>
    </row>
    <row r="26" customFormat="false" ht="13.5" hidden="false" customHeight="false" outlineLevel="0" collapsed="false"/>
    <row r="27" customFormat="false" ht="13.5" hidden="false" customHeight="false" outlineLevel="0" collapsed="false">
      <c r="C27" s="0" t="s">
        <v>40</v>
      </c>
      <c r="H27" s="37" t="n">
        <f aca="false">+H25*0.08</f>
        <v>61553.2032</v>
      </c>
      <c r="I27" s="4"/>
      <c r="J27" s="4"/>
    </row>
    <row r="28" customFormat="false" ht="12.75" hidden="false" customHeight="false" outlineLevel="0" collapsed="false">
      <c r="I28" s="11"/>
    </row>
    <row r="29" customFormat="false" ht="12.75" hidden="false" customHeight="false" outlineLevel="0" collapsed="false">
      <c r="C29" s="0" t="s">
        <v>41</v>
      </c>
      <c r="H29" s="16" t="n">
        <f aca="false">+H25*0.92</f>
        <v>707861.8368</v>
      </c>
      <c r="I29" s="4"/>
      <c r="J29" s="4"/>
    </row>
    <row r="31" customFormat="false" ht="12.75" hidden="false" customHeight="false" outlineLevel="0" collapsed="false">
      <c r="C31" s="0" t="s">
        <v>42</v>
      </c>
      <c r="I31" s="4" t="n">
        <f aca="false">+I33-I25</f>
        <v>-605868.5868</v>
      </c>
      <c r="J31" s="16"/>
      <c r="K31" s="4" t="n">
        <f aca="false">-I31</f>
        <v>605868.5868</v>
      </c>
    </row>
    <row r="32" customFormat="false" ht="13.5" hidden="false" customHeight="false" outlineLevel="0" collapsed="false">
      <c r="H32" s="11"/>
      <c r="I32" s="16"/>
      <c r="J32" s="16"/>
      <c r="K32" s="11"/>
    </row>
    <row r="33" customFormat="false" ht="16.5" hidden="false" customHeight="false" outlineLevel="0" collapsed="false">
      <c r="C33" s="38" t="s">
        <v>43</v>
      </c>
      <c r="D33" s="39"/>
      <c r="E33" s="39"/>
      <c r="F33" s="39"/>
      <c r="G33" s="39"/>
      <c r="H33" s="40" t="n">
        <f aca="false">+H25</f>
        <v>769415.04</v>
      </c>
      <c r="I33" s="40" t="n">
        <f aca="false">+H27</f>
        <v>61553.2032</v>
      </c>
      <c r="J33" s="41"/>
      <c r="K33" s="42" t="n">
        <f aca="false">+H29</f>
        <v>707861.8368</v>
      </c>
    </row>
    <row r="34" customFormat="false" ht="12.75" hidden="false" customHeight="false" outlineLevel="0" collapsed="false">
      <c r="I34" s="16"/>
      <c r="J34" s="16"/>
      <c r="K34" s="4"/>
    </row>
    <row r="35" customFormat="false" ht="12.75" hidden="false" customHeight="false" outlineLevel="0" collapsed="false">
      <c r="I35" s="16"/>
      <c r="J35" s="16"/>
      <c r="K35" s="4"/>
    </row>
    <row r="42" customFormat="false" ht="12.75" hidden="false" customHeight="false" outlineLevel="0" collapsed="false">
      <c r="C42" s="0" t="s">
        <v>44</v>
      </c>
      <c r="F42" s="0" t="n">
        <f aca="false">+(1-0.0129)</f>
        <v>0.9871</v>
      </c>
      <c r="G42" s="43" t="n">
        <v>5332</v>
      </c>
    </row>
    <row r="43" customFormat="false" ht="12.75" hidden="false" customHeight="false" outlineLevel="0" collapsed="false">
      <c r="C43" s="0" t="s">
        <v>45</v>
      </c>
      <c r="G43" s="43" t="n">
        <f aca="false">+G44*1.05</f>
        <v>5250</v>
      </c>
    </row>
    <row r="44" customFormat="false" ht="12.75" hidden="false" customHeight="false" outlineLevel="0" collapsed="false">
      <c r="C44" s="0" t="s">
        <v>46</v>
      </c>
      <c r="G44" s="43" t="n">
        <v>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K7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11.13"/>
    <col collapsed="false" customWidth="true" hidden="false" outlineLevel="0" max="5" min="5" style="0" width="12.99"/>
    <col collapsed="false" customWidth="true" hidden="false" outlineLevel="0" max="8" min="8" style="0" width="19.14"/>
    <col collapsed="false" customWidth="true" hidden="false" outlineLevel="0" max="9" min="9" style="0" width="16.84"/>
    <col collapsed="false" customWidth="true" hidden="false" outlineLevel="0" max="10" min="10" style="0" width="5.28"/>
    <col collapsed="false" customWidth="true" hidden="false" outlineLevel="0" max="11" min="11" style="0" width="15.99"/>
  </cols>
  <sheetData>
    <row r="3" customFormat="false" ht="18.75" hidden="false" customHeight="false" outlineLevel="0" collapsed="false">
      <c r="C3" s="22" t="s">
        <v>49</v>
      </c>
      <c r="I3" s="23" t="n">
        <f aca="true">NOW()</f>
        <v>45926.9720068156</v>
      </c>
      <c r="J3" s="23"/>
    </row>
    <row r="4" customFormat="false" ht="12.75" hidden="false" customHeight="false" outlineLevel="0" collapsed="false">
      <c r="C4" s="1" t="s">
        <v>50</v>
      </c>
    </row>
    <row r="5" customFormat="false" ht="12.75" hidden="false" customHeight="false" outlineLevel="0" collapsed="false">
      <c r="I5" s="24" t="s">
        <v>21</v>
      </c>
      <c r="J5" s="24"/>
      <c r="K5" s="24" t="s">
        <v>22</v>
      </c>
    </row>
    <row r="6" customFormat="false" ht="13.5" hidden="false" customHeight="false" outlineLevel="0" collapsed="false">
      <c r="F6" s="25" t="s">
        <v>15</v>
      </c>
      <c r="G6" s="25" t="s">
        <v>23</v>
      </c>
      <c r="H6" s="25" t="s">
        <v>24</v>
      </c>
      <c r="I6" s="25" t="s">
        <v>25</v>
      </c>
      <c r="J6" s="25"/>
      <c r="K6" s="25" t="s">
        <v>25</v>
      </c>
    </row>
    <row r="7" customFormat="false" ht="12.75" hidden="false" customHeight="false" outlineLevel="0" collapsed="false">
      <c r="C7" s="0" t="s">
        <v>51</v>
      </c>
      <c r="F7" s="29" t="n">
        <f aca="false">+G34</f>
        <v>5332</v>
      </c>
      <c r="G7" s="27" t="n">
        <f aca="false">8.21+0.05</f>
        <v>8.26</v>
      </c>
      <c r="H7" s="4" t="n">
        <f aca="false">+I7</f>
        <v>-1365311.92</v>
      </c>
      <c r="I7" s="16" t="n">
        <f aca="false">-G7*G34*31</f>
        <v>-1365311.92</v>
      </c>
      <c r="J7" s="16"/>
    </row>
    <row r="8" customFormat="false" ht="12.75" hidden="false" customHeight="false" outlineLevel="0" collapsed="false">
      <c r="C8" s="0" t="s">
        <v>52</v>
      </c>
      <c r="F8" s="29"/>
      <c r="G8" s="27"/>
      <c r="H8" s="4"/>
      <c r="I8" s="16"/>
      <c r="J8" s="16"/>
    </row>
    <row r="9" customFormat="false" ht="12.75" hidden="false" customHeight="false" outlineLevel="0" collapsed="false">
      <c r="G9" s="27"/>
      <c r="I9" s="16"/>
      <c r="J9" s="16"/>
    </row>
    <row r="10" customFormat="false" ht="12.75" hidden="false" customHeight="false" outlineLevel="0" collapsed="false">
      <c r="C10" s="0" t="s">
        <v>31</v>
      </c>
      <c r="F10" s="30" t="n">
        <v>0.0129</v>
      </c>
      <c r="G10" s="31" t="n">
        <f aca="false">+F10*G7</f>
        <v>0.106554</v>
      </c>
      <c r="I10" s="16"/>
      <c r="J10" s="16"/>
    </row>
    <row r="11" customFormat="false" ht="12.75" hidden="false" customHeight="false" outlineLevel="0" collapsed="false">
      <c r="C11" s="0" t="s">
        <v>32</v>
      </c>
      <c r="G11" s="31" t="n">
        <f aca="false">7.913/31</f>
        <v>0.255258064516129</v>
      </c>
      <c r="I11" s="16" t="n">
        <f aca="false">-G11*G35*31</f>
        <v>-41543.25</v>
      </c>
      <c r="J11" s="16"/>
      <c r="K11" s="4" t="n">
        <f aca="false">-I11</f>
        <v>41543.25</v>
      </c>
    </row>
    <row r="12" customFormat="false" ht="12.75" hidden="false" customHeight="false" outlineLevel="0" collapsed="false">
      <c r="C12" s="0" t="s">
        <v>33</v>
      </c>
      <c r="G12" s="32" t="n">
        <v>0.006</v>
      </c>
      <c r="I12" s="16" t="n">
        <f aca="false">-G35*G12*31</f>
        <v>-976.5</v>
      </c>
      <c r="J12" s="16"/>
      <c r="K12" s="4" t="n">
        <f aca="false">-I12</f>
        <v>976.5</v>
      </c>
    </row>
    <row r="13" customFormat="false" ht="12.75" hidden="false" customHeight="false" outlineLevel="0" collapsed="false">
      <c r="G13" s="27"/>
      <c r="I13" s="16"/>
      <c r="J13" s="16"/>
    </row>
    <row r="14" customFormat="false" ht="12.75" hidden="false" customHeight="false" outlineLevel="0" collapsed="false">
      <c r="C14" s="0" t="s">
        <v>34</v>
      </c>
      <c r="G14" s="27" t="n">
        <f aca="false">+G7+G10+G11+G12</f>
        <v>8.62781206451613</v>
      </c>
      <c r="I14" s="16"/>
      <c r="J14" s="16"/>
    </row>
    <row r="15" customFormat="false" ht="12.75" hidden="false" customHeight="false" outlineLevel="0" collapsed="false">
      <c r="C15" s="0" t="s">
        <v>35</v>
      </c>
      <c r="G15" s="27" t="n">
        <f aca="false">+G14/0.95</f>
        <v>9.08190743633277</v>
      </c>
      <c r="I15" s="16"/>
      <c r="J15" s="16"/>
    </row>
    <row r="16" customFormat="false" ht="12.75" hidden="false" customHeight="false" outlineLevel="0" collapsed="false">
      <c r="C16" s="0" t="s">
        <v>36</v>
      </c>
      <c r="G16" s="33" t="n">
        <v>0.3519</v>
      </c>
      <c r="I16" s="16" t="n">
        <f aca="false">-G16*G36*31</f>
        <v>-54544.5</v>
      </c>
      <c r="J16" s="16"/>
      <c r="K16" s="4" t="n">
        <f aca="false">-I16</f>
        <v>54544.5</v>
      </c>
    </row>
    <row r="17" customFormat="false" ht="12.75" hidden="false" customHeight="false" outlineLevel="0" collapsed="false">
      <c r="C17" s="0" t="s">
        <v>37</v>
      </c>
      <c r="G17" s="33" t="n">
        <v>0.0318</v>
      </c>
      <c r="I17" s="16" t="n">
        <f aca="false">-G17*G36*31</f>
        <v>-4929</v>
      </c>
      <c r="J17" s="16"/>
      <c r="K17" s="4" t="n">
        <f aca="false">-I17</f>
        <v>4929</v>
      </c>
    </row>
    <row r="18" customFormat="false" ht="12.75" hidden="false" customHeight="false" outlineLevel="0" collapsed="false">
      <c r="G18" s="27"/>
    </row>
    <row r="19" customFormat="false" ht="12.75" hidden="false" customHeight="false" outlineLevel="0" collapsed="false">
      <c r="G19" s="27"/>
    </row>
    <row r="20" customFormat="false" ht="12.75" hidden="false" customHeight="false" outlineLevel="0" collapsed="false">
      <c r="G20" s="27"/>
    </row>
    <row r="21" customFormat="false" ht="13.5" hidden="false" customHeight="false" outlineLevel="0" collapsed="false">
      <c r="C21" s="0" t="s">
        <v>38</v>
      </c>
      <c r="F21" s="29" t="n">
        <v>5000</v>
      </c>
      <c r="G21" s="27" t="n">
        <v>10.795</v>
      </c>
      <c r="H21" s="5" t="n">
        <f aca="false">+I21</f>
        <v>1673225</v>
      </c>
      <c r="I21" s="34" t="n">
        <f aca="false">+G21*G36*31</f>
        <v>1673225</v>
      </c>
      <c r="J21" s="16"/>
      <c r="K21" s="20"/>
    </row>
    <row r="23" customFormat="false" ht="12.75" hidden="false" customHeight="false" outlineLevel="0" collapsed="false">
      <c r="C23" s="11" t="s">
        <v>39</v>
      </c>
      <c r="D23" s="11"/>
      <c r="E23" s="11"/>
      <c r="F23" s="11"/>
      <c r="G23" s="35"/>
      <c r="H23" s="4" t="n">
        <f aca="false">+H7+H21</f>
        <v>307913.08</v>
      </c>
      <c r="I23" s="36" t="n">
        <f aca="false">SUM(I7:I21)</f>
        <v>205919.83</v>
      </c>
      <c r="J23" s="36"/>
      <c r="K23" s="36" t="n">
        <f aca="false">SUM(K11:K21)</f>
        <v>101993.25</v>
      </c>
    </row>
    <row r="24" customFormat="false" ht="13.5" hidden="false" customHeight="false" outlineLevel="0" collapsed="false"/>
    <row r="25" customFormat="false" ht="13.5" hidden="false" customHeight="false" outlineLevel="0" collapsed="false">
      <c r="C25" s="0" t="s">
        <v>40</v>
      </c>
      <c r="H25" s="37" t="n">
        <f aca="false">+H23*0.08</f>
        <v>24633.0464</v>
      </c>
      <c r="I25" s="4"/>
      <c r="J25" s="4"/>
    </row>
    <row r="26" customFormat="false" ht="12.75" hidden="false" customHeight="false" outlineLevel="0" collapsed="false">
      <c r="I26" s="11"/>
    </row>
    <row r="27" customFormat="false" ht="12.75" hidden="false" customHeight="false" outlineLevel="0" collapsed="false">
      <c r="C27" s="0" t="s">
        <v>41</v>
      </c>
      <c r="H27" s="16" t="n">
        <f aca="false">+H23*0.92</f>
        <v>283280.0336</v>
      </c>
      <c r="I27" s="4"/>
      <c r="J27" s="4"/>
    </row>
    <row r="29" customFormat="false" ht="12.75" hidden="false" customHeight="false" outlineLevel="0" collapsed="false">
      <c r="C29" s="0" t="s">
        <v>42</v>
      </c>
      <c r="I29" s="4" t="n">
        <f aca="false">+I31-I23</f>
        <v>-181286.7836</v>
      </c>
      <c r="J29" s="16"/>
      <c r="K29" s="4" t="n">
        <f aca="false">-I29</f>
        <v>181286.7836</v>
      </c>
    </row>
    <row r="30" customFormat="false" ht="13.5" hidden="false" customHeight="false" outlineLevel="0" collapsed="false">
      <c r="H30" s="11"/>
      <c r="I30" s="16"/>
      <c r="J30" s="16"/>
      <c r="K30" s="11"/>
    </row>
    <row r="31" customFormat="false" ht="16.5" hidden="false" customHeight="false" outlineLevel="0" collapsed="false">
      <c r="C31" s="38" t="s">
        <v>43</v>
      </c>
      <c r="D31" s="39"/>
      <c r="E31" s="39"/>
      <c r="F31" s="39"/>
      <c r="G31" s="39"/>
      <c r="H31" s="40" t="n">
        <f aca="false">+H23</f>
        <v>307913.08</v>
      </c>
      <c r="I31" s="40" t="n">
        <f aca="false">+H25</f>
        <v>24633.0464</v>
      </c>
      <c r="J31" s="41"/>
      <c r="K31" s="42" t="n">
        <f aca="false">+H27</f>
        <v>283280.0336</v>
      </c>
    </row>
    <row r="32" customFormat="false" ht="12.75" hidden="false" customHeight="false" outlineLevel="0" collapsed="false">
      <c r="I32" s="16"/>
      <c r="J32" s="16"/>
      <c r="K32" s="4"/>
    </row>
    <row r="33" customFormat="false" ht="12.75" hidden="false" customHeight="false" outlineLevel="0" collapsed="false">
      <c r="I33" s="16"/>
      <c r="J33" s="16"/>
      <c r="K33" s="4"/>
    </row>
    <row r="34" customFormat="false" ht="12.75" hidden="false" customHeight="false" outlineLevel="0" collapsed="false">
      <c r="C34" s="0" t="s">
        <v>44</v>
      </c>
      <c r="F34" s="0" t="n">
        <f aca="false">+(1-0.0129)</f>
        <v>0.9871</v>
      </c>
      <c r="G34" s="43" t="n">
        <v>5332</v>
      </c>
    </row>
    <row r="35" customFormat="false" ht="12.75" hidden="false" customHeight="false" outlineLevel="0" collapsed="false">
      <c r="C35" s="0" t="s">
        <v>45</v>
      </c>
      <c r="G35" s="43" t="n">
        <f aca="false">+G36*1.05</f>
        <v>5250</v>
      </c>
    </row>
    <row r="36" customFormat="false" ht="12.75" hidden="false" customHeight="false" outlineLevel="0" collapsed="false">
      <c r="C36" s="0" t="s">
        <v>46</v>
      </c>
      <c r="G36" s="43" t="n">
        <v>5000</v>
      </c>
    </row>
    <row r="37" customFormat="false" ht="13.5" hidden="false" customHeight="false" outlineLevel="0" collapsed="false">
      <c r="G37" s="43"/>
    </row>
    <row r="38" customFormat="false" ht="12.75" hidden="false" customHeight="false" outlineLevel="0" collapsed="false">
      <c r="C38" s="45" t="s">
        <v>53</v>
      </c>
      <c r="D38" s="8"/>
      <c r="E38" s="46" t="s">
        <v>54</v>
      </c>
    </row>
    <row r="39" customFormat="false" ht="12.75" hidden="false" customHeight="false" outlineLevel="0" collapsed="false">
      <c r="C39" s="10"/>
      <c r="D39" s="47" t="s">
        <v>55</v>
      </c>
      <c r="E39" s="48" t="s">
        <v>56</v>
      </c>
    </row>
    <row r="40" customFormat="false" ht="12.75" hidden="false" customHeight="false" outlineLevel="0" collapsed="false">
      <c r="C40" s="49" t="n">
        <v>36892</v>
      </c>
      <c r="D40" s="16" t="n">
        <v>8</v>
      </c>
      <c r="E40" s="15" t="n">
        <v>9</v>
      </c>
    </row>
    <row r="41" customFormat="false" ht="12.75" hidden="false" customHeight="false" outlineLevel="0" collapsed="false">
      <c r="C41" s="49" t="n">
        <v>36893</v>
      </c>
      <c r="D41" s="16" t="n">
        <v>8</v>
      </c>
      <c r="E41" s="15" t="n">
        <v>9</v>
      </c>
    </row>
    <row r="42" customFormat="false" ht="12.75" hidden="false" customHeight="false" outlineLevel="0" collapsed="false">
      <c r="C42" s="49" t="n">
        <v>36894</v>
      </c>
      <c r="D42" s="16" t="n">
        <v>8</v>
      </c>
      <c r="E42" s="15" t="n">
        <v>9</v>
      </c>
    </row>
    <row r="43" customFormat="false" ht="12.75" hidden="false" customHeight="false" outlineLevel="0" collapsed="false">
      <c r="C43" s="49" t="n">
        <v>36895</v>
      </c>
      <c r="D43" s="16" t="n">
        <v>8</v>
      </c>
      <c r="E43" s="15" t="n">
        <v>9</v>
      </c>
    </row>
    <row r="44" customFormat="false" ht="12.75" hidden="false" customHeight="false" outlineLevel="0" collapsed="false">
      <c r="C44" s="49" t="n">
        <v>36896</v>
      </c>
      <c r="D44" s="16" t="n">
        <v>8</v>
      </c>
      <c r="E44" s="15" t="n">
        <v>9</v>
      </c>
    </row>
    <row r="45" customFormat="false" ht="12.75" hidden="false" customHeight="false" outlineLevel="0" collapsed="false">
      <c r="C45" s="49" t="n">
        <v>36897</v>
      </c>
      <c r="D45" s="16" t="n">
        <v>8</v>
      </c>
      <c r="E45" s="15" t="n">
        <v>9</v>
      </c>
    </row>
    <row r="46" customFormat="false" ht="12.75" hidden="false" customHeight="false" outlineLevel="0" collapsed="false">
      <c r="C46" s="49" t="n">
        <v>36898</v>
      </c>
      <c r="D46" s="16" t="n">
        <v>8</v>
      </c>
      <c r="E46" s="15" t="n">
        <v>9</v>
      </c>
    </row>
    <row r="47" customFormat="false" ht="12.75" hidden="false" customHeight="false" outlineLevel="0" collapsed="false">
      <c r="C47" s="49" t="n">
        <v>36899</v>
      </c>
      <c r="D47" s="16" t="n">
        <v>8</v>
      </c>
      <c r="E47" s="15" t="n">
        <v>9</v>
      </c>
    </row>
    <row r="48" customFormat="false" ht="12.75" hidden="false" customHeight="false" outlineLevel="0" collapsed="false">
      <c r="C48" s="49" t="n">
        <v>36900</v>
      </c>
      <c r="D48" s="16" t="n">
        <v>8</v>
      </c>
      <c r="E48" s="15" t="n">
        <v>9</v>
      </c>
    </row>
    <row r="49" customFormat="false" ht="12.75" hidden="false" customHeight="false" outlineLevel="0" collapsed="false">
      <c r="C49" s="49" t="n">
        <v>36901</v>
      </c>
      <c r="D49" s="16" t="n">
        <v>8</v>
      </c>
      <c r="E49" s="15" t="n">
        <v>9</v>
      </c>
    </row>
    <row r="50" customFormat="false" ht="12.75" hidden="false" customHeight="false" outlineLevel="0" collapsed="false">
      <c r="C50" s="49" t="n">
        <v>36902</v>
      </c>
      <c r="D50" s="16" t="n">
        <v>8</v>
      </c>
      <c r="E50" s="15" t="n">
        <v>9</v>
      </c>
    </row>
    <row r="51" customFormat="false" ht="12.75" hidden="false" customHeight="false" outlineLevel="0" collapsed="false">
      <c r="C51" s="49" t="n">
        <v>36903</v>
      </c>
      <c r="D51" s="16" t="n">
        <v>8</v>
      </c>
      <c r="E51" s="15" t="n">
        <v>9</v>
      </c>
    </row>
    <row r="52" customFormat="false" ht="12.75" hidden="false" customHeight="false" outlineLevel="0" collapsed="false">
      <c r="C52" s="49" t="n">
        <v>36904</v>
      </c>
      <c r="D52" s="16" t="n">
        <v>8</v>
      </c>
      <c r="E52" s="15" t="n">
        <v>9</v>
      </c>
    </row>
    <row r="53" customFormat="false" ht="12.75" hidden="false" customHeight="false" outlineLevel="0" collapsed="false">
      <c r="C53" s="49" t="n">
        <v>36905</v>
      </c>
      <c r="D53" s="16" t="n">
        <v>8</v>
      </c>
      <c r="E53" s="15" t="n">
        <v>9</v>
      </c>
    </row>
    <row r="54" customFormat="false" ht="12.75" hidden="false" customHeight="false" outlineLevel="0" collapsed="false">
      <c r="C54" s="49" t="n">
        <v>36906</v>
      </c>
      <c r="D54" s="16" t="n">
        <v>8</v>
      </c>
      <c r="E54" s="15" t="n">
        <v>9</v>
      </c>
    </row>
    <row r="55" customFormat="false" ht="12.75" hidden="false" customHeight="false" outlineLevel="0" collapsed="false">
      <c r="C55" s="49" t="n">
        <v>36907</v>
      </c>
      <c r="D55" s="16" t="n">
        <v>8</v>
      </c>
      <c r="E55" s="15" t="n">
        <v>9</v>
      </c>
    </row>
    <row r="56" customFormat="false" ht="12.75" hidden="false" customHeight="false" outlineLevel="0" collapsed="false">
      <c r="C56" s="49" t="n">
        <v>36908</v>
      </c>
      <c r="D56" s="16" t="n">
        <v>8</v>
      </c>
      <c r="E56" s="15" t="n">
        <v>9</v>
      </c>
    </row>
    <row r="57" customFormat="false" ht="12.75" hidden="false" customHeight="false" outlineLevel="0" collapsed="false">
      <c r="C57" s="49" t="n">
        <v>36909</v>
      </c>
      <c r="D57" s="16" t="n">
        <v>8</v>
      </c>
      <c r="E57" s="15" t="n">
        <v>9</v>
      </c>
    </row>
    <row r="58" customFormat="false" ht="12.75" hidden="false" customHeight="false" outlineLevel="0" collapsed="false">
      <c r="C58" s="49" t="n">
        <v>36910</v>
      </c>
      <c r="D58" s="16" t="n">
        <v>8</v>
      </c>
      <c r="E58" s="15" t="n">
        <v>9</v>
      </c>
    </row>
    <row r="59" customFormat="false" ht="12.75" hidden="false" customHeight="false" outlineLevel="0" collapsed="false">
      <c r="C59" s="49" t="n">
        <v>36911</v>
      </c>
      <c r="D59" s="16" t="n">
        <v>8</v>
      </c>
      <c r="E59" s="15" t="n">
        <v>9</v>
      </c>
    </row>
    <row r="60" customFormat="false" ht="12.75" hidden="false" customHeight="false" outlineLevel="0" collapsed="false">
      <c r="C60" s="49" t="n">
        <v>36912</v>
      </c>
      <c r="D60" s="16" t="n">
        <v>8</v>
      </c>
      <c r="E60" s="15" t="n">
        <v>9</v>
      </c>
    </row>
    <row r="61" customFormat="false" ht="12.75" hidden="false" customHeight="false" outlineLevel="0" collapsed="false">
      <c r="C61" s="49" t="n">
        <v>36913</v>
      </c>
      <c r="D61" s="16" t="n">
        <v>8</v>
      </c>
      <c r="E61" s="15" t="n">
        <v>9</v>
      </c>
    </row>
    <row r="62" customFormat="false" ht="12.75" hidden="false" customHeight="false" outlineLevel="0" collapsed="false">
      <c r="C62" s="49" t="n">
        <v>36914</v>
      </c>
      <c r="D62" s="16" t="n">
        <v>8</v>
      </c>
      <c r="E62" s="15" t="n">
        <v>9</v>
      </c>
    </row>
    <row r="63" customFormat="false" ht="12.75" hidden="false" customHeight="false" outlineLevel="0" collapsed="false">
      <c r="C63" s="49" t="n">
        <v>36915</v>
      </c>
      <c r="D63" s="16" t="n">
        <v>8</v>
      </c>
      <c r="E63" s="15" t="n">
        <v>9</v>
      </c>
    </row>
    <row r="64" customFormat="false" ht="12.75" hidden="false" customHeight="false" outlineLevel="0" collapsed="false">
      <c r="C64" s="49" t="n">
        <v>36916</v>
      </c>
      <c r="D64" s="16" t="n">
        <v>8</v>
      </c>
      <c r="E64" s="15" t="n">
        <v>9</v>
      </c>
    </row>
    <row r="65" customFormat="false" ht="12.75" hidden="false" customHeight="false" outlineLevel="0" collapsed="false">
      <c r="C65" s="49" t="n">
        <v>36917</v>
      </c>
      <c r="D65" s="16" t="n">
        <v>8</v>
      </c>
      <c r="E65" s="15" t="n">
        <v>9</v>
      </c>
    </row>
    <row r="66" customFormat="false" ht="12.75" hidden="false" customHeight="false" outlineLevel="0" collapsed="false">
      <c r="C66" s="49" t="n">
        <v>36918</v>
      </c>
      <c r="D66" s="16" t="n">
        <v>8</v>
      </c>
      <c r="E66" s="15" t="n">
        <v>9</v>
      </c>
    </row>
    <row r="67" customFormat="false" ht="12.75" hidden="false" customHeight="false" outlineLevel="0" collapsed="false">
      <c r="C67" s="49" t="n">
        <v>36919</v>
      </c>
      <c r="D67" s="16" t="n">
        <v>8</v>
      </c>
      <c r="E67" s="15" t="n">
        <v>9</v>
      </c>
    </row>
    <row r="68" customFormat="false" ht="12.75" hidden="false" customHeight="false" outlineLevel="0" collapsed="false">
      <c r="C68" s="49" t="n">
        <v>36920</v>
      </c>
      <c r="D68" s="16" t="n">
        <v>8</v>
      </c>
      <c r="E68" s="15" t="n">
        <v>9</v>
      </c>
    </row>
    <row r="69" customFormat="false" ht="12.75" hidden="false" customHeight="false" outlineLevel="0" collapsed="false">
      <c r="C69" s="49" t="n">
        <v>36921</v>
      </c>
      <c r="D69" s="16" t="n">
        <v>8</v>
      </c>
      <c r="E69" s="15" t="n">
        <v>9</v>
      </c>
    </row>
    <row r="70" customFormat="false" ht="13.5" hidden="false" customHeight="false" outlineLevel="0" collapsed="false">
      <c r="C70" s="49" t="n">
        <v>36922</v>
      </c>
      <c r="D70" s="34" t="n">
        <v>8</v>
      </c>
      <c r="E70" s="18" t="n">
        <v>9</v>
      </c>
    </row>
    <row r="71" customFormat="false" ht="13.5" hidden="false" customHeight="false" outlineLevel="0" collapsed="false">
      <c r="C71" s="19"/>
      <c r="D71" s="50" t="n">
        <f aca="false">AVERAGE(D40:D70)</f>
        <v>8</v>
      </c>
      <c r="E71" s="51" t="n">
        <f aca="false">AVERAGE(E40:E70)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M4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9.41"/>
    <col collapsed="false" customWidth="true" hidden="false" outlineLevel="0" max="8" min="8" style="0" width="19.14"/>
    <col collapsed="false" customWidth="true" hidden="false" outlineLevel="0" max="9" min="9" style="0" width="16.84"/>
    <col collapsed="false" customWidth="true" hidden="false" outlineLevel="0" max="10" min="10" style="0" width="5.28"/>
    <col collapsed="false" customWidth="true" hidden="false" outlineLevel="0" max="11" min="11" style="0" width="19.99"/>
  </cols>
  <sheetData>
    <row r="3" customFormat="false" ht="18.75" hidden="false" customHeight="false" outlineLevel="0" collapsed="false">
      <c r="C3" s="22" t="s">
        <v>57</v>
      </c>
      <c r="I3" s="23" t="n">
        <f aca="true">NOW()</f>
        <v>45926.9720068345</v>
      </c>
      <c r="J3" s="23"/>
    </row>
    <row r="5" customFormat="false" ht="12.75" hidden="false" customHeight="false" outlineLevel="0" collapsed="false">
      <c r="I5" s="24" t="s">
        <v>21</v>
      </c>
      <c r="J5" s="24"/>
      <c r="K5" s="24" t="s">
        <v>22</v>
      </c>
    </row>
    <row r="6" customFormat="false" ht="13.5" hidden="false" customHeight="false" outlineLevel="0" collapsed="false">
      <c r="F6" s="25" t="s">
        <v>15</v>
      </c>
      <c r="G6" s="25" t="s">
        <v>23</v>
      </c>
      <c r="H6" s="25" t="s">
        <v>24</v>
      </c>
      <c r="I6" s="25" t="s">
        <v>25</v>
      </c>
      <c r="J6" s="25"/>
      <c r="K6" s="25" t="s">
        <v>26</v>
      </c>
    </row>
    <row r="7" customFormat="false" ht="12.75" hidden="false" customHeight="false" outlineLevel="0" collapsed="false">
      <c r="C7" s="0" t="s">
        <v>58</v>
      </c>
      <c r="G7" s="27" t="n">
        <v>6.293</v>
      </c>
    </row>
    <row r="8" customFormat="false" ht="12.75" hidden="false" customHeight="false" outlineLevel="0" collapsed="false">
      <c r="C8" s="0" t="s">
        <v>59</v>
      </c>
      <c r="G8" s="27" t="n">
        <v>-0.035</v>
      </c>
    </row>
    <row r="9" customFormat="false" ht="13.5" hidden="false" customHeight="false" outlineLevel="0" collapsed="false">
      <c r="C9" s="0" t="s">
        <v>29</v>
      </c>
      <c r="G9" s="28" t="n">
        <v>0.02</v>
      </c>
    </row>
    <row r="10" customFormat="false" ht="12.75" hidden="false" customHeight="false" outlineLevel="0" collapsed="false">
      <c r="C10" s="0" t="s">
        <v>30</v>
      </c>
      <c r="F10" s="29" t="n">
        <v>10664</v>
      </c>
      <c r="G10" s="27" t="n">
        <f aca="false">+G7+G8+G9</f>
        <v>6.278</v>
      </c>
      <c r="H10" s="4" t="n">
        <f aca="false">+I10</f>
        <v>-1874560.576</v>
      </c>
      <c r="I10" s="16" t="n">
        <f aca="false">-G10*G42*28</f>
        <v>-1874560.576</v>
      </c>
      <c r="J10" s="16"/>
    </row>
    <row r="11" customFormat="false" ht="12.75" hidden="false" customHeight="false" outlineLevel="0" collapsed="false">
      <c r="G11" s="27"/>
      <c r="I11" s="16"/>
      <c r="J11" s="16"/>
    </row>
    <row r="12" customFormat="false" ht="12.75" hidden="false" customHeight="false" outlineLevel="0" collapsed="false">
      <c r="C12" s="0" t="s">
        <v>31</v>
      </c>
      <c r="F12" s="30" t="n">
        <v>0.0129</v>
      </c>
      <c r="G12" s="31" t="n">
        <f aca="false">+F12*G10</f>
        <v>0.0809862</v>
      </c>
      <c r="I12" s="16"/>
      <c r="J12" s="16"/>
    </row>
    <row r="13" customFormat="false" ht="12.75" hidden="false" customHeight="false" outlineLevel="0" collapsed="false">
      <c r="C13" s="0" t="s">
        <v>32</v>
      </c>
      <c r="G13" s="31" t="n">
        <f aca="false">7.913/31</f>
        <v>0.255258064516129</v>
      </c>
      <c r="I13" s="16" t="n">
        <f aca="false">-G13*G43*28</f>
        <v>-75045.8709677419</v>
      </c>
      <c r="J13" s="16"/>
      <c r="K13" s="4" t="n">
        <f aca="false">-I13</f>
        <v>75045.8709677419</v>
      </c>
    </row>
    <row r="14" customFormat="false" ht="12.75" hidden="false" customHeight="false" outlineLevel="0" collapsed="false">
      <c r="C14" s="0" t="s">
        <v>33</v>
      </c>
      <c r="G14" s="32" t="n">
        <v>0.01</v>
      </c>
      <c r="I14" s="16" t="n">
        <f aca="false">-G43*G14*28</f>
        <v>-2940</v>
      </c>
      <c r="J14" s="16"/>
      <c r="K14" s="4" t="n">
        <f aca="false">-I14</f>
        <v>2940</v>
      </c>
    </row>
    <row r="15" customFormat="false" ht="12.75" hidden="false" customHeight="false" outlineLevel="0" collapsed="false">
      <c r="G15" s="27"/>
      <c r="I15" s="16"/>
      <c r="J15" s="16"/>
    </row>
    <row r="16" customFormat="false" ht="12.75" hidden="false" customHeight="false" outlineLevel="0" collapsed="false">
      <c r="C16" s="0" t="s">
        <v>34</v>
      </c>
      <c r="G16" s="27" t="n">
        <f aca="false">+G10+G12+G13+G14</f>
        <v>6.62424426451613</v>
      </c>
      <c r="I16" s="16"/>
      <c r="J16" s="16"/>
    </row>
    <row r="17" customFormat="false" ht="12.75" hidden="false" customHeight="false" outlineLevel="0" collapsed="false">
      <c r="C17" s="0" t="s">
        <v>35</v>
      </c>
      <c r="G17" s="27" t="n">
        <f aca="false">+G16/0.95</f>
        <v>6.97288869949066</v>
      </c>
      <c r="I17" s="16"/>
      <c r="J17" s="16"/>
      <c r="M17" s="0" t="n">
        <f aca="false">15.58-10.01</f>
        <v>5.57</v>
      </c>
    </row>
    <row r="18" customFormat="false" ht="12.75" hidden="false" customHeight="false" outlineLevel="0" collapsed="false">
      <c r="C18" s="0" t="s">
        <v>36</v>
      </c>
      <c r="G18" s="33" t="n">
        <v>0.3519</v>
      </c>
      <c r="I18" s="16" t="n">
        <f aca="false">-G18*G44*28</f>
        <v>-98532</v>
      </c>
      <c r="J18" s="16"/>
      <c r="K18" s="4" t="n">
        <f aca="false">-I18</f>
        <v>98532</v>
      </c>
    </row>
    <row r="19" customFormat="false" ht="12.75" hidden="false" customHeight="false" outlineLevel="0" collapsed="false">
      <c r="C19" s="0" t="s">
        <v>37</v>
      </c>
      <c r="G19" s="33" t="n">
        <v>0.0318</v>
      </c>
      <c r="I19" s="16" t="n">
        <f aca="false">-G19*G44*28</f>
        <v>-8904</v>
      </c>
      <c r="J19" s="16"/>
      <c r="K19" s="4" t="n">
        <f aca="false">-I19</f>
        <v>8904</v>
      </c>
    </row>
    <row r="20" customFormat="false" ht="12.75" hidden="false" customHeight="false" outlineLevel="0" collapsed="false">
      <c r="G20" s="27"/>
    </row>
    <row r="21" customFormat="false" ht="12.75" hidden="false" customHeight="false" outlineLevel="0" collapsed="false">
      <c r="G21" s="27"/>
    </row>
    <row r="22" customFormat="false" ht="12.75" hidden="false" customHeight="false" outlineLevel="0" collapsed="false">
      <c r="G22" s="27"/>
    </row>
    <row r="23" customFormat="false" ht="13.5" hidden="false" customHeight="false" outlineLevel="0" collapsed="false">
      <c r="C23" s="0" t="s">
        <v>38</v>
      </c>
      <c r="F23" s="29" t="n">
        <v>10000</v>
      </c>
      <c r="G23" s="27" t="n">
        <v>10</v>
      </c>
      <c r="H23" s="5" t="n">
        <f aca="false">+I23</f>
        <v>2800000</v>
      </c>
      <c r="I23" s="34" t="n">
        <f aca="false">+G23*G44*28</f>
        <v>2800000</v>
      </c>
      <c r="J23" s="16"/>
      <c r="K23" s="20"/>
    </row>
    <row r="25" customFormat="false" ht="12.75" hidden="false" customHeight="false" outlineLevel="0" collapsed="false">
      <c r="C25" s="11" t="s">
        <v>39</v>
      </c>
      <c r="D25" s="11"/>
      <c r="E25" s="11"/>
      <c r="F25" s="11"/>
      <c r="G25" s="35"/>
      <c r="H25" s="4" t="n">
        <f aca="false">+H10+H23</f>
        <v>925439.424</v>
      </c>
      <c r="I25" s="36" t="n">
        <f aca="false">SUM(I10:I23)</f>
        <v>740017.553032259</v>
      </c>
      <c r="J25" s="36"/>
      <c r="K25" s="36" t="n">
        <f aca="false">SUM(K13:K23)</f>
        <v>185421.870967742</v>
      </c>
    </row>
    <row r="26" customFormat="false" ht="13.5" hidden="false" customHeight="false" outlineLevel="0" collapsed="false"/>
    <row r="27" customFormat="false" ht="13.5" hidden="false" customHeight="false" outlineLevel="0" collapsed="false">
      <c r="C27" s="0" t="s">
        <v>40</v>
      </c>
      <c r="H27" s="37" t="n">
        <f aca="false">+H25*0.08</f>
        <v>74035.15392</v>
      </c>
      <c r="I27" s="4"/>
      <c r="J27" s="4"/>
    </row>
    <row r="28" customFormat="false" ht="12.75" hidden="false" customHeight="false" outlineLevel="0" collapsed="false">
      <c r="I28" s="11"/>
    </row>
    <row r="29" customFormat="false" ht="12.75" hidden="false" customHeight="false" outlineLevel="0" collapsed="false">
      <c r="C29" s="0" t="s">
        <v>41</v>
      </c>
      <c r="H29" s="16" t="n">
        <f aca="false">+H25*0.92</f>
        <v>851404.27008</v>
      </c>
      <c r="I29" s="4"/>
      <c r="J29" s="4"/>
    </row>
    <row r="31" customFormat="false" ht="12.75" hidden="false" customHeight="false" outlineLevel="0" collapsed="false">
      <c r="C31" s="0" t="s">
        <v>42</v>
      </c>
      <c r="I31" s="4" t="n">
        <f aca="false">+I33-I25</f>
        <v>-665982.399112259</v>
      </c>
      <c r="J31" s="16"/>
      <c r="K31" s="4" t="n">
        <f aca="false">-I31</f>
        <v>665982.399112259</v>
      </c>
    </row>
    <row r="32" customFormat="false" ht="13.5" hidden="false" customHeight="false" outlineLevel="0" collapsed="false">
      <c r="H32" s="11"/>
      <c r="I32" s="16"/>
      <c r="J32" s="16"/>
      <c r="K32" s="11"/>
    </row>
    <row r="33" customFormat="false" ht="16.5" hidden="false" customHeight="false" outlineLevel="0" collapsed="false">
      <c r="C33" s="38" t="s">
        <v>43</v>
      </c>
      <c r="D33" s="39"/>
      <c r="E33" s="39"/>
      <c r="F33" s="39"/>
      <c r="G33" s="39"/>
      <c r="H33" s="40" t="n">
        <f aca="false">+H25</f>
        <v>925439.424</v>
      </c>
      <c r="I33" s="40" t="n">
        <f aca="false">+H27</f>
        <v>74035.15392</v>
      </c>
      <c r="J33" s="41"/>
      <c r="K33" s="42" t="n">
        <f aca="false">+H29</f>
        <v>851404.27008</v>
      </c>
    </row>
    <row r="34" customFormat="false" ht="12.75" hidden="false" customHeight="false" outlineLevel="0" collapsed="false">
      <c r="I34" s="16"/>
      <c r="J34" s="16"/>
      <c r="K34" s="4"/>
    </row>
    <row r="35" customFormat="false" ht="12.75" hidden="false" customHeight="false" outlineLevel="0" collapsed="false">
      <c r="I35" s="16"/>
      <c r="J35" s="16"/>
      <c r="K35" s="4"/>
    </row>
    <row r="37" customFormat="false" ht="12.75" hidden="false" customHeight="false" outlineLevel="0" collapsed="false">
      <c r="I37" s="0" t="n">
        <f aca="false">4.25+4.36+4.85+4</f>
        <v>17.46</v>
      </c>
    </row>
    <row r="38" customFormat="false" ht="12.75" hidden="false" customHeight="false" outlineLevel="0" collapsed="false">
      <c r="I38" s="0" t="n">
        <f aca="false">+I37/4</f>
        <v>4.365</v>
      </c>
    </row>
    <row r="42" customFormat="false" ht="12.75" hidden="false" customHeight="false" outlineLevel="0" collapsed="false">
      <c r="C42" s="0" t="s">
        <v>44</v>
      </c>
      <c r="F42" s="0" t="n">
        <f aca="false">+(1-0.0129)</f>
        <v>0.9871</v>
      </c>
      <c r="G42" s="43" t="n">
        <f aca="false">+F10</f>
        <v>10664</v>
      </c>
    </row>
    <row r="43" customFormat="false" ht="12.75" hidden="false" customHeight="false" outlineLevel="0" collapsed="false">
      <c r="C43" s="0" t="s">
        <v>45</v>
      </c>
      <c r="G43" s="43" t="n">
        <f aca="false">+G44*1.05</f>
        <v>10500</v>
      </c>
    </row>
    <row r="44" customFormat="false" ht="12.75" hidden="false" customHeight="false" outlineLevel="0" collapsed="false">
      <c r="C44" s="0" t="s">
        <v>46</v>
      </c>
      <c r="G44" s="43" t="n">
        <v>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M4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9.14"/>
    <col collapsed="false" customWidth="true" hidden="false" outlineLevel="0" max="9" min="9" style="0" width="16.84"/>
    <col collapsed="false" customWidth="true" hidden="false" outlineLevel="0" max="10" min="10" style="0" width="5.28"/>
    <col collapsed="false" customWidth="true" hidden="false" outlineLevel="0" max="11" min="11" style="0" width="19.99"/>
  </cols>
  <sheetData>
    <row r="3" customFormat="false" ht="18.75" hidden="false" customHeight="false" outlineLevel="0" collapsed="false">
      <c r="C3" s="22" t="s">
        <v>60</v>
      </c>
      <c r="I3" s="23" t="n">
        <f aca="true">NOW()</f>
        <v>45926.9720068581</v>
      </c>
      <c r="J3" s="23"/>
    </row>
    <row r="5" customFormat="false" ht="12.75" hidden="false" customHeight="false" outlineLevel="0" collapsed="false">
      <c r="I5" s="24" t="s">
        <v>21</v>
      </c>
      <c r="J5" s="24"/>
      <c r="K5" s="24" t="s">
        <v>22</v>
      </c>
    </row>
    <row r="6" customFormat="false" ht="13.5" hidden="false" customHeight="false" outlineLevel="0" collapsed="false">
      <c r="F6" s="25" t="s">
        <v>15</v>
      </c>
      <c r="G6" s="25" t="s">
        <v>23</v>
      </c>
      <c r="H6" s="25" t="s">
        <v>24</v>
      </c>
      <c r="I6" s="25" t="s">
        <v>25</v>
      </c>
      <c r="J6" s="25"/>
      <c r="K6" s="25" t="s">
        <v>26</v>
      </c>
    </row>
    <row r="7" customFormat="false" ht="12.75" hidden="false" customHeight="false" outlineLevel="0" collapsed="false">
      <c r="C7" s="0" t="s">
        <v>58</v>
      </c>
      <c r="G7" s="27" t="n">
        <v>7.275</v>
      </c>
    </row>
    <row r="8" customFormat="false" ht="12.75" hidden="false" customHeight="false" outlineLevel="0" collapsed="false">
      <c r="C8" s="0" t="s">
        <v>59</v>
      </c>
      <c r="G8" s="27" t="n">
        <v>0</v>
      </c>
    </row>
    <row r="9" customFormat="false" ht="13.5" hidden="false" customHeight="false" outlineLevel="0" collapsed="false">
      <c r="C9" s="0" t="s">
        <v>29</v>
      </c>
      <c r="G9" s="28" t="n">
        <v>0.02</v>
      </c>
    </row>
    <row r="10" customFormat="false" ht="12.75" hidden="false" customHeight="false" outlineLevel="0" collapsed="false">
      <c r="C10" s="0" t="s">
        <v>30</v>
      </c>
      <c r="F10" s="29" t="n">
        <v>10664</v>
      </c>
      <c r="G10" s="27" t="n">
        <f aca="false">+G7+G8+G9</f>
        <v>7.295</v>
      </c>
      <c r="H10" s="4" t="n">
        <f aca="false">+I10</f>
        <v>-2178228.64</v>
      </c>
      <c r="I10" s="16" t="n">
        <f aca="false">-G10*G42*28</f>
        <v>-2178228.64</v>
      </c>
      <c r="J10" s="16"/>
    </row>
    <row r="11" customFormat="false" ht="12.75" hidden="false" customHeight="false" outlineLevel="0" collapsed="false">
      <c r="G11" s="27"/>
      <c r="I11" s="16"/>
      <c r="J11" s="16"/>
    </row>
    <row r="12" customFormat="false" ht="12.75" hidden="false" customHeight="false" outlineLevel="0" collapsed="false">
      <c r="C12" s="0" t="s">
        <v>31</v>
      </c>
      <c r="F12" s="30" t="n">
        <v>0.0129</v>
      </c>
      <c r="G12" s="31" t="n">
        <f aca="false">+F12*G10</f>
        <v>0.0941055</v>
      </c>
      <c r="I12" s="16"/>
      <c r="J12" s="16"/>
    </row>
    <row r="13" customFormat="false" ht="12.75" hidden="false" customHeight="false" outlineLevel="0" collapsed="false">
      <c r="C13" s="0" t="s">
        <v>32</v>
      </c>
      <c r="G13" s="31" t="n">
        <f aca="false">7.913/31</f>
        <v>0.255258064516129</v>
      </c>
      <c r="I13" s="16" t="n">
        <f aca="false">-G13*G43*28</f>
        <v>-75045.8709677419</v>
      </c>
      <c r="J13" s="16"/>
      <c r="K13" s="4" t="n">
        <f aca="false">-I13</f>
        <v>75045.8709677419</v>
      </c>
    </row>
    <row r="14" customFormat="false" ht="12.75" hidden="false" customHeight="false" outlineLevel="0" collapsed="false">
      <c r="C14" s="0" t="s">
        <v>33</v>
      </c>
      <c r="G14" s="32" t="n">
        <v>0.01</v>
      </c>
      <c r="I14" s="16" t="n">
        <f aca="false">-G43*G14*28</f>
        <v>-2940</v>
      </c>
      <c r="J14" s="16"/>
      <c r="K14" s="4" t="n">
        <f aca="false">-I14</f>
        <v>2940</v>
      </c>
    </row>
    <row r="15" customFormat="false" ht="12.75" hidden="false" customHeight="false" outlineLevel="0" collapsed="false">
      <c r="G15" s="27"/>
      <c r="I15" s="16"/>
      <c r="J15" s="16"/>
    </row>
    <row r="16" customFormat="false" ht="12.75" hidden="false" customHeight="false" outlineLevel="0" collapsed="false">
      <c r="C16" s="0" t="s">
        <v>34</v>
      </c>
      <c r="G16" s="27" t="n">
        <f aca="false">+G10+G12+G13+G14</f>
        <v>7.65436356451613</v>
      </c>
      <c r="I16" s="16"/>
      <c r="J16" s="16"/>
    </row>
    <row r="17" customFormat="false" ht="12.75" hidden="false" customHeight="false" outlineLevel="0" collapsed="false">
      <c r="C17" s="0" t="s">
        <v>35</v>
      </c>
      <c r="G17" s="27" t="n">
        <f aca="false">+G16/0.95</f>
        <v>8.05722480475382</v>
      </c>
      <c r="I17" s="16"/>
      <c r="J17" s="16"/>
      <c r="M17" s="0" t="n">
        <f aca="false">15.58-10.01</f>
        <v>5.57</v>
      </c>
    </row>
    <row r="18" customFormat="false" ht="12.75" hidden="false" customHeight="false" outlineLevel="0" collapsed="false">
      <c r="C18" s="0" t="s">
        <v>36</v>
      </c>
      <c r="G18" s="33" t="n">
        <v>0.3519</v>
      </c>
      <c r="I18" s="16" t="n">
        <f aca="false">-G18*G44*28</f>
        <v>-98532</v>
      </c>
      <c r="J18" s="16"/>
      <c r="K18" s="4" t="n">
        <f aca="false">-I18</f>
        <v>98532</v>
      </c>
    </row>
    <row r="19" customFormat="false" ht="12.75" hidden="false" customHeight="false" outlineLevel="0" collapsed="false">
      <c r="C19" s="0" t="s">
        <v>37</v>
      </c>
      <c r="G19" s="33" t="n">
        <v>0.0318</v>
      </c>
      <c r="I19" s="16" t="n">
        <f aca="false">-G19*G44*28</f>
        <v>-8904</v>
      </c>
      <c r="J19" s="16"/>
      <c r="K19" s="4" t="n">
        <f aca="false">-I19</f>
        <v>8904</v>
      </c>
    </row>
    <row r="20" customFormat="false" ht="12.75" hidden="false" customHeight="false" outlineLevel="0" collapsed="false">
      <c r="G20" s="27"/>
    </row>
    <row r="21" customFormat="false" ht="12.75" hidden="false" customHeight="false" outlineLevel="0" collapsed="false">
      <c r="G21" s="27"/>
    </row>
    <row r="22" customFormat="false" ht="12.75" hidden="false" customHeight="false" outlineLevel="0" collapsed="false">
      <c r="G22" s="27"/>
    </row>
    <row r="23" customFormat="false" ht="13.5" hidden="false" customHeight="false" outlineLevel="0" collapsed="false">
      <c r="C23" s="0" t="s">
        <v>38</v>
      </c>
      <c r="F23" s="29" t="n">
        <v>10000</v>
      </c>
      <c r="G23" s="27" t="n">
        <v>11.55</v>
      </c>
      <c r="H23" s="5" t="n">
        <f aca="false">+I23</f>
        <v>3234000</v>
      </c>
      <c r="I23" s="34" t="n">
        <f aca="false">+G23*G44*28</f>
        <v>3234000</v>
      </c>
      <c r="J23" s="16"/>
      <c r="K23" s="20"/>
    </row>
    <row r="25" customFormat="false" ht="12.75" hidden="false" customHeight="false" outlineLevel="0" collapsed="false">
      <c r="C25" s="11" t="s">
        <v>39</v>
      </c>
      <c r="D25" s="11"/>
      <c r="E25" s="11"/>
      <c r="F25" s="11"/>
      <c r="G25" s="35"/>
      <c r="H25" s="4" t="n">
        <f aca="false">+H10+H23</f>
        <v>1055771.36</v>
      </c>
      <c r="I25" s="36" t="n">
        <f aca="false">SUM(I10:I23)</f>
        <v>870349.489032258</v>
      </c>
      <c r="J25" s="36"/>
      <c r="K25" s="36" t="n">
        <f aca="false">SUM(K13:K23)</f>
        <v>185421.870967742</v>
      </c>
    </row>
    <row r="26" customFormat="false" ht="13.5" hidden="false" customHeight="false" outlineLevel="0" collapsed="false"/>
    <row r="27" customFormat="false" ht="13.5" hidden="false" customHeight="false" outlineLevel="0" collapsed="false">
      <c r="C27" s="0" t="s">
        <v>40</v>
      </c>
      <c r="H27" s="37" t="n">
        <f aca="false">+H25*0.08</f>
        <v>84461.7088</v>
      </c>
      <c r="I27" s="4"/>
      <c r="J27" s="4"/>
    </row>
    <row r="28" customFormat="false" ht="12.75" hidden="false" customHeight="false" outlineLevel="0" collapsed="false">
      <c r="I28" s="11"/>
    </row>
    <row r="29" customFormat="false" ht="12.75" hidden="false" customHeight="false" outlineLevel="0" collapsed="false">
      <c r="C29" s="0" t="s">
        <v>41</v>
      </c>
      <c r="H29" s="16" t="n">
        <f aca="false">+H25*0.92</f>
        <v>971309.6512</v>
      </c>
      <c r="I29" s="4"/>
      <c r="J29" s="4"/>
    </row>
    <row r="31" customFormat="false" ht="12.75" hidden="false" customHeight="false" outlineLevel="0" collapsed="false">
      <c r="C31" s="0" t="s">
        <v>42</v>
      </c>
      <c r="I31" s="4" t="n">
        <f aca="false">+I33-I25</f>
        <v>-785887.780232258</v>
      </c>
      <c r="J31" s="16"/>
      <c r="K31" s="4" t="n">
        <f aca="false">-I31</f>
        <v>785887.780232258</v>
      </c>
    </row>
    <row r="32" customFormat="false" ht="13.5" hidden="false" customHeight="false" outlineLevel="0" collapsed="false">
      <c r="H32" s="11"/>
      <c r="I32" s="16"/>
      <c r="J32" s="16"/>
      <c r="K32" s="11"/>
    </row>
    <row r="33" customFormat="false" ht="16.5" hidden="false" customHeight="false" outlineLevel="0" collapsed="false">
      <c r="C33" s="38" t="s">
        <v>43</v>
      </c>
      <c r="D33" s="39"/>
      <c r="E33" s="39"/>
      <c r="F33" s="39"/>
      <c r="G33" s="39"/>
      <c r="H33" s="40" t="n">
        <f aca="false">+H25</f>
        <v>1055771.36</v>
      </c>
      <c r="I33" s="40" t="n">
        <f aca="false">+H27</f>
        <v>84461.7088</v>
      </c>
      <c r="J33" s="41"/>
      <c r="K33" s="42" t="n">
        <f aca="false">+H29</f>
        <v>971309.6512</v>
      </c>
    </row>
    <row r="34" customFormat="false" ht="12.75" hidden="false" customHeight="false" outlineLevel="0" collapsed="false">
      <c r="I34" s="16"/>
      <c r="J34" s="16"/>
      <c r="K34" s="4"/>
    </row>
    <row r="35" customFormat="false" ht="12.75" hidden="false" customHeight="false" outlineLevel="0" collapsed="false">
      <c r="I35" s="16"/>
      <c r="J35" s="16"/>
      <c r="K35" s="4"/>
    </row>
    <row r="42" customFormat="false" ht="12.75" hidden="false" customHeight="false" outlineLevel="0" collapsed="false">
      <c r="C42" s="0" t="s">
        <v>44</v>
      </c>
      <c r="F42" s="0" t="n">
        <f aca="false">+(1-0.0129)</f>
        <v>0.9871</v>
      </c>
      <c r="G42" s="43" t="n">
        <f aca="false">+F10</f>
        <v>10664</v>
      </c>
    </row>
    <row r="43" customFormat="false" ht="12.75" hidden="false" customHeight="false" outlineLevel="0" collapsed="false">
      <c r="C43" s="0" t="s">
        <v>45</v>
      </c>
      <c r="G43" s="43" t="n">
        <f aca="false">+G44*1.05</f>
        <v>10500</v>
      </c>
    </row>
    <row r="44" customFormat="false" ht="12.75" hidden="false" customHeight="false" outlineLevel="0" collapsed="false">
      <c r="C44" s="0" t="s">
        <v>46</v>
      </c>
      <c r="G44" s="43" t="n">
        <v>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2000-12-08T18:16:59Z</dcterms:created>
  <dc:creator>Enron</dc:creator>
  <dc:description/>
  <dc:language>en-US</dc:language>
  <cp:lastModifiedBy>Enron</cp:lastModifiedBy>
  <cp:lastPrinted>2001-02-05T17:24:51Z</cp:lastPrinted>
  <cp:revision>0</cp:revision>
  <dc:subject/>
  <dc:title/>
</cp:coreProperties>
</file>