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comments7.xml" ContentType="application/vnd.openxmlformats-officedocument.spreadsheetml.comment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8.xml.rels" ContentType="application/vnd.openxmlformats-package.relationships+xml"/>
  <Override PartName="/xl/worksheets/_rels/sheet7.xml.rels" ContentType="application/vnd.openxmlformats-package.relationships+xml"/>
  <Override PartName="/xl/worksheets/_rels/sheet6.xml.rels" ContentType="application/vnd.openxmlformats-package.relationships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comments6.xml" ContentType="application/vnd.openxmlformats-officedocument.spreadsheetml.comments+xml"/>
  <Override PartName="/xl/sharedStrings.xml" ContentType="application/vnd.openxmlformats-officedocument.spreadsheetml.sharedStrings+xml"/>
  <Override PartName="/xl/drawings/vmlDrawing1.vml" ContentType="application/vnd.openxmlformats-officedocument.vmlDrawing"/>
  <Override PartName="/xl/drawings/vmlDrawing2.vml" ContentType="application/vnd.openxmlformats-officedocument.vmlDrawing"/>
  <Override PartName="/xl/drawings/vmlDrawing3.vml" ContentType="application/vnd.openxmlformats-officedocument.vmlDrawing"/>
  <Override PartName="/xl/comments8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4" activeTab="4"/>
  </bookViews>
  <sheets>
    <sheet name="Sheet2" sheetId="1" state="hidden" r:id="rId3"/>
    <sheet name="NA Mquip" sheetId="2" state="hidden" r:id="rId4"/>
    <sheet name="EECC" sheetId="3" state="hidden" r:id="rId5"/>
    <sheet name="To Update" sheetId="4" state="hidden" r:id="rId6"/>
    <sheet name="Summary" sheetId="5" state="visible" r:id="rId7"/>
    <sheet name="Brownsville" sheetId="6" state="visible" r:id="rId8"/>
    <sheet name="Caledonia" sheetId="7" state="visible" r:id="rId9"/>
    <sheet name="NewAlbany" sheetId="8" state="visible" r:id="rId10"/>
    <sheet name="Parts_Refurb $s" sheetId="9" state="hidden" r:id="rId11"/>
  </sheets>
  <externalReferences>
    <externalReference r:id="rId12"/>
  </externalReferences>
  <definedNames>
    <definedName function="false" hidden="false" localSheetId="5" name="_xlnm.Print_Area" vbProcedure="false">Brownsville!$A$1:$BA$211</definedName>
    <definedName function="false" hidden="false" localSheetId="5" name="_xlnm.Print_Titles" vbProcedure="false">Brownsville!$A:$B,Brownsville!$1:$7</definedName>
    <definedName function="false" hidden="false" localSheetId="6" name="_xlnm.Print_Area" vbProcedure="false">Caledonia!$A$1:$BA$212</definedName>
    <definedName function="false" hidden="false" localSheetId="6" name="_xlnm.Print_Titles" vbProcedure="false">Caledonia!$A:$B,Caledonia!$1:$7</definedName>
    <definedName function="false" hidden="false" localSheetId="7" name="_xlnm.Print_Area" vbProcedure="false">NewAlbany!$A$1:$BA$232</definedName>
    <definedName function="false" hidden="false" localSheetId="7" name="_xlnm.Print_Titles" vbProcedure="false">NewAlbany!$A:$B,NewAlbany!$1:$7</definedName>
    <definedName function="false" hidden="false" localSheetId="4" name="_xlnm.Print_Area" vbProcedure="false">Summary!$A$1:$Q$97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6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K141" authorId="0">
      <text>
        <r>
          <rPr>
            <b val="true"/>
            <sz val="8"/>
            <color rgb="FF000000"/>
            <rFont val="Tahoma"/>
            <family val="0"/>
          </rPr>
          <t xml:space="preserve">Stacey Aune:
</t>
        </r>
        <r>
          <rPr>
            <sz val="8"/>
            <color rgb="FF000000"/>
            <rFont val="Tahoma"/>
            <family val="0"/>
          </rPr>
          <t xml:space="preserve">New estimate 10/26/98 per MJ Glasscock
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40</xdr:col>
                <xdr:colOff>77</xdr:colOff>
                <xdr:row>163</xdr:row>
                <xdr:rowOff>0</xdr:rowOff>
              </xdr:from>
              <xdr:to>
                <xdr:col>42</xdr:col>
                <xdr:colOff>51</xdr:colOff>
                <xdr:row>168</xdr:row>
                <xdr:rowOff>16</xdr:rowOff>
              </xdr:to>
            </anchor>
          </commentPr>
        </mc:Choice>
        <mc:Fallback/>
      </mc:AlternateContent>
    </comment>
    <comment ref="K147" authorId="0">
      <text>
        <r>
          <rPr>
            <b val="true"/>
            <sz val="8"/>
            <color rgb="FF000000"/>
            <rFont val="Tahoma"/>
            <family val="0"/>
          </rPr>
          <t xml:space="preserve">tshepperd:
</t>
        </r>
        <r>
          <rPr>
            <sz val="8"/>
            <color rgb="FF000000"/>
            <rFont val="Tahoma"/>
            <family val="0"/>
          </rPr>
          <t xml:space="preserve">98 capital 7.5%
99 capital 7.0%
Off balance sheet in 99
Not based on current cash flow
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40</xdr:col>
                <xdr:colOff>77</xdr:colOff>
                <xdr:row>170</xdr:row>
                <xdr:rowOff>5</xdr:rowOff>
              </xdr:from>
              <xdr:to>
                <xdr:col>42</xdr:col>
                <xdr:colOff>51</xdr:colOff>
                <xdr:row>174</xdr:row>
                <xdr:rowOff>17</xdr:rowOff>
              </xdr:to>
            </anchor>
          </commentPr>
        </mc:Choice>
        <mc:Fallback/>
      </mc:AlternateContent>
    </comment>
    <comment ref="W123" authorId="0">
      <text>
        <r>
          <rPr>
            <b val="true"/>
            <sz val="12"/>
            <color rgb="FF000000"/>
            <rFont val="Tahoma"/>
            <family val="2"/>
          </rPr>
          <t xml:space="preserve">Stacey Aune:
</t>
        </r>
        <r>
          <rPr>
            <sz val="12"/>
            <color rgb="FF000000"/>
            <rFont val="Tahoma"/>
            <family val="2"/>
          </rPr>
          <t xml:space="preserve">Payment made to Layne Central . Invoiced by Neel-Schaffer
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51</xdr:col>
                <xdr:colOff>18</xdr:colOff>
                <xdr:row>113</xdr:row>
                <xdr:rowOff>7</xdr:rowOff>
              </xdr:from>
              <xdr:to>
                <xdr:col>54</xdr:col>
                <xdr:colOff>96</xdr:colOff>
                <xdr:row>125</xdr:row>
                <xdr:rowOff>12</xdr:rowOff>
              </xdr:to>
            </anchor>
          </commentPr>
        </mc:Choice>
        <mc:Fallback/>
      </mc:AlternateContent>
    </comment>
    <comment ref="Y123" authorId="0">
      <text>
        <r>
          <rPr>
            <b val="true"/>
            <sz val="8"/>
            <color rgb="FF000000"/>
            <rFont val="Tahoma"/>
            <family val="0"/>
          </rPr>
          <t xml:space="preserve">Stacey Aune:
</t>
        </r>
        <r>
          <rPr>
            <sz val="8"/>
            <color rgb="FF000000"/>
            <rFont val="Tahoma"/>
            <family val="0"/>
          </rPr>
          <t xml:space="preserve">Payment made to Layne Central . Invoiced by Neel-Schaffer
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52</xdr:col>
                <xdr:colOff>126</xdr:colOff>
                <xdr:row>121</xdr:row>
                <xdr:rowOff>7</xdr:rowOff>
              </xdr:from>
              <xdr:to>
                <xdr:col>54</xdr:col>
                <xdr:colOff>119</xdr:colOff>
                <xdr:row>125</xdr:row>
                <xdr:rowOff>12</xdr:rowOff>
              </xdr:to>
            </anchor>
          </commentPr>
        </mc:Choice>
        <mc:Fallback/>
      </mc:AlternateContent>
    </comment>
    <comment ref="AC191" authorId="0">
      <text>
        <r>
          <rPr>
            <b val="true"/>
            <sz val="8"/>
            <color rgb="FF000000"/>
            <rFont val="Tahoma"/>
            <family val="0"/>
          </rPr>
          <t xml:space="preserve">apearce:
</t>
        </r>
        <r>
          <rPr>
            <sz val="8"/>
            <color rgb="FF000000"/>
            <rFont val="Tahoma"/>
            <family val="0"/>
          </rPr>
          <t xml:space="preserve">includes $119K reclass from Faith Killen for project Cheetah erroneously booked to her RC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52</xdr:col>
                <xdr:colOff>126</xdr:colOff>
                <xdr:row>189</xdr:row>
                <xdr:rowOff>7</xdr:rowOff>
              </xdr:from>
              <xdr:to>
                <xdr:col>54</xdr:col>
                <xdr:colOff>119</xdr:colOff>
                <xdr:row>193</xdr:row>
                <xdr:rowOff>12</xdr:rowOff>
              </xdr:to>
            </anchor>
          </commentPr>
        </mc:Choice>
        <mc:Fallback/>
      </mc:AlternateContent>
    </comment>
    <comment ref="AU111" authorId="0">
      <text>
        <r>
          <rPr>
            <b val="true"/>
            <sz val="8"/>
            <color rgb="FF000000"/>
            <rFont val="Tahoma"/>
            <family val="0"/>
          </rPr>
          <t xml:space="preserve">apearce:
</t>
        </r>
        <r>
          <rPr>
            <sz val="12"/>
            <color rgb="FF000000"/>
            <rFont val="Tahoma"/>
            <family val="2"/>
          </rPr>
          <t xml:space="preserve">$250K / 3 projects for incr in O&amp;M manpower req's.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80</xdr:col>
                <xdr:colOff>48</xdr:colOff>
                <xdr:row>109</xdr:row>
                <xdr:rowOff>7</xdr:rowOff>
              </xdr:from>
              <xdr:to>
                <xdr:col>82</xdr:col>
                <xdr:colOff>56</xdr:colOff>
                <xdr:row>113</xdr:row>
                <xdr:rowOff>13</xdr:rowOff>
              </xdr:to>
            </anchor>
          </commentPr>
        </mc:Choice>
        <mc:Fallback/>
      </mc:AlternateContent>
    </comment>
    <comment ref="AW143" authorId="0">
      <text>
        <r>
          <rPr>
            <b val="true"/>
            <sz val="8"/>
            <color rgb="FF000000"/>
            <rFont val="Tahoma"/>
            <family val="0"/>
          </rPr>
          <t xml:space="preserve">apearce:
</t>
        </r>
        <r>
          <rPr>
            <sz val="8"/>
            <color rgb="FF000000"/>
            <rFont val="Tahoma"/>
            <family val="0"/>
          </rPr>
          <t xml:space="preserve">$22,049 plus possible trueup of $10K per David Marshall thru 7/15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74</xdr:col>
                <xdr:colOff>53</xdr:colOff>
                <xdr:row>141</xdr:row>
                <xdr:rowOff>7</xdr:rowOff>
              </xdr:from>
              <xdr:to>
                <xdr:col>75</xdr:col>
                <xdr:colOff>54</xdr:colOff>
                <xdr:row>145</xdr:row>
                <xdr:rowOff>12</xdr:rowOff>
              </xdr:to>
            </anchor>
          </commentPr>
        </mc:Choice>
        <mc:Fallback/>
      </mc:AlternateContent>
    </comment>
  </commentList>
</comments>
</file>

<file path=xl/comments7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K10" authorId="0">
      <text>
        <r>
          <rPr>
            <b val="true"/>
            <sz val="8"/>
            <color rgb="FF000000"/>
            <rFont val="Tahoma"/>
            <family val="0"/>
          </rPr>
          <t xml:space="preserve">Shelly May:
</t>
        </r>
        <r>
          <rPr>
            <sz val="8"/>
            <color rgb="FF000000"/>
            <rFont val="Tahoma"/>
            <family val="0"/>
          </rPr>
          <t xml:space="preserve">combined the original amount of $168,000 with a line labeled "Delete 64G2/21 Y funchtion" with a credit of $(7,200)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40</xdr:col>
                <xdr:colOff>148</xdr:colOff>
                <xdr:row>8</xdr:row>
                <xdr:rowOff>7</xdr:rowOff>
              </xdr:from>
              <xdr:to>
                <xdr:col>42</xdr:col>
                <xdr:colOff>104</xdr:colOff>
                <xdr:row>12</xdr:row>
                <xdr:rowOff>12</xdr:rowOff>
              </xdr:to>
            </anchor>
          </commentPr>
        </mc:Choice>
        <mc:Fallback/>
      </mc:AlternateContent>
    </comment>
    <comment ref="K150" authorId="0">
      <text>
        <r>
          <rPr>
            <b val="true"/>
            <sz val="8"/>
            <color rgb="FF000000"/>
            <rFont val="Tahoma"/>
            <family val="0"/>
          </rPr>
          <t xml:space="preserve">Stacey Aune:
</t>
        </r>
        <r>
          <rPr>
            <sz val="8"/>
            <color rgb="FF000000"/>
            <rFont val="Tahoma"/>
            <family val="0"/>
          </rPr>
          <t xml:space="preserve">New estimate per MJ Glasscock 10/26/98
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40</xdr:col>
                <xdr:colOff>113</xdr:colOff>
                <xdr:row>174</xdr:row>
                <xdr:rowOff>3</xdr:rowOff>
              </xdr:from>
              <xdr:to>
                <xdr:col>42</xdr:col>
                <xdr:colOff>69</xdr:colOff>
                <xdr:row>179</xdr:row>
                <xdr:rowOff>17</xdr:rowOff>
              </xdr:to>
            </anchor>
          </commentPr>
        </mc:Choice>
        <mc:Fallback/>
      </mc:AlternateContent>
    </comment>
    <comment ref="K156" authorId="0">
      <text>
        <r>
          <rPr>
            <b val="true"/>
            <sz val="8"/>
            <color rgb="FF000000"/>
            <rFont val="Tahoma"/>
            <family val="0"/>
          </rPr>
          <t xml:space="preserve">tshepperd:
</t>
        </r>
        <r>
          <rPr>
            <sz val="8"/>
            <color rgb="FF000000"/>
            <rFont val="Tahoma"/>
            <family val="0"/>
          </rPr>
          <t xml:space="preserve">98 capital 7.5%
99 capital 7.0%
Off balance sheet in 99
Not based on current cash flows
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40</xdr:col>
                <xdr:colOff>113</xdr:colOff>
                <xdr:row>181</xdr:row>
                <xdr:rowOff>13</xdr:rowOff>
              </xdr:from>
              <xdr:to>
                <xdr:col>42</xdr:col>
                <xdr:colOff>69</xdr:colOff>
                <xdr:row>187</xdr:row>
                <xdr:rowOff>3</xdr:rowOff>
              </xdr:to>
            </anchor>
          </commentPr>
        </mc:Choice>
        <mc:Fallback/>
      </mc:AlternateContent>
    </comment>
    <comment ref="K192" authorId="0">
      <text>
        <r>
          <rPr>
            <b val="true"/>
            <sz val="8"/>
            <color rgb="FF000000"/>
            <rFont val="Tahoma"/>
            <family val="0"/>
          </rPr>
          <t xml:space="preserve">tshepperd:
</t>
        </r>
        <r>
          <rPr>
            <sz val="8"/>
            <color rgb="FF000000"/>
            <rFont val="Tahoma"/>
            <family val="0"/>
          </rPr>
          <t xml:space="preserve">This should probably be reduced to $350,000 based on original model and conversation with Ed Hearn
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40</xdr:col>
                <xdr:colOff>113</xdr:colOff>
                <xdr:row>224</xdr:row>
                <xdr:rowOff>3</xdr:rowOff>
              </xdr:from>
              <xdr:to>
                <xdr:col>42</xdr:col>
                <xdr:colOff>71</xdr:colOff>
                <xdr:row>225</xdr:row>
                <xdr:rowOff>-1</xdr:rowOff>
              </xdr:to>
            </anchor>
          </commentPr>
        </mc:Choice>
        <mc:Fallback/>
      </mc:AlternateContent>
    </comment>
    <comment ref="AC191" authorId="0">
      <text>
        <r>
          <rPr>
            <b val="true"/>
            <sz val="8"/>
            <color rgb="FF000000"/>
            <rFont val="Tahoma"/>
            <family val="0"/>
          </rPr>
          <t xml:space="preserve">apearce:
</t>
        </r>
        <r>
          <rPr>
            <sz val="8"/>
            <color rgb="FF000000"/>
            <rFont val="Tahoma"/>
            <family val="0"/>
          </rPr>
          <t xml:space="preserve">includes $119K reclassed by Faith Killen for Project Cheetah costs erroneously booked to her RC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48</xdr:col>
                <xdr:colOff>98</xdr:colOff>
                <xdr:row>189</xdr:row>
                <xdr:rowOff>7</xdr:rowOff>
              </xdr:from>
              <xdr:to>
                <xdr:col>50</xdr:col>
                <xdr:colOff>41</xdr:colOff>
                <xdr:row>193</xdr:row>
                <xdr:rowOff>12</xdr:rowOff>
              </xdr:to>
            </anchor>
          </commentPr>
        </mc:Choice>
        <mc:Fallback/>
      </mc:AlternateContent>
    </comment>
    <comment ref="AE23" authorId="0">
      <text>
        <r>
          <rPr>
            <b val="true"/>
            <sz val="8"/>
            <color rgb="FF000000"/>
            <rFont val="Tahoma"/>
            <family val="0"/>
          </rPr>
          <t xml:space="preserve">apearce:
</t>
        </r>
        <r>
          <rPr>
            <sz val="10"/>
            <color rgb="FF000000"/>
            <rFont val="Tahoma"/>
            <family val="2"/>
          </rPr>
          <t xml:space="preserve">Includes a reclass from 7/98 for $953K.  Cal's piece is $238K plus Fulton's piece of $314K.
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50</xdr:col>
                <xdr:colOff>41</xdr:colOff>
                <xdr:row>21</xdr:row>
                <xdr:rowOff>7</xdr:rowOff>
              </xdr:from>
              <xdr:to>
                <xdr:col>52</xdr:col>
                <xdr:colOff>105</xdr:colOff>
                <xdr:row>25</xdr:row>
                <xdr:rowOff>12</xdr:rowOff>
              </xdr:to>
            </anchor>
          </commentPr>
        </mc:Choice>
        <mc:Fallback/>
      </mc:AlternateContent>
    </comment>
    <comment ref="AU121" authorId="0">
      <text>
        <r>
          <rPr>
            <b val="true"/>
            <sz val="8"/>
            <color rgb="FF000000"/>
            <rFont val="Tahoma"/>
            <family val="0"/>
          </rPr>
          <t xml:space="preserve">apearce:
</t>
        </r>
        <r>
          <rPr>
            <sz val="12"/>
            <color rgb="FF000000"/>
            <rFont val="Tahoma"/>
            <family val="2"/>
          </rPr>
          <t xml:space="preserve">includes $250K / 3 plants of addl' manpower req's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81</xdr:col>
                <xdr:colOff>65</xdr:colOff>
                <xdr:row>119</xdr:row>
                <xdr:rowOff>7</xdr:rowOff>
              </xdr:from>
              <xdr:to>
                <xdr:col>84</xdr:col>
                <xdr:colOff>2</xdr:colOff>
                <xdr:row>123</xdr:row>
                <xdr:rowOff>12</xdr:rowOff>
              </xdr:to>
            </anchor>
          </commentPr>
        </mc:Choice>
        <mc:Fallback/>
      </mc:AlternateContent>
    </comment>
    <comment ref="AU152" authorId="0">
      <text>
        <r>
          <rPr>
            <b val="true"/>
            <sz val="8"/>
            <color rgb="FF000000"/>
            <rFont val="Tahoma"/>
            <family val="0"/>
          </rPr>
          <t xml:space="preserve">apearce:
</t>
        </r>
        <r>
          <rPr>
            <sz val="8"/>
            <color rgb="FF000000"/>
            <rFont val="Tahoma"/>
            <family val="0"/>
          </rPr>
          <t xml:space="preserve">$57,950 per David Marshall thru 7/15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74</xdr:col>
                <xdr:colOff>62</xdr:colOff>
                <xdr:row>150</xdr:row>
                <xdr:rowOff>7</xdr:rowOff>
              </xdr:from>
              <xdr:to>
                <xdr:col>77</xdr:col>
                <xdr:colOff>53</xdr:colOff>
                <xdr:row>154</xdr:row>
                <xdr:rowOff>12</xdr:rowOff>
              </xdr:to>
            </anchor>
          </commentPr>
        </mc:Choice>
        <mc:Fallback/>
      </mc:AlternateContent>
    </comment>
  </commentList>
</comments>
</file>

<file path=xl/comments8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K174" authorId="0">
      <text>
        <r>
          <rPr>
            <b val="true"/>
            <sz val="8"/>
            <color rgb="FF000000"/>
            <rFont val="Tahoma"/>
            <family val="0"/>
          </rPr>
          <t xml:space="preserve">tshepperd:
</t>
        </r>
        <r>
          <rPr>
            <sz val="8"/>
            <color rgb="FF000000"/>
            <rFont val="Tahoma"/>
            <family val="0"/>
          </rPr>
          <t xml:space="preserve">98 capital 7.5%
99 capital 7.0%
Not based on current cash flows
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42</xdr:col>
                <xdr:colOff>76</xdr:colOff>
                <xdr:row>197</xdr:row>
                <xdr:rowOff>7</xdr:rowOff>
              </xdr:from>
              <xdr:to>
                <xdr:col>43</xdr:col>
                <xdr:colOff>-59</xdr:colOff>
                <xdr:row>205</xdr:row>
                <xdr:rowOff>12</xdr:rowOff>
              </xdr:to>
            </anchor>
          </commentPr>
        </mc:Choice>
        <mc:Fallback/>
      </mc:AlternateContent>
    </comment>
    <comment ref="K214" authorId="0">
      <text>
        <r>
          <rPr>
            <b val="true"/>
            <sz val="8"/>
            <color rgb="FF000000"/>
            <rFont val="Tahoma"/>
            <family val="0"/>
          </rPr>
          <t xml:space="preserve">tshepperd:
</t>
        </r>
        <r>
          <rPr>
            <sz val="8"/>
            <color rgb="FF000000"/>
            <rFont val="Tahoma"/>
            <family val="0"/>
          </rPr>
          <t xml:space="preserve">This should probably be around $350,000 based on original Model and conversation with Ed Hearn
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42</xdr:col>
                <xdr:colOff>76</xdr:colOff>
                <xdr:row>244</xdr:row>
                <xdr:rowOff>12</xdr:rowOff>
              </xdr:from>
              <xdr:to>
                <xdr:col>43</xdr:col>
                <xdr:colOff>-63</xdr:colOff>
                <xdr:row>247</xdr:row>
                <xdr:rowOff>7</xdr:rowOff>
              </xdr:to>
            </anchor>
          </commentPr>
        </mc:Choice>
        <mc:Fallback/>
      </mc:AlternateContent>
    </comment>
    <comment ref="U22" authorId="0">
      <text>
        <r>
          <rPr>
            <b val="true"/>
            <sz val="11"/>
            <color rgb="FF000000"/>
            <rFont val="Tahoma"/>
            <family val="2"/>
          </rPr>
          <t xml:space="preserve">Stacey Aune:
</t>
        </r>
        <r>
          <rPr>
            <sz val="11"/>
            <color rgb="FF000000"/>
            <rFont val="Tahoma"/>
            <family val="2"/>
          </rPr>
          <t xml:space="preserve">Amount represents freight costs for four turbines of which 25% stays on New Albany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48</xdr:col>
                <xdr:colOff>161</xdr:colOff>
                <xdr:row>20</xdr:row>
                <xdr:rowOff>7</xdr:rowOff>
              </xdr:from>
              <xdr:to>
                <xdr:col>50</xdr:col>
                <xdr:colOff>150</xdr:colOff>
                <xdr:row>28</xdr:row>
                <xdr:rowOff>3</xdr:rowOff>
              </xdr:to>
            </anchor>
          </commentPr>
        </mc:Choice>
        <mc:Fallback/>
      </mc:AlternateContent>
    </comment>
    <comment ref="Y16" authorId="0">
      <text>
        <r>
          <rPr>
            <b val="true"/>
            <sz val="11"/>
            <color rgb="FF000000"/>
            <rFont val="Tahoma"/>
            <family val="2"/>
          </rPr>
          <t xml:space="preserve">Shelly May:
</t>
        </r>
        <r>
          <rPr>
            <sz val="11"/>
            <color rgb="FF000000"/>
            <rFont val="Tahoma"/>
            <family val="2"/>
          </rPr>
          <t xml:space="preserve">includes $110,166 to American Navigation for moving #1&amp;2 from Pens to NA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50</xdr:col>
                <xdr:colOff>102</xdr:colOff>
                <xdr:row>14</xdr:row>
                <xdr:rowOff>7</xdr:rowOff>
              </xdr:from>
              <xdr:to>
                <xdr:col>58</xdr:col>
                <xdr:colOff>0</xdr:colOff>
                <xdr:row>20</xdr:row>
                <xdr:rowOff>2</xdr:rowOff>
              </xdr:to>
            </anchor>
          </commentPr>
        </mc:Choice>
        <mc:Fallback/>
      </mc:AlternateContent>
    </comment>
    <comment ref="Y22" authorId="0">
      <text>
        <r>
          <rPr>
            <b val="true"/>
            <sz val="11"/>
            <color rgb="FF000000"/>
            <rFont val="Tahoma"/>
            <family val="2"/>
          </rPr>
          <t xml:space="preserve">Shelly May:
</t>
        </r>
        <r>
          <rPr>
            <sz val="11"/>
            <color rgb="FF000000"/>
            <rFont val="Tahoma"/>
            <family val="2"/>
          </rPr>
          <t xml:space="preserve">includes $536,221 to Intermarine for moving #5&amp;6 from Masan to Pens; I unit here and 1 unit to Walton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50</xdr:col>
                <xdr:colOff>102</xdr:colOff>
                <xdr:row>20</xdr:row>
                <xdr:rowOff>7</xdr:rowOff>
              </xdr:from>
              <xdr:to>
                <xdr:col>58</xdr:col>
                <xdr:colOff>31</xdr:colOff>
                <xdr:row>27</xdr:row>
                <xdr:rowOff>13</xdr:rowOff>
              </xdr:to>
            </anchor>
          </commentPr>
        </mc:Choice>
        <mc:Fallback/>
      </mc:AlternateContent>
    </comment>
    <comment ref="Y24" authorId="0">
      <text>
        <r>
          <rPr>
            <b val="true"/>
            <sz val="8"/>
            <color rgb="FF000000"/>
            <rFont val="Tahoma"/>
            <family val="0"/>
          </rPr>
          <t xml:space="preserve">Shelly May:
</t>
        </r>
        <r>
          <rPr>
            <sz val="8"/>
            <color rgb="FF000000"/>
            <rFont val="Tahoma"/>
            <family val="0"/>
          </rPr>
          <t xml:space="preserve">incl $(113)k for scrap sale of BOP from Korea and $593 refurb contr scope change + 10% IBC fee ($652k)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50</xdr:col>
                <xdr:colOff>102</xdr:colOff>
                <xdr:row>22</xdr:row>
                <xdr:rowOff>7</xdr:rowOff>
              </xdr:from>
              <xdr:to>
                <xdr:col>51</xdr:col>
                <xdr:colOff>-52</xdr:colOff>
                <xdr:row>26</xdr:row>
                <xdr:rowOff>12</xdr:rowOff>
              </xdr:to>
            </anchor>
          </commentPr>
        </mc:Choice>
        <mc:Fallback/>
      </mc:AlternateContent>
    </comment>
    <comment ref="AC24" authorId="0">
      <text>
        <r>
          <rPr>
            <b val="true"/>
            <sz val="8"/>
            <color rgb="FF000000"/>
            <rFont val="Tahoma"/>
            <family val="0"/>
          </rPr>
          <t xml:space="preserve">apearce:
</t>
        </r>
        <r>
          <rPr>
            <sz val="12"/>
            <color rgb="FF000000"/>
            <rFont val="Tahoma"/>
            <family val="2"/>
          </rPr>
          <t xml:space="preserve">reclassed to Doyle project - DOW units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50</xdr:col>
                <xdr:colOff>5</xdr:colOff>
                <xdr:row>22</xdr:row>
                <xdr:rowOff>7</xdr:rowOff>
              </xdr:from>
              <xdr:to>
                <xdr:col>52</xdr:col>
                <xdr:colOff>86</xdr:colOff>
                <xdr:row>26</xdr:row>
                <xdr:rowOff>13</xdr:rowOff>
              </xdr:to>
            </anchor>
          </commentPr>
        </mc:Choice>
        <mc:Fallback/>
      </mc:AlternateContent>
    </comment>
    <comment ref="AC213" authorId="0">
      <text>
        <r>
          <rPr>
            <b val="true"/>
            <sz val="8"/>
            <color rgb="FF000000"/>
            <rFont val="Tahoma"/>
            <family val="0"/>
          </rPr>
          <t xml:space="preserve">apearce:
</t>
        </r>
        <r>
          <rPr>
            <sz val="10"/>
            <color rgb="FF000000"/>
            <rFont val="Tahoma"/>
            <family val="2"/>
          </rPr>
          <t xml:space="preserve">includes $119K reclassed by Faith Killen for Project Cheetah legal exps erroneously booked to her RC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50</xdr:col>
                <xdr:colOff>102</xdr:colOff>
                <xdr:row>211</xdr:row>
                <xdr:rowOff>7</xdr:rowOff>
              </xdr:from>
              <xdr:to>
                <xdr:col>51</xdr:col>
                <xdr:colOff>-52</xdr:colOff>
                <xdr:row>215</xdr:row>
                <xdr:rowOff>12</xdr:rowOff>
              </xdr:to>
            </anchor>
          </commentPr>
        </mc:Choice>
        <mc:Fallback/>
      </mc:AlternateContent>
    </comment>
    <comment ref="AI111" authorId="0">
      <text>
        <r>
          <rPr>
            <b val="true"/>
            <sz val="8"/>
            <color rgb="FF000000"/>
            <rFont val="Tahoma"/>
            <family val="0"/>
          </rPr>
          <t xml:space="preserve">apearce:
</t>
        </r>
        <r>
          <rPr>
            <sz val="8"/>
            <color rgb="FF000000"/>
            <rFont val="Tahoma"/>
            <family val="0"/>
          </rPr>
          <t xml:space="preserve">move $1282565 back down to contract labor on 8/24 report
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61</xdr:col>
                <xdr:colOff>11</xdr:colOff>
                <xdr:row>109</xdr:row>
                <xdr:rowOff>7</xdr:rowOff>
              </xdr:from>
              <xdr:to>
                <xdr:col>62</xdr:col>
                <xdr:colOff>-56</xdr:colOff>
                <xdr:row>113</xdr:row>
                <xdr:rowOff>12</xdr:rowOff>
              </xdr:to>
            </anchor>
          </commentPr>
        </mc:Choice>
        <mc:Fallback/>
      </mc:AlternateContent>
    </comment>
    <comment ref="AK30" authorId="0">
      <text>
        <r>
          <rPr>
            <b val="true"/>
            <sz val="8"/>
            <color rgb="FF000000"/>
            <rFont val="Tahoma"/>
            <family val="0"/>
          </rPr>
          <t xml:space="preserve">apearce:
</t>
        </r>
        <r>
          <rPr>
            <sz val="8"/>
            <color rgb="FF000000"/>
            <rFont val="Tahoma"/>
            <family val="0"/>
          </rPr>
          <t xml:space="preserve">Includes $52,451 for repair of transformer which caught on fire.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61</xdr:col>
                <xdr:colOff>11</xdr:colOff>
                <xdr:row>28</xdr:row>
                <xdr:rowOff>10</xdr:rowOff>
              </xdr:from>
              <xdr:to>
                <xdr:col>62</xdr:col>
                <xdr:colOff>-56</xdr:colOff>
                <xdr:row>32</xdr:row>
                <xdr:rowOff>15</xdr:rowOff>
              </xdr:to>
            </anchor>
          </commentPr>
        </mc:Choice>
        <mc:Fallback/>
      </mc:AlternateContent>
    </comment>
    <comment ref="AU145" authorId="0">
      <text>
        <r>
          <rPr>
            <b val="true"/>
            <sz val="8"/>
            <color rgb="FF000000"/>
            <rFont val="Tahoma"/>
            <family val="0"/>
          </rPr>
          <t xml:space="preserve">apearce:
</t>
        </r>
        <r>
          <rPr>
            <sz val="12"/>
            <color rgb="FF000000"/>
            <rFont val="Tahoma"/>
            <family val="2"/>
          </rPr>
          <t xml:space="preserve">includes 250K / 3 plants of add'l manpower req's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82</xdr:col>
                <xdr:colOff>39</xdr:colOff>
                <xdr:row>143</xdr:row>
                <xdr:rowOff>7</xdr:rowOff>
              </xdr:from>
              <xdr:to>
                <xdr:col>83</xdr:col>
                <xdr:colOff>-26</xdr:colOff>
                <xdr:row>147</xdr:row>
                <xdr:rowOff>12</xdr:rowOff>
              </xdr:to>
            </anchor>
          </commentPr>
        </mc:Choice>
        <mc:Fallback/>
      </mc:AlternateContent>
    </comment>
    <comment ref="AW170" authorId="0">
      <text>
        <r>
          <rPr>
            <b val="true"/>
            <sz val="12"/>
            <color rgb="FF000000"/>
            <rFont val="Tahoma"/>
            <family val="2"/>
          </rPr>
          <t xml:space="preserve">apearce:
</t>
        </r>
        <r>
          <rPr>
            <sz val="12"/>
            <color rgb="FF000000"/>
            <rFont val="Tahoma"/>
            <family val="2"/>
          </rPr>
          <t xml:space="preserve">per david marshall, $82,918 plus possible trueup of $20K thru 8/31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82</xdr:col>
                <xdr:colOff>39</xdr:colOff>
                <xdr:row>168</xdr:row>
                <xdr:rowOff>7</xdr:rowOff>
              </xdr:from>
              <xdr:to>
                <xdr:col>85</xdr:col>
                <xdr:colOff>10</xdr:colOff>
                <xdr:row>174</xdr:row>
                <xdr:rowOff>13</xdr:rowOff>
              </xdr:to>
            </anchor>
          </commentPr>
        </mc:Choice>
        <mc:Fallback/>
      </mc:AlternateContent>
    </comment>
    <comment ref="BC24" authorId="0">
      <text>
        <r>
          <rPr>
            <b val="true"/>
            <sz val="8"/>
            <color rgb="FF000000"/>
            <rFont val="Tahoma"/>
            <family val="0"/>
          </rPr>
          <t xml:space="preserve">apearce:
</t>
        </r>
        <r>
          <rPr>
            <sz val="12"/>
            <color rgb="FF000000"/>
            <rFont val="Tahoma"/>
            <family val="2"/>
          </rPr>
          <t xml:space="preserve">reclassed to Doyle project - DOW units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92</xdr:col>
                <xdr:colOff>32</xdr:colOff>
                <xdr:row>22</xdr:row>
                <xdr:rowOff>7</xdr:rowOff>
              </xdr:from>
              <xdr:to>
                <xdr:col>96</xdr:col>
                <xdr:colOff>36</xdr:colOff>
                <xdr:row>26</xdr:row>
                <xdr:rowOff>13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<sst xmlns="http://schemas.openxmlformats.org/spreadsheetml/2006/main" count="1555" uniqueCount="552">
  <si>
    <t xml:space="preserve">TVA Peaking Plant </t>
  </si>
  <si>
    <t xml:space="preserve">Issues/Savings</t>
  </si>
  <si>
    <t xml:space="preserve">Issue</t>
  </si>
  <si>
    <t xml:space="preserve">EECC increased current estimate</t>
  </si>
  <si>
    <t xml:space="preserve">Fuel cost during start up not included</t>
  </si>
  <si>
    <t xml:space="preserve">Tax Handling Fee to LLC for arms length transaction .25% not included in plan</t>
  </si>
  <si>
    <t xml:space="preserve">Savings Recognized</t>
  </si>
  <si>
    <t xml:space="preserve">New Albany</t>
  </si>
  <si>
    <t xml:space="preserve">Caledonia</t>
  </si>
  <si>
    <t xml:space="preserve">Brownsville</t>
  </si>
  <si>
    <t xml:space="preserve">Total</t>
  </si>
  <si>
    <t xml:space="preserve">Decrease Environmental permitting</t>
  </si>
  <si>
    <t xml:space="preserve">Decrease Legal expense </t>
  </si>
  <si>
    <t xml:space="preserve">Decrease Development</t>
  </si>
  <si>
    <t xml:space="preserve">Total Savings</t>
  </si>
  <si>
    <t xml:space="preserve">Major Equipment Detail</t>
  </si>
  <si>
    <t xml:space="preserve">Refurbishment with DLN Units 1-6</t>
  </si>
  <si>
    <t xml:space="preserve">(includes commission)</t>
  </si>
  <si>
    <t xml:space="preserve">Spare Parts</t>
  </si>
  <si>
    <t xml:space="preserve">Dow Unit</t>
  </si>
  <si>
    <t xml:space="preserve">Purchase &amp; spares</t>
  </si>
  <si>
    <t xml:space="preserve">Dissassembly</t>
  </si>
  <si>
    <t xml:space="preserve">Commission 10%</t>
  </si>
  <si>
    <t xml:space="preserve">4 Kepco Units (original)</t>
  </si>
  <si>
    <t xml:space="preserve">Purchase</t>
  </si>
  <si>
    <t xml:space="preserve">Commission IBC(10%)</t>
  </si>
  <si>
    <t xml:space="preserve">Commission Natole</t>
  </si>
  <si>
    <t xml:space="preserve">Less Steam Turbine</t>
  </si>
  <si>
    <t xml:space="preserve">Allocate to 2000</t>
  </si>
  <si>
    <t xml:space="preserve">Disassemble &amp; move to Kunsan Port</t>
  </si>
  <si>
    <t xml:space="preserve">Freight Reimbursement to IBC</t>
  </si>
  <si>
    <t xml:space="preserve">Commission (7%)</t>
  </si>
  <si>
    <t xml:space="preserve">1 Kepco Unit (new set)</t>
  </si>
  <si>
    <t xml:space="preserve">1 of 4 Purchase price</t>
  </si>
  <si>
    <t xml:space="preserve">Disassembly &amp; shipping</t>
  </si>
  <si>
    <t xml:space="preserve">Commission</t>
  </si>
  <si>
    <t xml:space="preserve">Unidentified</t>
  </si>
  <si>
    <t xml:space="preserve">Spare parts to be reconciled per Miller</t>
  </si>
  <si>
    <t xml:space="preserve">Total IBC items</t>
  </si>
  <si>
    <t xml:space="preserve">Transformers etc</t>
  </si>
  <si>
    <t xml:space="preserve">Grand Total Major Equipment</t>
  </si>
  <si>
    <t xml:space="preserve">EECC RECONCILIATION</t>
  </si>
  <si>
    <t xml:space="preserve">Control </t>
  </si>
  <si>
    <t xml:space="preserve">Current</t>
  </si>
  <si>
    <t xml:space="preserve">Budget</t>
  </si>
  <si>
    <t xml:space="preserve">Estimate</t>
  </si>
  <si>
    <t xml:space="preserve">Net Increase</t>
  </si>
  <si>
    <t xml:space="preserve">Fulton</t>
  </si>
  <si>
    <t xml:space="preserve">a</t>
  </si>
  <si>
    <t xml:space="preserve">a)  Sunk Cost</t>
  </si>
  <si>
    <t xml:space="preserve">To Update:</t>
  </si>
  <si>
    <t xml:space="preserve">Save file as new name</t>
  </si>
  <si>
    <t xml:space="preserve">Go to Summary tab</t>
  </si>
  <si>
    <t xml:space="preserve">in cell "O3" drop in date of Project Tracking report used as backup</t>
  </si>
  <si>
    <t xml:space="preserve">Go to LLC tab</t>
  </si>
  <si>
    <t xml:space="preserve">unhide all columns</t>
  </si>
  <si>
    <t xml:space="preserve">update actuals for applicable month</t>
  </si>
  <si>
    <t xml:space="preserve">check totals</t>
  </si>
  <si>
    <t xml:space="preserve">tie budget and current estimate to report from week before</t>
  </si>
  <si>
    <t xml:space="preserve">make sure that sum of Actuals to Date Total Project + Estimate to Complete + variance = Current Estimate amount</t>
  </si>
  <si>
    <t xml:space="preserve">update variance explanations to current estimate</t>
  </si>
  <si>
    <t xml:space="preserve">ENRON CAPITAL &amp; TRADE RESOURCES</t>
  </si>
  <si>
    <t xml:space="preserve">1999 TVA PEAKING PLANTS</t>
  </si>
  <si>
    <t xml:space="preserve">Report Date:</t>
  </si>
  <si>
    <t xml:space="preserve">COST SUMMARY ($ thousands)</t>
  </si>
  <si>
    <t xml:space="preserve">Expenditures to date:</t>
  </si>
  <si>
    <t xml:space="preserve">as of 12/10/99</t>
  </si>
  <si>
    <t xml:space="preserve">Revision # 56</t>
  </si>
  <si>
    <t xml:space="preserve">Actuals</t>
  </si>
  <si>
    <t xml:space="preserve">Current Estimate</t>
  </si>
  <si>
    <t xml:space="preserve">Actuals to Date</t>
  </si>
  <si>
    <t xml:space="preserve">Estimate to Complete</t>
  </si>
  <si>
    <t xml:space="preserve">Total to Complete</t>
  </si>
  <si>
    <t xml:space="preserve">Variance</t>
  </si>
  <si>
    <t xml:space="preserve">%</t>
  </si>
  <si>
    <t xml:space="preserve">Project</t>
  </si>
  <si>
    <t xml:space="preserve">MW</t>
  </si>
  <si>
    <t xml:space="preserve">from CE</t>
  </si>
  <si>
    <t xml:space="preserve">Complete</t>
  </si>
  <si>
    <t xml:space="preserve">BROWNSVILLE, TN</t>
  </si>
  <si>
    <t xml:space="preserve">CALEDONIA, MS</t>
  </si>
  <si>
    <t xml:space="preserve">NEW ALBANY,MS</t>
  </si>
  <si>
    <t xml:space="preserve">  </t>
  </si>
  <si>
    <t xml:space="preserve">Less: Depreciation</t>
  </si>
  <si>
    <t xml:space="preserve">-</t>
  </si>
  <si>
    <t xml:space="preserve">         (thru 11/99)</t>
  </si>
  <si>
    <t xml:space="preserve">TOTAL PROGRAM</t>
  </si>
  <si>
    <t xml:space="preserve">Target $$/MW</t>
  </si>
  <si>
    <t xml:space="preserve">(without Debt Res)</t>
  </si>
  <si>
    <t xml:space="preserve">Changes to Current Estimate Explanations</t>
  </si>
  <si>
    <t xml:space="preserve">All Plants</t>
  </si>
  <si>
    <t xml:space="preserve">11/10</t>
  </si>
  <si>
    <t xml:space="preserve">Decrease costs due to reduced interest expectation and reduced financing fees.</t>
  </si>
  <si>
    <t xml:space="preserve">11/16</t>
  </si>
  <si>
    <t xml:space="preserve">Decrease costs due to reduced spare part expense.</t>
  </si>
  <si>
    <t xml:space="preserve">Increased costs related to increased O&amp;M/Startup costs</t>
  </si>
  <si>
    <t xml:space="preserve">12/09</t>
  </si>
  <si>
    <t xml:space="preserve">Recognition of Switchyard increase (NEPCO)</t>
  </si>
  <si>
    <t xml:space="preserve">1/26</t>
  </si>
  <si>
    <t xml:space="preserve">Decrease estimated Interest Charges for Interest Rate Swap (7.5% Cap Chg vs. 5.75% swap)</t>
  </si>
  <si>
    <t xml:space="preserve">Increase for Startup fuel not in original Budget</t>
  </si>
  <si>
    <t xml:space="preserve">Increased Insurance costs to carry additional 30-60 days of Builder's Risk insurance.</t>
  </si>
  <si>
    <t xml:space="preserve">Weekly Beginning</t>
  </si>
  <si>
    <t xml:space="preserve">3/30</t>
  </si>
  <si>
    <t xml:space="preserve">Updated IDC, commitment fee and swap gain / (loss) based on actual draws to date and current interest rates.</t>
  </si>
  <si>
    <t xml:space="preserve">Increased cost related to $7.5 MM for DLN equipment</t>
  </si>
  <si>
    <t xml:space="preserve">2/2</t>
  </si>
  <si>
    <t xml:space="preserve">Final approved New Albany NEPCO/EECC budget presented in 1/99 (excludes turbine switch)-incr of $483k</t>
  </si>
  <si>
    <t xml:space="preserve">Remove cost associated with dedicated train</t>
  </si>
  <si>
    <t xml:space="preserve">Current Estimate vs Actual Variance Explanations (000s)</t>
  </si>
  <si>
    <t xml:space="preserve">Brownsville:</t>
  </si>
  <si>
    <t xml:space="preserve">Major Equipment variance (include change orders and circuit breaker installation)</t>
  </si>
  <si>
    <t xml:space="preserve">EECC Program Management</t>
  </si>
  <si>
    <t xml:space="preserve">NEPCO (primarily major mechanical, Above and Underground Electrical, and Startup, Training, Manauals)</t>
  </si>
  <si>
    <t xml:space="preserve">Increased EI Startup primarily for augmenting O&amp;M staffing during the startup and commissioning due to the compressed commissioning </t>
  </si>
  <si>
    <t xml:space="preserve">  and turnover schedule.</t>
  </si>
  <si>
    <t xml:space="preserve">ECT development / land acquisition / permitting cost overages</t>
  </si>
  <si>
    <t xml:space="preserve">Electrical Interconnection</t>
  </si>
  <si>
    <t xml:space="preserve">Interest credit on unused cash</t>
  </si>
  <si>
    <t xml:space="preserve">Financing fees more than expected-ECT</t>
  </si>
  <si>
    <t xml:space="preserve">Startup fuel</t>
  </si>
  <si>
    <t xml:space="preserve">Insurance during construction</t>
  </si>
  <si>
    <t xml:space="preserve">Commitment fee (trueup to actuals)</t>
  </si>
  <si>
    <t xml:space="preserve">NEPCO Interest Charges</t>
  </si>
  <si>
    <t xml:space="preserve">Caledonia:</t>
  </si>
  <si>
    <t xml:space="preserve">Major Equipment (progress pymts to ABB for transformers and circuit breakers, change orders and circuit breaker installation)</t>
  </si>
  <si>
    <t xml:space="preserve">Construction variance-NEPCO (primarily major mechanical, startup, training, manuals, above and below ground electrical)</t>
  </si>
  <si>
    <t xml:space="preserve">ECT development / land acquisition / permitting cost overages / legal / insurance</t>
  </si>
  <si>
    <t xml:space="preserve">Electrical interconnection</t>
  </si>
  <si>
    <t xml:space="preserve">Sales tax savings </t>
  </si>
  <si>
    <t xml:space="preserve">New Albany:</t>
  </si>
  <si>
    <t xml:space="preserve">Dow 7B removal/shipping cost savings</t>
  </si>
  <si>
    <t xml:space="preserve">Major equipment variance (incl change orders and circuit breaker installation &amp; transformer repair)</t>
  </si>
  <si>
    <t xml:space="preserve">Cost overrun on Korean (Kunsan) units deconstruction/move/transport</t>
  </si>
  <si>
    <t xml:space="preserve">(incl cost of moving #1-4 from Korea to Pensacola and #1-6 from Pensacola to New Albany)</t>
  </si>
  <si>
    <t xml:space="preserve">Circuit Breakers - movement of actuals from transformers</t>
  </si>
  <si>
    <t xml:space="preserve">KEPCO Youngwol units (incl cost of trans one unit from Korea to Pensacola)</t>
  </si>
  <si>
    <t xml:space="preserve">Overrun on Refurbishment of KEPCO units (estimated costs NOT FINAL)</t>
  </si>
  <si>
    <t xml:space="preserve">Cost overrun on Spare Parts</t>
  </si>
  <si>
    <t xml:space="preserve">Estimated overrun on EECC Program Mgmt. based on EECC's revised budget captions</t>
  </si>
  <si>
    <t xml:space="preserve">NEPCO - (primarily construction - maj. mech. equip, above ground electrical, TTS Scope)</t>
  </si>
  <si>
    <t xml:space="preserve">ECT development / land acquisition / permitting cost overages / insurance</t>
  </si>
  <si>
    <t xml:space="preserve">Financing fees more than expected</t>
  </si>
  <si>
    <t xml:space="preserve">NOTE:  </t>
  </si>
  <si>
    <r>
      <rPr>
        <sz val="10"/>
        <rFont val="Arial"/>
        <family val="2"/>
      </rPr>
      <t xml:space="preserve">This summary includes updates reported in the</t>
    </r>
    <r>
      <rPr>
        <b val="true"/>
        <sz val="10"/>
        <rFont val="Arial"/>
        <family val="2"/>
      </rPr>
      <t xml:space="preserve"> September </t>
    </r>
    <r>
      <rPr>
        <sz val="10"/>
        <rFont val="Arial"/>
        <family val="2"/>
      </rPr>
      <t xml:space="preserve">Detailed Cost Status Report received from EE&amp;CC.</t>
    </r>
  </si>
  <si>
    <t xml:space="preserve">BROWNSVILLE  (458 MW)</t>
  </si>
  <si>
    <t xml:space="preserve">Anticipated</t>
  </si>
  <si>
    <t xml:space="preserve">ECT</t>
  </si>
  <si>
    <t xml:space="preserve">(Mo-to-date)</t>
  </si>
  <si>
    <t xml:space="preserve">Increase /</t>
  </si>
  <si>
    <t xml:space="preserve">ESTIMATE</t>
  </si>
  <si>
    <t xml:space="preserve">TOTAL</t>
  </si>
  <si>
    <t xml:space="preserve">Responsibility</t>
  </si>
  <si>
    <t xml:space="preserve">Enron Contact</t>
  </si>
  <si>
    <t xml:space="preserve">Certainty</t>
  </si>
  <si>
    <t xml:space="preserve">CONTROL BUDGET</t>
  </si>
  <si>
    <t xml:space="preserve">Increase/(Savings)</t>
  </si>
  <si>
    <t xml:space="preserve">CURRENT ESTIMATE</t>
  </si>
  <si>
    <t xml:space="preserve">12/21-12/31/98</t>
  </si>
  <si>
    <t xml:space="preserve">Total Project</t>
  </si>
  <si>
    <t xml:space="preserve">(Savings)</t>
  </si>
  <si>
    <t xml:space="preserve">TO COMPLETE</t>
  </si>
  <si>
    <t xml:space="preserve">PROJECT</t>
  </si>
  <si>
    <t xml:space="preserve">VARIANCE</t>
  </si>
  <si>
    <t xml:space="preserve">Comments</t>
  </si>
  <si>
    <t xml:space="preserve">as of 10/1/99</t>
  </si>
  <si>
    <t xml:space="preserve">MAJOR EQUIPMENT</t>
  </si>
  <si>
    <t xml:space="preserve">TURBINE UNITS - 5D'S (4ea)</t>
  </si>
  <si>
    <t xml:space="preserve">WH</t>
  </si>
  <si>
    <t xml:space="preserve">MM</t>
  </si>
  <si>
    <t xml:space="preserve">Bob Emerson</t>
  </si>
  <si>
    <t xml:space="preserve">Vendor Quote</t>
  </si>
  <si>
    <t xml:space="preserve">TD OF 1</t>
  </si>
  <si>
    <t xml:space="preserve">SG</t>
  </si>
  <si>
    <t xml:space="preserve">estimate</t>
  </si>
  <si>
    <t xml:space="preserve">REDUNDANT DPU'S </t>
  </si>
  <si>
    <t xml:space="preserve">LADDERS &amp; PLATFORMS</t>
  </si>
  <si>
    <t xml:space="preserve">LIGHT KITS</t>
  </si>
  <si>
    <t xml:space="preserve">FUEL METERING</t>
  </si>
  <si>
    <t xml:space="preserve">WATT/VAR METERING</t>
  </si>
  <si>
    <t xml:space="preserve">CAPITAL SPARES</t>
  </si>
  <si>
    <t xml:space="preserve">85 dBa ATTENUATION</t>
  </si>
  <si>
    <t xml:space="preserve">TOTAL WH EQUIP</t>
  </si>
  <si>
    <t xml:space="preserve">POWER TRANSFORMERS</t>
  </si>
  <si>
    <t xml:space="preserve">ABB</t>
  </si>
  <si>
    <t xml:space="preserve">AUX TRANSFORMERS</t>
  </si>
  <si>
    <t xml:space="preserve">LOAD CENTER TRANSFORMERS</t>
  </si>
  <si>
    <t xml:space="preserve">CIRCUIT BREAKERS</t>
  </si>
  <si>
    <t xml:space="preserve">MISC CHANGE ORDERS</t>
  </si>
  <si>
    <t xml:space="preserve">INSTALLATION OF CIRCUIT BREAKERS</t>
  </si>
  <si>
    <t xml:space="preserve">TD OF I-ABB</t>
  </si>
  <si>
    <t xml:space="preserve">FREIGHT - TRANSFORMERS</t>
  </si>
  <si>
    <t xml:space="preserve">TRANSFORMER INSTALLATION</t>
  </si>
  <si>
    <t xml:space="preserve">OFF LOAD CIRCUIT BREAKERS</t>
  </si>
  <si>
    <t xml:space="preserve">MISC TVA REQUIREMENTS</t>
  </si>
  <si>
    <t xml:space="preserve">TOTAL ABB EQUIP</t>
  </si>
  <si>
    <t xml:space="preserve">TOTAL MAJOR EQUIPMENT</t>
  </si>
  <si>
    <t xml:space="preserve">EECC PROGRAM MGT</t>
  </si>
  <si>
    <t xml:space="preserve">HOME OFFICE</t>
  </si>
  <si>
    <t xml:space="preserve">EECC</t>
  </si>
  <si>
    <t xml:space="preserve">FIELD COORDINATION</t>
  </si>
  <si>
    <t xml:space="preserve">TVA INTERFACE COORDINATION</t>
  </si>
  <si>
    <t xml:space="preserve">EXPENSES</t>
  </si>
  <si>
    <t xml:space="preserve">DEVELOPMENT AND PERMIT SPPT</t>
  </si>
  <si>
    <t xml:space="preserve">TOTAL EECC PROGRAM MGT</t>
  </si>
  <si>
    <t xml:space="preserve">ENGINEERED BOP EQUIPMENT</t>
  </si>
  <si>
    <t xml:space="preserve">VALVES/PIPE SPECIALTIES</t>
  </si>
  <si>
    <t xml:space="preserve">NEPCO</t>
  </si>
  <si>
    <t xml:space="preserve">David Lundquist</t>
  </si>
  <si>
    <t xml:space="preserve">BUS DUCT</t>
  </si>
  <si>
    <t xml:space="preserve">DRY XMFERS &amp; PANEL</t>
  </si>
  <si>
    <t xml:space="preserve">5KV &amp; 480 V SWITCHGEAR &amp; MCCS</t>
  </si>
  <si>
    <t xml:space="preserve">15 KV SWITCHGEAR</t>
  </si>
  <si>
    <t xml:space="preserve">CONTROL PANEL/TERM BOXES</t>
  </si>
  <si>
    <t xml:space="preserve">HIGH VOLTAGE DEVICES</t>
  </si>
  <si>
    <t xml:space="preserve">DCS</t>
  </si>
  <si>
    <t xml:space="preserve">UPS SYSTEM</t>
  </si>
  <si>
    <t xml:space="preserve">DC SYSTEM</t>
  </si>
  <si>
    <t xml:space="preserve">FIELD MOUNTED INSTRUMENTS</t>
  </si>
  <si>
    <t xml:space="preserve">STACK MONITORING</t>
  </si>
  <si>
    <t xml:space="preserve">CONTROL VALVES</t>
  </si>
  <si>
    <t xml:space="preserve">OTSG (Once-through Steam Generator)</t>
  </si>
  <si>
    <t xml:space="preserve">PUMPS</t>
  </si>
  <si>
    <t xml:space="preserve">BRIDGE CRANE</t>
  </si>
  <si>
    <t xml:space="preserve">MINOR MECH EQUIP</t>
  </si>
  <si>
    <t xml:space="preserve">PRESSURE REDUCING STATIONS</t>
  </si>
  <si>
    <t xml:space="preserve">GAS FILTER</t>
  </si>
  <si>
    <t xml:space="preserve">Steam/WATER SEPARATOR</t>
  </si>
  <si>
    <t xml:space="preserve">FIELD/SHOP FAB VESSELS</t>
  </si>
  <si>
    <t xml:space="preserve">OIL/WATER SEPARATOR</t>
  </si>
  <si>
    <t xml:space="preserve">TOTAL ENGINEERED BOP EQUIP</t>
  </si>
  <si>
    <t xml:space="preserve">CONSTRUCTION</t>
  </si>
  <si>
    <t xml:space="preserve">SITE PREPARATION</t>
  </si>
  <si>
    <t xml:space="preserve">SITE IMPROVEMENTS</t>
  </si>
  <si>
    <t xml:space="preserve">UNDERGROUND ELECTRICAL (LAB &amp; MAT)</t>
  </si>
  <si>
    <t xml:space="preserve">UNDERGROUND PIPING (LAB &amp; MAT)</t>
  </si>
  <si>
    <t xml:space="preserve">CONCRETE</t>
  </si>
  <si>
    <t xml:space="preserve">GROUT &amp; SPECIAL COATINGS</t>
  </si>
  <si>
    <t xml:space="preserve">STRUCTURAL STEEL (LAB &amp; MAT)</t>
  </si>
  <si>
    <t xml:space="preserve">ARCHECTURAL</t>
  </si>
  <si>
    <t xml:space="preserve">SUBCONTRACT ERECTED BLDG'S</t>
  </si>
  <si>
    <t xml:space="preserve">ABOVE GROUND PIPING</t>
  </si>
  <si>
    <t xml:space="preserve">  MATERIAL</t>
  </si>
  <si>
    <t xml:space="preserve">  SUBCONTRACT</t>
  </si>
  <si>
    <t xml:space="preserve">  LABOR</t>
  </si>
  <si>
    <t xml:space="preserve">ABOVE GROUND ELECTRICAL</t>
  </si>
  <si>
    <t xml:space="preserve">INSTRUMENTATION</t>
  </si>
  <si>
    <t xml:space="preserve">INSULATION</t>
  </si>
  <si>
    <t xml:space="preserve">PAINTING</t>
  </si>
  <si>
    <t xml:space="preserve">OTSG'S</t>
  </si>
  <si>
    <t xml:space="preserve">MINOR MECHANICAL EQUIP</t>
  </si>
  <si>
    <t xml:space="preserve">Per Suzie G, put Backcharges &amp; Changeorders here</t>
  </si>
  <si>
    <t xml:space="preserve">SWITCHYARD</t>
  </si>
  <si>
    <t xml:space="preserve">Third Party</t>
  </si>
  <si>
    <t xml:space="preserve">TOTAL CONSTRUCTION</t>
  </si>
  <si>
    <t xml:space="preserve">INDIRECTS</t>
  </si>
  <si>
    <t xml:space="preserve">ENGINEERING DIRECT LABOR</t>
  </si>
  <si>
    <t xml:space="preserve">ENGINEERING CONTRACT LABOR</t>
  </si>
  <si>
    <t xml:space="preserve">EQUIPMENT RENTAL , FUEL SMALL TOOLS</t>
  </si>
  <si>
    <t xml:space="preserve">GENERAL PROVISIONS, OVERHEAD, IND CON LABOR</t>
  </si>
  <si>
    <t xml:space="preserve">STARTUP, TRAINING, MANUALS, CONTING, PRO ALLOW</t>
  </si>
  <si>
    <t xml:space="preserve">TOTAL INDIRECTS</t>
  </si>
  <si>
    <t xml:space="preserve">INTEREST CHARGES</t>
  </si>
  <si>
    <t xml:space="preserve">OTHER COSTS - G&amp;A</t>
  </si>
  <si>
    <t xml:space="preserve">TOTAL NEPCO SCOPE</t>
  </si>
  <si>
    <t xml:space="preserve">TOTAL EECC &amp; NEPCO SCOPE</t>
  </si>
  <si>
    <t xml:space="preserve">STARTUP &amp; COMMISSIONING</t>
  </si>
  <si>
    <t xml:space="preserve">EI</t>
  </si>
  <si>
    <t xml:space="preserve">D. Regan</t>
  </si>
  <si>
    <t xml:space="preserve">Noles</t>
  </si>
  <si>
    <t xml:space="preserve">EI Hourly billing</t>
  </si>
  <si>
    <t xml:space="preserve">SPARE PARTS</t>
  </si>
  <si>
    <t xml:space="preserve">BV</t>
  </si>
  <si>
    <t xml:space="preserve">Bob Virgo</t>
  </si>
  <si>
    <t xml:space="preserve">LAND ACQUISITION</t>
  </si>
  <si>
    <t xml:space="preserve">BV/MJG</t>
  </si>
  <si>
    <t xml:space="preserve">Clay Spears</t>
  </si>
  <si>
    <t xml:space="preserve">Title Charges and Option Payment</t>
  </si>
  <si>
    <t xml:space="preserve">Additional fee paid for loss of crops</t>
  </si>
  <si>
    <t xml:space="preserve">MJG</t>
  </si>
  <si>
    <t xml:space="preserve">Right of Way Easement-Todd Chilcutt</t>
  </si>
  <si>
    <t xml:space="preserve">ENVIRONMENTAL PERMITTING</t>
  </si>
  <si>
    <t xml:space="preserve">Neel-Schaffer</t>
  </si>
  <si>
    <t xml:space="preserve">TN. Department of Environment &amp; Conservation</t>
  </si>
  <si>
    <t xml:space="preserve">Walter Powell Surveying</t>
  </si>
  <si>
    <t xml:space="preserve">Spencer Martin Surveying</t>
  </si>
  <si>
    <t xml:space="preserve">Health Department </t>
  </si>
  <si>
    <t xml:space="preserve">Layne Christensen (Water Wells)</t>
  </si>
  <si>
    <t xml:space="preserve">KVB Entertec</t>
  </si>
  <si>
    <t xml:space="preserve">TOTAL ENVIRONMENTAL PERMITTING</t>
  </si>
  <si>
    <t xml:space="preserve">GAS INTERCONNECTION</t>
  </si>
  <si>
    <t xml:space="preserve">Chris Meyer</t>
  </si>
  <si>
    <t xml:space="preserve">ELECTRICAL INTERCONNECTION</t>
  </si>
  <si>
    <t xml:space="preserve">Larry Soderquist</t>
  </si>
  <si>
    <t xml:space="preserve">W.O. Cost</t>
  </si>
  <si>
    <t xml:space="preserve">O.H Cost (21.6%)</t>
  </si>
  <si>
    <t xml:space="preserve">System Impact Study</t>
  </si>
  <si>
    <t xml:space="preserve">Facilities Study</t>
  </si>
  <si>
    <t xml:space="preserve">SALES TAX ON EQUIPMENT</t>
  </si>
  <si>
    <t xml:space="preserve">SG/MG</t>
  </si>
  <si>
    <t xml:space="preserve">Pat Maloy</t>
  </si>
  <si>
    <t xml:space="preserve">INSURANCE DURING CONSTR</t>
  </si>
  <si>
    <t xml:space="preserve">David Marshall</t>
  </si>
  <si>
    <t xml:space="preserve">CAPITALIZED SALARIES</t>
  </si>
  <si>
    <t xml:space="preserve">TS</t>
  </si>
  <si>
    <t xml:space="preserve">Mike Miller</t>
  </si>
  <si>
    <t xml:space="preserve">INTEREST DURING CONSTRUCTION</t>
  </si>
  <si>
    <t xml:space="preserve">Interest Credit on Unused Cash</t>
  </si>
  <si>
    <t xml:space="preserve">COMMITMENT FEE</t>
  </si>
  <si>
    <t xml:space="preserve">SWAP GAIN/LOSS</t>
  </si>
  <si>
    <t xml:space="preserve">Subtotal - CapX</t>
  </si>
  <si>
    <t xml:space="preserve">FINANCING FEE</t>
  </si>
  <si>
    <t xml:space="preserve">RM</t>
  </si>
  <si>
    <t xml:space="preserve">R. Malcolm</t>
  </si>
  <si>
    <t xml:space="preserve">Escrow</t>
  </si>
  <si>
    <t xml:space="preserve">Legal Fees</t>
  </si>
  <si>
    <t xml:space="preserve">Insurance</t>
  </si>
  <si>
    <t xml:space="preserve">Other (RW Beck)</t>
  </si>
  <si>
    <t xml:space="preserve">RESALE HANDLING FEES (.25%)</t>
  </si>
  <si>
    <t xml:space="preserve">DEVELOPMENT EXPENSES</t>
  </si>
  <si>
    <t xml:space="preserve">SG/MM/MJG</t>
  </si>
  <si>
    <t xml:space="preserve">Travel Expenses</t>
  </si>
  <si>
    <t xml:space="preserve">Deloitte &amp; Touche</t>
  </si>
  <si>
    <t xml:space="preserve">Utility Consulting Services (Infinergy)</t>
  </si>
  <si>
    <t xml:space="preserve">GLC Consulting</t>
  </si>
  <si>
    <t xml:space="preserve">Haywood County Trustee (re-zonimg)</t>
  </si>
  <si>
    <t xml:space="preserve">HARC Development Service- Tom Young</t>
  </si>
  <si>
    <t xml:space="preserve">Harry Leather and Ron Anderson</t>
  </si>
  <si>
    <t xml:space="preserve">Wilson Well</t>
  </si>
  <si>
    <t xml:space="preserve">Engineering Assessment</t>
  </si>
  <si>
    <t xml:space="preserve">Maps</t>
  </si>
  <si>
    <t xml:space="preserve">Southwest Tennessee Electric Membership Corp.</t>
  </si>
  <si>
    <t xml:space="preserve">ICF - Studies</t>
  </si>
  <si>
    <t xml:space="preserve">Southern Rents &amp; Sales</t>
  </si>
  <si>
    <t xml:space="preserve">D'Lomar Media</t>
  </si>
  <si>
    <t xml:space="preserve">Other</t>
  </si>
  <si>
    <t xml:space="preserve">TOTAL DEVELOPMENT COST</t>
  </si>
  <si>
    <t xml:space="preserve">LEGAL EXPENSES</t>
  </si>
  <si>
    <t xml:space="preserve">TS/MM</t>
  </si>
  <si>
    <t xml:space="preserve">Doug Pedigo</t>
  </si>
  <si>
    <t xml:space="preserve">Waring Cox PLC</t>
  </si>
  <si>
    <t xml:space="preserve">Goodin, Macbride</t>
  </si>
  <si>
    <t xml:space="preserve">Andrews &amp; Kurth</t>
  </si>
  <si>
    <t xml:space="preserve">Stokes &amp; Bartholomew</t>
  </si>
  <si>
    <t xml:space="preserve">Vinson &amp; Elkins</t>
  </si>
  <si>
    <t xml:space="preserve">Gerald &amp; Brand</t>
  </si>
  <si>
    <t xml:space="preserve">Hale Headrick</t>
  </si>
  <si>
    <t xml:space="preserve">Pat Mann</t>
  </si>
  <si>
    <t xml:space="preserve">McCutcheon, Doyle, Brown &amp; Emersen</t>
  </si>
  <si>
    <t xml:space="preserve">Other </t>
  </si>
  <si>
    <t xml:space="preserve">TOTAL LEGAL EXPENSE</t>
  </si>
  <si>
    <t xml:space="preserve">START-UP FUEL</t>
  </si>
  <si>
    <t xml:space="preserve">K Presto</t>
  </si>
  <si>
    <t xml:space="preserve">Subtotal - Expense</t>
  </si>
  <si>
    <t xml:space="preserve">TOTAL BROWNSVILLE</t>
  </si>
  <si>
    <t xml:space="preserve">TARGET $$/MW (without Debt Reserve)</t>
  </si>
  <si>
    <t xml:space="preserve">DEBT RESERVE</t>
  </si>
  <si>
    <t xml:space="preserve">LESS:  DEPRECIATION (BEG 6/99)</t>
  </si>
  <si>
    <t xml:space="preserve">TOTAL BROWNSVILLE (with Debt Reserve</t>
  </si>
  <si>
    <t xml:space="preserve">Reconciliation to Work Order:</t>
  </si>
  <si>
    <t xml:space="preserve">Balance per Work Order</t>
  </si>
  <si>
    <t xml:space="preserve">Balance per Weekly Summary (less mobil exp and spare parts)</t>
  </si>
  <si>
    <t xml:space="preserve">Difference</t>
  </si>
  <si>
    <t xml:space="preserve">CALEDONIA (442 MW)</t>
  </si>
  <si>
    <t xml:space="preserve">TURBINE UNITS - 7EA'S (6 ea)</t>
  </si>
  <si>
    <t xml:space="preserve">GE-7B</t>
  </si>
  <si>
    <t xml:space="preserve">Vendor quote</t>
  </si>
  <si>
    <t xml:space="preserve">EECC missing 10/15 pmt. of $6,831,000; </t>
  </si>
  <si>
    <t xml:space="preserve">HMI CONTROLS</t>
  </si>
  <si>
    <t xml:space="preserve">GE</t>
  </si>
  <si>
    <t xml:space="preserve">GENERATOR POTENTIAL XFRMR</t>
  </si>
  <si>
    <t xml:space="preserve">DESCRETE 78 RELAY</t>
  </si>
  <si>
    <t xml:space="preserve">GEN DESCRETE WATT TRANSDUCER</t>
  </si>
  <si>
    <t xml:space="preserve">GEN DESCRETE VAR TRANSDUCER</t>
  </si>
  <si>
    <t xml:space="preserve">GENERATOR MWH METER</t>
  </si>
  <si>
    <t xml:space="preserve">EXHAUST STACK LADDER</t>
  </si>
  <si>
    <t xml:space="preserve">FIXATORS</t>
  </si>
  <si>
    <t xml:space="preserve">eecc shows credit of 40200 for fixators</t>
  </si>
  <si>
    <t xml:space="preserve">DEDICATED EXPEDITORS</t>
  </si>
  <si>
    <t xml:space="preserve">HISTORIAN</t>
  </si>
  <si>
    <t xml:space="preserve">TOTAL GE EQUIP</t>
  </si>
  <si>
    <t xml:space="preserve">922,500 should be allocated;EECC missing this amount</t>
  </si>
  <si>
    <t xml:space="preserve">SG/MJG</t>
  </si>
  <si>
    <t xml:space="preserve">CHANGE ORDERS</t>
  </si>
  <si>
    <t xml:space="preserve">+109906930-408000-40200=109458730 per eecc</t>
  </si>
  <si>
    <t xml:space="preserve">David Lindquist</t>
  </si>
  <si>
    <t xml:space="preserve">ELECTRICAL DEVICES</t>
  </si>
  <si>
    <t xml:space="preserve">HI VOLT DEVICES</t>
  </si>
  <si>
    <t xml:space="preserve">SPECIAL SYSTEMS</t>
  </si>
  <si>
    <t xml:space="preserve">UPS SYSTEM </t>
  </si>
  <si>
    <t xml:space="preserve">eecc has 62500 for estimate</t>
  </si>
  <si>
    <t xml:space="preserve">Need to break out labor piece &amp; move</t>
  </si>
  <si>
    <t xml:space="preserve">MAJOR MECHANICAL EQUIP</t>
  </si>
  <si>
    <t xml:space="preserve">ENGINEERING REWORK</t>
  </si>
  <si>
    <t xml:space="preserve">GENERAL PROVISIONS, OVERHEAD, INDIR LABOR</t>
  </si>
  <si>
    <t xml:space="preserve">STARTUP, TRAINING, MANUALS, CONTINGs, PRORAT ALLOW</t>
  </si>
  <si>
    <t xml:space="preserve">TOTAL ENGINEERING</t>
  </si>
  <si>
    <t xml:space="preserve">MOBILIZATION OF O&amp;M</t>
  </si>
  <si>
    <t xml:space="preserve">D. Regain</t>
  </si>
  <si>
    <t xml:space="preserve">EI Hourly Billing</t>
  </si>
  <si>
    <t xml:space="preserve">VIRGO</t>
  </si>
  <si>
    <t xml:space="preserve">Oscar Dalton/Clay Spears</t>
  </si>
  <si>
    <t xml:space="preserve">Land Option to Emily Boney</t>
  </si>
  <si>
    <t xml:space="preserve">Land Purchase Boney</t>
  </si>
  <si>
    <t xml:space="preserve">Title Insurance</t>
  </si>
  <si>
    <t xml:space="preserve">Land Option Dalton</t>
  </si>
  <si>
    <t xml:space="preserve">Land Option Stennis</t>
  </si>
  <si>
    <t xml:space="preserve">Land Option to Cantrell</t>
  </si>
  <si>
    <t xml:space="preserve">Land Purchase Cantrell</t>
  </si>
  <si>
    <t xml:space="preserve">swag</t>
  </si>
  <si>
    <t xml:space="preserve">Neel- Schaffer</t>
  </si>
  <si>
    <t xml:space="preserve">Updated 10/27</t>
  </si>
  <si>
    <t xml:space="preserve">Pmt 1 on 11/30 25% of Budget per Heather Kroll</t>
  </si>
  <si>
    <t xml:space="preserve">Facilities Stdy</t>
  </si>
  <si>
    <t xml:space="preserve">R. Malcom</t>
  </si>
  <si>
    <t xml:space="preserve">Mississippi Bond Issuance</t>
  </si>
  <si>
    <t xml:space="preserve">Other  (RW Beck)</t>
  </si>
  <si>
    <t xml:space="preserve">Beck Professional Services</t>
  </si>
  <si>
    <t xml:space="preserve">Deloitt &amp; Touche</t>
  </si>
  <si>
    <t xml:space="preserve">LEGAL EXPENSE</t>
  </si>
  <si>
    <t xml:space="preserve">TOTAL CALEDONIA</t>
  </si>
  <si>
    <t xml:space="preserve">TARGET $$/MW</t>
  </si>
  <si>
    <t xml:space="preserve">LESS:  DEPRECIATION  (BEG 6/99)</t>
  </si>
  <si>
    <t xml:space="preserve">TOTAL CALEDONIA (with Debt Reserve</t>
  </si>
  <si>
    <t xml:space="preserve">Balance per Weekly Summary</t>
  </si>
  <si>
    <t xml:space="preserve">NEW ALBANY</t>
  </si>
  <si>
    <t xml:space="preserve">Per EECC report</t>
  </si>
  <si>
    <t xml:space="preserve">TURBINE UNITS - 7B'S (1 ea)</t>
  </si>
  <si>
    <t xml:space="preserve">IBC/DOW-7B</t>
  </si>
  <si>
    <t xml:space="preserve">Paid</t>
  </si>
  <si>
    <t xml:space="preserve">leave at 1347000; do not reflect turbine switch</t>
  </si>
  <si>
    <t xml:space="preserve">DISASSEMBLE</t>
  </si>
  <si>
    <t xml:space="preserve">leave at Dow actual; do not reflect turbine switch (407000 per IBC Contract)</t>
  </si>
  <si>
    <t xml:space="preserve">TURBINE COMMISSION 10%</t>
  </si>
  <si>
    <t xml:space="preserve">KEPCO TURBINE UNITS - 7B'S (4 ea) (Kunsan)</t>
  </si>
  <si>
    <t xml:space="preserve">IBC/GE-7B</t>
  </si>
  <si>
    <t xml:space="preserve">Miller</t>
  </si>
  <si>
    <t xml:space="preserve">From Fulton</t>
  </si>
  <si>
    <t xml:space="preserve">LESS STEAM TURBINE</t>
  </si>
  <si>
    <t xml:space="preserve">TURBINE COMMISSION IBC/NATOLE - IBC fee 10%</t>
  </si>
  <si>
    <t xml:space="preserve">EQUIP DECONSTRUCT MOVE TO PORT</t>
  </si>
  <si>
    <t xml:space="preserve">Miler</t>
  </si>
  <si>
    <t xml:space="preserve">FREIGHT</t>
  </si>
  <si>
    <t xml:space="preserve">leave at 1274025; do not reflect turbine switch</t>
  </si>
  <si>
    <t xml:space="preserve">FFREIGHT COMMISSION</t>
  </si>
  <si>
    <t xml:space="preserve">INTEREST/BANK FEES ON LATE PAYMENT TO IBC (KEPCO)</t>
  </si>
  <si>
    <t xml:space="preserve">KEPCO TURBINE - 7B (1 ea) (Youngwol)</t>
  </si>
  <si>
    <t xml:space="preserve">  PURCHASE, DISASSEMBLY, FREIGHT</t>
  </si>
  <si>
    <t xml:space="preserve">Remove $268K from column AI after entry hits</t>
  </si>
  <si>
    <t xml:space="preserve">TURBINE REFURBISHMENT &amp; DLN (7 UNITS)</t>
  </si>
  <si>
    <t xml:space="preserve">IBC/DOW &amp; GE-7B</t>
  </si>
  <si>
    <t xml:space="preserve">Subtotal GE</t>
  </si>
  <si>
    <t xml:space="preserve">IBC PRE-PAY ON COMMISSION</t>
  </si>
  <si>
    <t xml:space="preserve">IBC</t>
  </si>
  <si>
    <t xml:space="preserve">CIRCUIT BREAKER INSTALLATION</t>
  </si>
  <si>
    <t xml:space="preserve">Subtotal ABB</t>
  </si>
  <si>
    <t xml:space="preserve">DEVELOPMENT &amp; PERMIT SUPPORT</t>
  </si>
  <si>
    <t xml:space="preserve">VALVES &amp; SPECIALTIES</t>
  </si>
  <si>
    <t xml:space="preserve">DRY TRANSFORMS AND PANELS</t>
  </si>
  <si>
    <t xml:space="preserve">5KV &amp; 600 V SWITCHGEAR AND MCC'S</t>
  </si>
  <si>
    <t xml:space="preserve">CONTROL PANELS/TERMINATION BOXES</t>
  </si>
  <si>
    <t xml:space="preserve">PUMPS\</t>
  </si>
  <si>
    <t xml:space="preserve">COMBUSTION TURBINE GENERATOR</t>
  </si>
  <si>
    <t xml:space="preserve">MINOR MECHANICAL EQUIPMENT</t>
  </si>
  <si>
    <t xml:space="preserve">PRESSURE REDUCING STATION</t>
  </si>
  <si>
    <t xml:space="preserve">WATER WASH SKID</t>
  </si>
  <si>
    <t xml:space="preserve">EQUIP &amp; DEVICES</t>
  </si>
  <si>
    <t xml:space="preserve">OTHER</t>
  </si>
  <si>
    <t xml:space="preserve">BULK MATERIAL</t>
  </si>
  <si>
    <t xml:space="preserve">PIPING</t>
  </si>
  <si>
    <t xml:space="preserve">ELECTRICAL</t>
  </si>
  <si>
    <t xml:space="preserve">CIVIL</t>
  </si>
  <si>
    <t xml:space="preserve">TOTAL BULK MATERIAL</t>
  </si>
  <si>
    <t xml:space="preserve">UNDERGROUND ELECTRICAL (LAB &amp; MATL)</t>
  </si>
  <si>
    <t xml:space="preserve">UNDERGROUND PIPING (LAB &amp; MATL)</t>
  </si>
  <si>
    <t xml:space="preserve">STRUCTURAL STEEL (LAB &amp; MATL)</t>
  </si>
  <si>
    <t xml:space="preserve">ARCHITECTURAL</t>
  </si>
  <si>
    <t xml:space="preserve">SUBCONTRACT ERECTED BUILDINGS</t>
  </si>
  <si>
    <t xml:space="preserve">   MATERIAL</t>
  </si>
  <si>
    <t xml:space="preserve">   SUBCONTRACT </t>
  </si>
  <si>
    <t xml:space="preserve">   LABOR</t>
  </si>
  <si>
    <t xml:space="preserve">COMBUSTION TURBINE/GENERATOR</t>
  </si>
  <si>
    <t xml:space="preserve">MAJOR MECHANICAL EQUIPMENT</t>
  </si>
  <si>
    <t xml:space="preserve">ENGINEERING-CONTRACT LABOR</t>
  </si>
  <si>
    <t xml:space="preserve">CIVIL WORK &amp; FOUNDATIONS</t>
  </si>
  <si>
    <t xml:space="preserve">MAJOR EQUIPMENT ERECTION</t>
  </si>
  <si>
    <t xml:space="preserve">BOP EQUIPMENT ERECTION</t>
  </si>
  <si>
    <t xml:space="preserve">PIPING EXTERNAL TO EQUIPMENT </t>
  </si>
  <si>
    <t xml:space="preserve">ELECTRICAL/I&amp;C INSTALLATION</t>
  </si>
  <si>
    <t xml:space="preserve">TTS Scope</t>
  </si>
  <si>
    <t xml:space="preserve">ENGINEERING-DIRECT LABOR</t>
  </si>
  <si>
    <t xml:space="preserve">EQUIP RENTAL, FUEL, SMALL TOOLS</t>
  </si>
  <si>
    <t xml:space="preserve">ENGINEERING</t>
  </si>
  <si>
    <t xml:space="preserve">PROJECT MANAGEMENT</t>
  </si>
  <si>
    <t xml:space="preserve">CONSTRUCTION MANAGEMENT</t>
  </si>
  <si>
    <t xml:space="preserve">NOT IDENTIFIED</t>
  </si>
  <si>
    <t xml:space="preserve">SWITCHYARD INCREASE</t>
  </si>
  <si>
    <t xml:space="preserve">TOTAL NEPCO</t>
  </si>
  <si>
    <t xml:space="preserve">will be expensed as part of O&amp;M agreement vs. capitalized</t>
  </si>
  <si>
    <t xml:space="preserve">Subtotal EI</t>
  </si>
  <si>
    <t xml:space="preserve">Is this related to above payments</t>
  </si>
  <si>
    <t xml:space="preserve">Ben Jacoby</t>
  </si>
  <si>
    <t xml:space="preserve">Title Charges, reclass $10,000 from Brownsville</t>
  </si>
  <si>
    <t xml:space="preserve">Additional land acquisition option</t>
  </si>
  <si>
    <t xml:space="preserve">Subtotal Land Acquisition</t>
  </si>
  <si>
    <t xml:space="preserve">$854,000 to be paid by Columbia Gas</t>
  </si>
  <si>
    <t xml:space="preserve">Subtotal Electrical Interconnection</t>
  </si>
  <si>
    <t xml:space="preserve">BV/MG</t>
  </si>
  <si>
    <t xml:space="preserve">Interest Credit on Usused Cash</t>
  </si>
  <si>
    <t xml:space="preserve">P Maloy</t>
  </si>
  <si>
    <t xml:space="preserve">Will net against IBC Commission</t>
  </si>
  <si>
    <t xml:space="preserve">Power Systems SPC</t>
  </si>
  <si>
    <t xml:space="preserve">TOTAL DEVELOPMENT EXPENSE</t>
  </si>
  <si>
    <t xml:space="preserve">Stokes and Bartholomew</t>
  </si>
  <si>
    <t xml:space="preserve">TOTAL NEW ALBANY</t>
  </si>
  <si>
    <t xml:space="preserve">.</t>
  </si>
  <si>
    <t xml:space="preserve">LESS DEPRECIATION (BEG 7/99)</t>
  </si>
  <si>
    <t xml:space="preserve">TOTAL NEW ALBANY (with Debt Reserve</t>
  </si>
  <si>
    <t xml:space="preserve">per Invy Detail</t>
  </si>
  <si>
    <t xml:space="preserve">Dynegy</t>
  </si>
  <si>
    <t xml:space="preserve">Natole</t>
  </si>
  <si>
    <t xml:space="preserve">Turbine Resources</t>
  </si>
  <si>
    <t xml:space="preserve">Not yet paid</t>
  </si>
  <si>
    <t xml:space="preserve">Selkirk</t>
  </si>
  <si>
    <t xml:space="preserve">Dow</t>
  </si>
  <si>
    <t xml:space="preserve">incl in Dow Turbine line of budget</t>
  </si>
  <si>
    <t xml:space="preserve">Elliot</t>
  </si>
  <si>
    <t xml:space="preserve">IBC Refurb of spares (Wood Group)</t>
  </si>
  <si>
    <t xml:space="preserve">Spare parts before adjustment</t>
  </si>
  <si>
    <t xml:space="preserve">Parts staying at New Albany</t>
  </si>
  <si>
    <t xml:space="preserve">Refurb cost of parts staying at New Albany</t>
  </si>
  <si>
    <t xml:space="preserve">Not yet paid need to reconcile with IBC</t>
  </si>
  <si>
    <t xml:space="preserve">Spare parts after adjustment for Units 1-4</t>
  </si>
  <si>
    <t xml:space="preserve">Adjustment amount to New Albany cost summary</t>
  </si>
  <si>
    <t xml:space="preserve">Estimate to complete Units 5-6 at New Albany</t>
  </si>
  <si>
    <t xml:space="preserve">Total Estimated Project cost for spares at New Albany</t>
  </si>
  <si>
    <t xml:space="preserve">Refurbishment</t>
  </si>
  <si>
    <t xml:space="preserve">Total Estimate</t>
  </si>
  <si>
    <t xml:space="preserve">IBC Contract Payment #1</t>
  </si>
  <si>
    <t xml:space="preserve">IBC Contract Payment #2</t>
  </si>
  <si>
    <t xml:space="preserve">IBC Contract Payment #3</t>
  </si>
  <si>
    <t xml:space="preserve">IBC Contract Payment #4 - Final</t>
  </si>
  <si>
    <t xml:space="preserve"> Contract Out of Scope Work</t>
  </si>
  <si>
    <t xml:space="preserve">LEC Combustion Burners ($593k scope change + 10% IBC fee)</t>
  </si>
  <si>
    <t xml:space="preserve">WH Rent</t>
  </si>
  <si>
    <t xml:space="preserve">Misc Credit</t>
  </si>
  <si>
    <t xml:space="preserve">TTS out of scope refurb expenses</t>
  </si>
  <si>
    <t xml:space="preserve">Waterway lease and Port of Pensacola chgs</t>
  </si>
  <si>
    <t xml:space="preserve">Scrap sale</t>
  </si>
  <si>
    <t xml:space="preserve">Other costs to complete</t>
  </si>
  <si>
    <t xml:space="preserve">Per final refurb analysis</t>
  </si>
  <si>
    <t xml:space="preserve">Refurb cost before adjustment</t>
  </si>
</sst>
</file>

<file path=xl/styles.xml><?xml version="1.0" encoding="utf-8"?>
<styleSheet xmlns="http://schemas.openxmlformats.org/spreadsheetml/2006/main">
  <numFmts count="15">
    <numFmt numFmtId="164" formatCode="General"/>
    <numFmt numFmtId="165" formatCode="_(* #,##0.00_);_(* \(#,##0.00\);_(* \-??_);_(@_)"/>
    <numFmt numFmtId="166" formatCode="_(* #,##0_);_(* \(#,##0\);_(* \-??_);_(@_)"/>
    <numFmt numFmtId="167" formatCode="_(\$* #,##0.00_);_(\$* \(#,##0.00\);_(\$* \-??_);_(@_)"/>
    <numFmt numFmtId="168" formatCode="_(\$* #,##0_);_(\$* \(#,##0\);_(\$* \-??_);_(@_)"/>
    <numFmt numFmtId="169" formatCode="mmmm\ d&quot;, &quot;yyyy"/>
    <numFmt numFmtId="170" formatCode="[$-409]m/d/yyyy"/>
    <numFmt numFmtId="171" formatCode="0%"/>
    <numFmt numFmtId="172" formatCode="0.0%"/>
    <numFmt numFmtId="173" formatCode="[$-409]d\-mmm"/>
    <numFmt numFmtId="174" formatCode="m/d"/>
    <numFmt numFmtId="175" formatCode="@"/>
    <numFmt numFmtId="176" formatCode="\$#,##0"/>
    <numFmt numFmtId="177" formatCode="#,##0"/>
    <numFmt numFmtId="178" formatCode="0"/>
  </numFmts>
  <fonts count="3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10"/>
      <name val="Arial"/>
      <family val="2"/>
    </font>
    <font>
      <sz val="14"/>
      <name val="Arial"/>
      <family val="2"/>
    </font>
    <font>
      <sz val="10"/>
      <name val="Arial"/>
      <family val="2"/>
    </font>
    <font>
      <b val="true"/>
      <sz val="14"/>
      <name val="Arial"/>
      <family val="2"/>
    </font>
    <font>
      <b val="true"/>
      <u val="single"/>
      <sz val="10"/>
      <name val="Arial"/>
      <family val="2"/>
    </font>
    <font>
      <b val="true"/>
      <sz val="10"/>
      <color rgb="FF0000FF"/>
      <name val="Arial"/>
      <family val="2"/>
    </font>
    <font>
      <b val="true"/>
      <sz val="12"/>
      <color rgb="FF0000FF"/>
      <name val="Arial"/>
      <family val="2"/>
    </font>
    <font>
      <sz val="8"/>
      <name val="Arial"/>
      <family val="2"/>
    </font>
    <font>
      <sz val="7"/>
      <name val="Arial"/>
      <family val="2"/>
    </font>
    <font>
      <sz val="10"/>
      <color rgb="FF0000FF"/>
      <name val="Arial"/>
      <family val="2"/>
    </font>
    <font>
      <sz val="12"/>
      <name val="Arial"/>
      <family val="2"/>
    </font>
    <font>
      <sz val="12"/>
      <color rgb="FF0000FF"/>
      <name val="Arial"/>
      <family val="2"/>
    </font>
    <font>
      <sz val="10"/>
      <color rgb="FF800080"/>
      <name val="Arial"/>
      <family val="2"/>
    </font>
    <font>
      <sz val="10"/>
      <color rgb="FFFF0000"/>
      <name val="Arial"/>
      <family val="0"/>
    </font>
    <font>
      <sz val="10"/>
      <color rgb="FF000000"/>
      <name val="Arial"/>
      <family val="2"/>
    </font>
    <font>
      <sz val="10"/>
      <color rgb="FFFF0000"/>
      <name val="Arial"/>
      <family val="2"/>
    </font>
    <font>
      <sz val="10"/>
      <color rgb="FFFF00FF"/>
      <name val="Arial"/>
      <family val="2"/>
    </font>
    <font>
      <b val="true"/>
      <sz val="10"/>
      <color rgb="FF000000"/>
      <name val="Arial"/>
      <family val="2"/>
    </font>
    <font>
      <sz val="10"/>
      <color rgb="FF008000"/>
      <name val="Arial"/>
      <family val="2"/>
    </font>
    <font>
      <b val="true"/>
      <sz val="10"/>
      <color rgb="FFFF0000"/>
      <name val="Arial"/>
      <family val="2"/>
    </font>
    <font>
      <b val="true"/>
      <sz val="10"/>
      <color rgb="FF800080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b val="true"/>
      <sz val="12"/>
      <color rgb="FF000000"/>
      <name val="Tahoma"/>
      <family val="2"/>
    </font>
    <font>
      <sz val="12"/>
      <color rgb="FF000000"/>
      <name val="Tahoma"/>
      <family val="2"/>
    </font>
    <font>
      <sz val="10"/>
      <color rgb="FF000000"/>
      <name val="Tahoma"/>
      <family val="2"/>
    </font>
    <font>
      <sz val="10"/>
      <color rgb="FF003366"/>
      <name val="Arial"/>
      <family val="2"/>
    </font>
    <font>
      <sz val="10"/>
      <color rgb="FFFF6600"/>
      <name val="Arial"/>
      <family val="2"/>
    </font>
    <font>
      <b val="true"/>
      <sz val="11"/>
      <color rgb="FF000000"/>
      <name val="Tahoma"/>
      <family val="2"/>
    </font>
    <font>
      <sz val="11"/>
      <color rgb="FF00000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</fills>
  <borders count="28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/>
      <right/>
      <top/>
      <bottom style="double"/>
      <diagonal/>
    </border>
    <border diagonalUp="false" diagonalDown="false">
      <left style="hair"/>
      <right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7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71" fontId="0" fillId="0" borderId="0" applyFont="true" applyBorder="false" applyAlignment="false" applyProtection="false"/>
  </cellStyleXfs>
  <cellXfs count="27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5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5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5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1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0" borderId="1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0" borderId="1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5" fillId="0" borderId="1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1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1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1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5" fillId="0" borderId="15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2" borderId="1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2" borderId="1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2" borderId="1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2" borderId="1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5" fillId="2" borderId="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5" fillId="2" borderId="1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2" borderId="1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2" borderId="1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0" borderId="1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2" borderId="2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2" borderId="2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5" fillId="2" borderId="1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5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3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73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2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2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1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2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9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2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1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2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4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1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1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4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2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2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2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2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7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4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7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20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2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7" fillId="0" borderId="25" xfId="19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6" fontId="7" fillId="0" borderId="0" xfId="19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2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2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20" fillId="0" borderId="2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2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5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0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20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2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10" fillId="0" borderId="2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2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2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19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2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2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2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2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2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5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0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5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2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20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7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7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7" fillId="0" borderId="24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7" fillId="0" borderId="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7" fillId="0" borderId="2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4" fillId="0" borderId="2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2" borderId="2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5" fillId="0" borderId="27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75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0" borderId="2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5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2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25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9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25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5" fontId="1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1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1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25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7" fillId="0" borderId="25" xfId="19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76" fontId="7" fillId="0" borderId="0" xfId="19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9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0" borderId="2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1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2" borderId="2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2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27" xfId="17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3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7" fillId="0" borderId="24" xfId="19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7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3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20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2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externalLink" Target="externalLinks/externalLink1.xml"/><Relationship Id="rId13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Fin_Ops/Engysvc/Flash/1999/genco%20deprec%20cap%20chg%201199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eprec"/>
      <sheetName val="Summary"/>
      <sheetName val="Genco 2000 budget"/>
      <sheetName val="Trading P&amp;L"/>
      <sheetName val="Cap Chg"/>
    </sheetNames>
    <sheetDataSet>
      <sheetData sheetId="0">
        <row r="28">
          <cell r="D28">
            <v>-1412567.867985</v>
          </cell>
        </row>
        <row r="28">
          <cell r="F28">
            <v>-1714232.390955</v>
          </cell>
        </row>
        <row r="28">
          <cell r="H28">
            <v>-1462905.54177333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6.xml.rels><?xml version="1.0" encoding="UTF-8"?>
<Relationships xmlns="http://schemas.openxmlformats.org/package/2006/relationships"><Relationship Id="rId1" Type="http://schemas.openxmlformats.org/officeDocument/2006/relationships/comments" Target="../comments6.xml"/><Relationship Id="rId2" Type="http://schemas.openxmlformats.org/officeDocument/2006/relationships/vmlDrawing" Target="../drawings/vmlDrawing1.v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comments" Target="../comments7.xml"/><Relationship Id="rId2" Type="http://schemas.openxmlformats.org/officeDocument/2006/relationships/vmlDrawing" Target="../drawings/vmlDrawing2.vm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comments" Target="../comments8.xml"/><Relationship Id="rId2" Type="http://schemas.openxmlformats.org/officeDocument/2006/relationships/vmlDrawing" Target="../drawings/vmlDrawing3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3.14"/>
    <col collapsed="false" customWidth="true" hidden="false" outlineLevel="0" max="5" min="5" style="0" width="11.85"/>
    <col collapsed="false" customWidth="true" hidden="false" outlineLevel="0" max="6" min="6" style="0" width="2.56"/>
    <col collapsed="false" customWidth="true" hidden="false" outlineLevel="0" max="7" min="7" style="0" width="11.85"/>
    <col collapsed="false" customWidth="true" hidden="false" outlineLevel="0" max="8" min="8" style="0" width="2.56"/>
    <col collapsed="false" customWidth="true" hidden="false" outlineLevel="0" max="9" min="9" style="0" width="11.85"/>
    <col collapsed="false" customWidth="true" hidden="false" outlineLevel="0" max="10" min="10" style="0" width="2.56"/>
    <col collapsed="false" customWidth="true" hidden="false" outlineLevel="0" max="11" min="11" style="0" width="10.85"/>
  </cols>
  <sheetData>
    <row r="1" customFormat="false" ht="15.75" hidden="false" customHeight="false" outlineLevel="0" collapsed="false">
      <c r="A1" s="1" t="s">
        <v>0</v>
      </c>
    </row>
    <row r="2" customFormat="false" ht="15.75" hidden="false" customHeight="false" outlineLevel="0" collapsed="false">
      <c r="A2" s="1" t="s">
        <v>1</v>
      </c>
    </row>
    <row r="4" customFormat="false" ht="12.75" hidden="false" customHeight="false" outlineLevel="0" collapsed="false">
      <c r="A4" s="2" t="s">
        <v>2</v>
      </c>
    </row>
    <row r="6" customFormat="false" ht="12.75" hidden="false" customHeight="false" outlineLevel="0" collapsed="false">
      <c r="A6" s="0" t="s">
        <v>3</v>
      </c>
    </row>
    <row r="7" customFormat="false" ht="12.75" hidden="false" customHeight="false" outlineLevel="0" collapsed="false">
      <c r="A7" s="0" t="s">
        <v>4</v>
      </c>
    </row>
    <row r="8" customFormat="false" ht="12.75" hidden="false" customHeight="false" outlineLevel="0" collapsed="false">
      <c r="A8" s="0" t="s">
        <v>5</v>
      </c>
    </row>
    <row r="11" customFormat="false" ht="12.75" hidden="false" customHeight="false" outlineLevel="0" collapsed="false">
      <c r="A11" s="2" t="s">
        <v>6</v>
      </c>
    </row>
    <row r="12" customFormat="false" ht="12.75" hidden="false" customHeight="false" outlineLevel="0" collapsed="false">
      <c r="A12" s="2"/>
      <c r="E12" s="3" t="s">
        <v>7</v>
      </c>
      <c r="F12" s="4"/>
      <c r="G12" s="3" t="s">
        <v>8</v>
      </c>
      <c r="H12" s="4"/>
      <c r="I12" s="3" t="s">
        <v>9</v>
      </c>
      <c r="K12" s="3" t="s">
        <v>10</v>
      </c>
    </row>
    <row r="13" customFormat="false" ht="12.75" hidden="false" customHeight="false" outlineLevel="0" collapsed="false">
      <c r="A13" s="2"/>
    </row>
    <row r="14" customFormat="false" ht="12.75" hidden="false" customHeight="false" outlineLevel="0" collapsed="false">
      <c r="A14" s="0" t="s">
        <v>11</v>
      </c>
      <c r="E14" s="5" t="n">
        <v>-310000</v>
      </c>
      <c r="F14" s="5"/>
      <c r="G14" s="5" t="n">
        <v>-300000</v>
      </c>
      <c r="H14" s="5"/>
      <c r="I14" s="5" t="n">
        <v>-233000</v>
      </c>
      <c r="K14" s="6" t="n">
        <f aca="false">SUM(E14:I14)</f>
        <v>-843000</v>
      </c>
    </row>
    <row r="15" customFormat="false" ht="12.75" hidden="false" customHeight="false" outlineLevel="0" collapsed="false">
      <c r="A15" s="0" t="s">
        <v>12</v>
      </c>
      <c r="E15" s="5" t="n">
        <v>-550000</v>
      </c>
      <c r="F15" s="5"/>
      <c r="G15" s="5" t="n">
        <v>-550000</v>
      </c>
      <c r="H15" s="5"/>
      <c r="I15" s="5" t="n">
        <v>-350000</v>
      </c>
      <c r="K15" s="6" t="n">
        <f aca="false">SUM(E15:I15)</f>
        <v>-1450000</v>
      </c>
    </row>
    <row r="16" customFormat="false" ht="12.75" hidden="false" customHeight="false" outlineLevel="0" collapsed="false">
      <c r="A16" s="0" t="s">
        <v>13</v>
      </c>
      <c r="E16" s="7" t="n">
        <v>-200000</v>
      </c>
      <c r="F16" s="5"/>
      <c r="G16" s="7" t="n">
        <v>-200000</v>
      </c>
      <c r="H16" s="5"/>
      <c r="I16" s="7" t="n">
        <v>-200000</v>
      </c>
      <c r="K16" s="8" t="n">
        <f aca="false">SUM(E16:I16)</f>
        <v>-600000</v>
      </c>
    </row>
    <row r="17" customFormat="false" ht="12.75" hidden="false" customHeight="false" outlineLevel="0" collapsed="false">
      <c r="E17" s="5"/>
      <c r="F17" s="5"/>
      <c r="G17" s="5"/>
      <c r="H17" s="5"/>
      <c r="I17" s="5"/>
      <c r="K17" s="9"/>
    </row>
    <row r="18" customFormat="false" ht="12.75" hidden="false" customHeight="false" outlineLevel="0" collapsed="false">
      <c r="A18" s="2" t="s">
        <v>14</v>
      </c>
      <c r="E18" s="10" t="n">
        <f aca="false">SUM(E14:E16)</f>
        <v>-1060000</v>
      </c>
      <c r="F18" s="2"/>
      <c r="G18" s="10" t="n">
        <f aca="false">SUM(G14:G16)</f>
        <v>-1050000</v>
      </c>
      <c r="H18" s="2"/>
      <c r="I18" s="10" t="n">
        <f aca="false">SUM(I14:I16)</f>
        <v>-783000</v>
      </c>
      <c r="J18" s="2"/>
      <c r="K18" s="10" t="n">
        <f aca="false">SUM(K14:K16)</f>
        <v>-2893000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G42"/>
  <sheetViews>
    <sheetView showFormulas="false" showGridLines="true" showRowColHeaders="true" showZeros="true" rightToLeft="false" tabSelected="false" showOutlineSymbols="true" defaultGridColor="true" view="normal" topLeftCell="A14" colorId="64" zoomScale="100" zoomScaleNormal="100" zoomScalePageLayoutView="100" workbookViewId="0">
      <selection pane="topLeft" activeCell="E35" activeCellId="0" sqref="E3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0.41"/>
    <col collapsed="false" customWidth="true" hidden="false" outlineLevel="0" max="5" min="5" style="0" width="14.85"/>
    <col collapsed="false" customWidth="true" hidden="false" outlineLevel="0" max="6" min="6" style="0" width="2.84"/>
  </cols>
  <sheetData>
    <row r="1" customFormat="false" ht="18" hidden="false" customHeight="false" outlineLevel="0" collapsed="false">
      <c r="A1" s="11" t="s">
        <v>7</v>
      </c>
    </row>
    <row r="2" customFormat="false" ht="18" hidden="false" customHeight="false" outlineLevel="0" collapsed="false">
      <c r="A2" s="11" t="s">
        <v>15</v>
      </c>
    </row>
    <row r="5" customFormat="false" ht="12.75" hidden="false" customHeight="false" outlineLevel="0" collapsed="false">
      <c r="A5" s="2" t="s">
        <v>16</v>
      </c>
    </row>
    <row r="6" customFormat="false" ht="12.75" hidden="false" customHeight="false" outlineLevel="0" collapsed="false">
      <c r="A6" s="0" t="s">
        <v>17</v>
      </c>
      <c r="E6" s="12" t="n">
        <v>26785396</v>
      </c>
    </row>
    <row r="7" customFormat="false" ht="12.75" hidden="false" customHeight="false" outlineLevel="0" collapsed="false">
      <c r="B7" s="0" t="s">
        <v>18</v>
      </c>
      <c r="E7" s="7" t="n">
        <f aca="false">32000000-E6</f>
        <v>5214604</v>
      </c>
    </row>
    <row r="8" customFormat="false" ht="12.75" hidden="false" customHeight="false" outlineLevel="0" collapsed="false">
      <c r="E8" s="5" t="n">
        <f aca="false">SUM(E6:E7)</f>
        <v>32000000</v>
      </c>
    </row>
    <row r="10" customFormat="false" ht="12.75" hidden="false" customHeight="false" outlineLevel="0" collapsed="false">
      <c r="A10" s="2" t="s">
        <v>19</v>
      </c>
    </row>
    <row r="11" customFormat="false" ht="12.75" hidden="false" customHeight="false" outlineLevel="0" collapsed="false">
      <c r="B11" s="0" t="s">
        <v>20</v>
      </c>
      <c r="E11" s="5" t="n">
        <v>1347000</v>
      </c>
    </row>
    <row r="12" customFormat="false" ht="12.75" hidden="false" customHeight="false" outlineLevel="0" collapsed="false">
      <c r="B12" s="0" t="s">
        <v>21</v>
      </c>
      <c r="E12" s="5" t="n">
        <v>500000</v>
      </c>
    </row>
    <row r="13" customFormat="false" ht="12.75" hidden="false" customHeight="false" outlineLevel="0" collapsed="false">
      <c r="B13" s="0" t="s">
        <v>22</v>
      </c>
      <c r="E13" s="7" t="n">
        <f aca="false">E11*0.1</f>
        <v>134700</v>
      </c>
    </row>
    <row r="14" customFormat="false" ht="12.75" hidden="false" customHeight="false" outlineLevel="0" collapsed="false">
      <c r="E14" s="5" t="n">
        <f aca="false">SUM(E11:E13)</f>
        <v>1981700</v>
      </c>
    </row>
    <row r="15" customFormat="false" ht="12.75" hidden="false" customHeight="false" outlineLevel="0" collapsed="false">
      <c r="E15" s="13"/>
    </row>
    <row r="16" customFormat="false" ht="12.75" hidden="false" customHeight="false" outlineLevel="0" collapsed="false">
      <c r="A16" s="2" t="s">
        <v>23</v>
      </c>
      <c r="E16" s="13"/>
    </row>
    <row r="17" customFormat="false" ht="12.75" hidden="false" customHeight="false" outlineLevel="0" collapsed="false">
      <c r="B17" s="0" t="s">
        <v>24</v>
      </c>
      <c r="E17" s="5" t="n">
        <v>27502700</v>
      </c>
    </row>
    <row r="18" customFormat="false" ht="12.75" hidden="false" customHeight="false" outlineLevel="0" collapsed="false">
      <c r="B18" s="0" t="s">
        <v>25</v>
      </c>
      <c r="E18" s="5" t="n">
        <f aca="false">3600000-E19</f>
        <v>2700000</v>
      </c>
    </row>
    <row r="19" customFormat="false" ht="12.75" hidden="false" customHeight="false" outlineLevel="0" collapsed="false">
      <c r="B19" s="0" t="s">
        <v>26</v>
      </c>
      <c r="E19" s="5" t="n">
        <v>900000</v>
      </c>
    </row>
    <row r="20" customFormat="false" ht="12.75" hidden="false" customHeight="false" outlineLevel="0" collapsed="false">
      <c r="B20" s="0" t="s">
        <v>27</v>
      </c>
      <c r="E20" s="14" t="n">
        <v>-700000</v>
      </c>
      <c r="G20" s="0" t="s">
        <v>28</v>
      </c>
    </row>
    <row r="21" customFormat="false" ht="12.75" hidden="false" customHeight="false" outlineLevel="0" collapsed="false">
      <c r="B21" s="0" t="s">
        <v>29</v>
      </c>
      <c r="E21" s="5" t="n">
        <v>1307660</v>
      </c>
    </row>
    <row r="22" customFormat="false" ht="12.75" hidden="false" customHeight="false" outlineLevel="0" collapsed="false">
      <c r="B22" s="0" t="s">
        <v>27</v>
      </c>
      <c r="E22" s="5" t="n">
        <v>-200500</v>
      </c>
      <c r="G22" s="0" t="s">
        <v>28</v>
      </c>
    </row>
    <row r="23" customFormat="false" ht="12.75" hidden="false" customHeight="false" outlineLevel="0" collapsed="false">
      <c r="B23" s="0" t="s">
        <v>30</v>
      </c>
      <c r="E23" s="5" t="n">
        <f aca="false">254805*5</f>
        <v>1274025</v>
      </c>
    </row>
    <row r="24" customFormat="false" ht="12.75" hidden="false" customHeight="false" outlineLevel="0" collapsed="false">
      <c r="B24" s="0" t="s">
        <v>27</v>
      </c>
      <c r="E24" s="5" t="n">
        <v>-100000</v>
      </c>
      <c r="G24" s="0" t="s">
        <v>28</v>
      </c>
    </row>
    <row r="25" customFormat="false" ht="12.75" hidden="false" customHeight="false" outlineLevel="0" collapsed="false">
      <c r="B25" s="0" t="s">
        <v>31</v>
      </c>
      <c r="E25" s="7" t="n">
        <f aca="false">E23*0.07</f>
        <v>89181.75</v>
      </c>
    </row>
    <row r="26" customFormat="false" ht="12.75" hidden="false" customHeight="false" outlineLevel="0" collapsed="false">
      <c r="E26" s="15" t="n">
        <f aca="false">SUM(E17:E25)</f>
        <v>32773066.75</v>
      </c>
    </row>
    <row r="29" customFormat="false" ht="12.75" hidden="false" customHeight="false" outlineLevel="0" collapsed="false">
      <c r="A29" s="2" t="s">
        <v>32</v>
      </c>
    </row>
    <row r="30" customFormat="false" ht="12.75" hidden="false" customHeight="false" outlineLevel="0" collapsed="false">
      <c r="B30" s="0" t="s">
        <v>33</v>
      </c>
      <c r="E30" s="5" t="n">
        <f aca="false">27500000/4</f>
        <v>6875000</v>
      </c>
    </row>
    <row r="31" customFormat="false" ht="12.75" hidden="false" customHeight="false" outlineLevel="0" collapsed="false">
      <c r="B31" s="0" t="s">
        <v>34</v>
      </c>
      <c r="E31" s="5" t="n">
        <f aca="false">2000000/4</f>
        <v>500000</v>
      </c>
    </row>
    <row r="32" customFormat="false" ht="12.75" hidden="false" customHeight="false" outlineLevel="0" collapsed="false">
      <c r="B32" s="0" t="s">
        <v>35</v>
      </c>
      <c r="E32" s="7" t="n">
        <v>0</v>
      </c>
    </row>
    <row r="33" customFormat="false" ht="12.75" hidden="false" customHeight="false" outlineLevel="0" collapsed="false">
      <c r="E33" s="16" t="n">
        <f aca="false">SUM(E30:E32)</f>
        <v>7375000</v>
      </c>
    </row>
    <row r="34" customFormat="false" ht="12.75" hidden="false" customHeight="false" outlineLevel="0" collapsed="false">
      <c r="E34" s="16"/>
    </row>
    <row r="35" customFormat="false" ht="12.75" hidden="false" customHeight="false" outlineLevel="0" collapsed="false">
      <c r="A35" s="2" t="s">
        <v>36</v>
      </c>
      <c r="E35" s="17" t="n">
        <v>0</v>
      </c>
      <c r="G35" s="0" t="s">
        <v>37</v>
      </c>
    </row>
    <row r="36" customFormat="false" ht="8.25" hidden="false" customHeight="true" outlineLevel="0" collapsed="false">
      <c r="E36" s="18"/>
    </row>
    <row r="37" customFormat="false" ht="12.75" hidden="false" customHeight="false" outlineLevel="0" collapsed="false">
      <c r="A37" s="2" t="s">
        <v>38</v>
      </c>
      <c r="E37" s="19" t="n">
        <f aca="false">E35+E33+E26+E14+E8</f>
        <v>74129766.75</v>
      </c>
    </row>
    <row r="39" customFormat="false" ht="12.75" hidden="false" customHeight="false" outlineLevel="0" collapsed="false">
      <c r="A39" s="2" t="s">
        <v>39</v>
      </c>
      <c r="E39" s="20" t="n">
        <v>10870000</v>
      </c>
    </row>
    <row r="40" customFormat="false" ht="8.25" hidden="false" customHeight="true" outlineLevel="0" collapsed="false"/>
    <row r="41" customFormat="false" ht="13.5" hidden="false" customHeight="false" outlineLevel="0" collapsed="false">
      <c r="A41" s="2" t="s">
        <v>40</v>
      </c>
      <c r="E41" s="21" t="n">
        <f aca="false">E37+E39</f>
        <v>84999766.75</v>
      </c>
    </row>
    <row r="42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&amp;R&amp;F&amp;A
&amp;D&amp;T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5" activeCellId="0" sqref="G5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5" width="11.28"/>
    <col collapsed="false" customWidth="true" hidden="false" outlineLevel="0" max="2" min="2" style="5" width="5.56"/>
    <col collapsed="false" customWidth="true" hidden="false" outlineLevel="0" max="3" min="3" style="5" width="11.28"/>
    <col collapsed="false" customWidth="true" hidden="false" outlineLevel="0" max="4" min="4" style="5" width="3.28"/>
    <col collapsed="false" customWidth="true" hidden="false" outlineLevel="0" max="5" min="5" style="5" width="10.28"/>
    <col collapsed="false" customWidth="true" hidden="false" outlineLevel="0" max="6" min="6" style="5" width="2.7"/>
    <col collapsed="false" customWidth="true" hidden="false" outlineLevel="0" max="7" min="7" style="5" width="13.41"/>
    <col collapsed="false" customWidth="true" hidden="false" outlineLevel="0" max="8" min="8" style="5" width="2.28"/>
    <col collapsed="false" customWidth="false" hidden="false" outlineLevel="0" max="257" min="9" style="5" width="9.14"/>
  </cols>
  <sheetData>
    <row r="1" customFormat="false" ht="18" hidden="false" customHeight="false" outlineLevel="0" collapsed="false">
      <c r="A1" s="22" t="s">
        <v>41</v>
      </c>
    </row>
    <row r="3" customFormat="false" ht="12.75" hidden="false" customHeight="false" outlineLevel="0" collapsed="false">
      <c r="C3" s="23" t="s">
        <v>42</v>
      </c>
      <c r="E3" s="23" t="s">
        <v>43</v>
      </c>
    </row>
    <row r="4" customFormat="false" ht="12.75" hidden="false" customHeight="false" outlineLevel="0" collapsed="false">
      <c r="C4" s="23" t="s">
        <v>44</v>
      </c>
      <c r="E4" s="23" t="s">
        <v>45</v>
      </c>
      <c r="G4" s="23" t="s">
        <v>46</v>
      </c>
    </row>
    <row r="5" customFormat="false" ht="12.75" hidden="false" customHeight="false" outlineLevel="0" collapsed="false">
      <c r="C5" s="23"/>
    </row>
    <row r="6" customFormat="false" ht="12.75" hidden="false" customHeight="false" outlineLevel="0" collapsed="false">
      <c r="A6" s="24" t="s">
        <v>9</v>
      </c>
      <c r="C6" s="5" t="n">
        <v>395276</v>
      </c>
      <c r="E6" s="5" t="n">
        <v>587051</v>
      </c>
      <c r="G6" s="5" t="n">
        <f aca="false">E6-C6</f>
        <v>191775</v>
      </c>
    </row>
    <row r="7" customFormat="false" ht="12.75" hidden="false" customHeight="false" outlineLevel="0" collapsed="false">
      <c r="A7" s="24"/>
      <c r="G7" s="5" t="n">
        <f aca="false">E7-C7</f>
        <v>0</v>
      </c>
    </row>
    <row r="8" customFormat="false" ht="12.75" hidden="false" customHeight="false" outlineLevel="0" collapsed="false">
      <c r="A8" s="24" t="s">
        <v>8</v>
      </c>
      <c r="C8" s="5" t="n">
        <v>395276</v>
      </c>
      <c r="E8" s="5" t="n">
        <v>620100</v>
      </c>
      <c r="G8" s="5" t="n">
        <f aca="false">E8-C8</f>
        <v>224824</v>
      </c>
    </row>
    <row r="9" customFormat="false" ht="12.75" hidden="false" customHeight="false" outlineLevel="0" collapsed="false">
      <c r="A9" s="24"/>
    </row>
    <row r="10" customFormat="false" ht="12.75" hidden="false" customHeight="false" outlineLevel="0" collapsed="false">
      <c r="A10" s="24" t="s">
        <v>7</v>
      </c>
      <c r="C10" s="5" t="n">
        <v>395276</v>
      </c>
      <c r="E10" s="5" t="n">
        <v>641831</v>
      </c>
      <c r="G10" s="5" t="n">
        <f aca="false">E10-C10</f>
        <v>246555</v>
      </c>
    </row>
    <row r="11" customFormat="false" ht="12.75" hidden="false" customHeight="false" outlineLevel="0" collapsed="false">
      <c r="A11" s="24"/>
    </row>
    <row r="12" customFormat="false" ht="12.75" hidden="false" customHeight="false" outlineLevel="0" collapsed="false">
      <c r="A12" s="24" t="s">
        <v>47</v>
      </c>
      <c r="C12" s="7" t="n">
        <v>395276</v>
      </c>
      <c r="E12" s="7" t="n">
        <v>225000</v>
      </c>
      <c r="F12" s="5" t="s">
        <v>48</v>
      </c>
      <c r="G12" s="7" t="n">
        <f aca="false">E12-C12</f>
        <v>-170276</v>
      </c>
    </row>
    <row r="14" customFormat="false" ht="12.75" hidden="false" customHeight="false" outlineLevel="0" collapsed="false">
      <c r="A14" s="24" t="s">
        <v>10</v>
      </c>
      <c r="B14" s="24"/>
      <c r="C14" s="24" t="n">
        <f aca="false">SUM(C6:C12)</f>
        <v>1581104</v>
      </c>
      <c r="D14" s="24"/>
      <c r="E14" s="24" t="n">
        <f aca="false">SUM(E6:E12)</f>
        <v>2073982</v>
      </c>
      <c r="F14" s="24"/>
      <c r="G14" s="24" t="n">
        <f aca="false">E14-C14</f>
        <v>492878</v>
      </c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  <c r="AN14" s="24"/>
      <c r="AO14" s="24"/>
      <c r="AP14" s="24"/>
      <c r="AQ14" s="24"/>
      <c r="AR14" s="24"/>
      <c r="AS14" s="24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  <c r="BF14" s="24"/>
      <c r="BG14" s="24"/>
      <c r="BH14" s="24"/>
      <c r="BI14" s="24"/>
      <c r="BJ14" s="24"/>
      <c r="BK14" s="24"/>
      <c r="BL14" s="24"/>
      <c r="BM14" s="24"/>
      <c r="BN14" s="24"/>
      <c r="BO14" s="24"/>
      <c r="BP14" s="24"/>
      <c r="BQ14" s="24"/>
      <c r="BR14" s="24"/>
      <c r="BS14" s="24"/>
      <c r="BT14" s="24"/>
      <c r="BU14" s="24"/>
      <c r="BV14" s="24"/>
      <c r="BW14" s="24"/>
      <c r="BX14" s="24"/>
      <c r="BY14" s="24"/>
      <c r="BZ14" s="24"/>
      <c r="CA14" s="24"/>
      <c r="CB14" s="24"/>
      <c r="CC14" s="24"/>
      <c r="CD14" s="24"/>
      <c r="CE14" s="24"/>
      <c r="CF14" s="24"/>
      <c r="CG14" s="24"/>
      <c r="CH14" s="24"/>
      <c r="CI14" s="24"/>
      <c r="CJ14" s="24"/>
      <c r="CK14" s="24"/>
      <c r="CL14" s="24"/>
      <c r="CM14" s="24"/>
      <c r="CN14" s="24"/>
      <c r="CO14" s="24"/>
      <c r="CP14" s="24"/>
      <c r="CQ14" s="24"/>
      <c r="CR14" s="24"/>
      <c r="CS14" s="24"/>
      <c r="CT14" s="24"/>
      <c r="CU14" s="24"/>
      <c r="CV14" s="24"/>
      <c r="CW14" s="24"/>
      <c r="CX14" s="24"/>
      <c r="CY14" s="24"/>
      <c r="CZ14" s="24"/>
      <c r="DA14" s="24"/>
      <c r="DB14" s="24"/>
      <c r="DC14" s="24"/>
      <c r="DD14" s="24"/>
      <c r="DE14" s="24"/>
      <c r="DF14" s="24"/>
      <c r="DG14" s="24"/>
      <c r="DH14" s="24"/>
      <c r="DI14" s="24"/>
      <c r="DJ14" s="24"/>
      <c r="DK14" s="24"/>
      <c r="DL14" s="24"/>
      <c r="DM14" s="24"/>
      <c r="DN14" s="24"/>
      <c r="DO14" s="24"/>
      <c r="DP14" s="24"/>
      <c r="DQ14" s="24"/>
      <c r="DR14" s="24"/>
      <c r="DS14" s="24"/>
      <c r="DT14" s="24"/>
      <c r="DU14" s="24"/>
      <c r="DV14" s="24"/>
      <c r="DW14" s="24"/>
      <c r="DX14" s="2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24"/>
      <c r="EL14" s="24"/>
      <c r="EM14" s="24"/>
      <c r="EN14" s="24"/>
      <c r="EO14" s="24"/>
      <c r="EP14" s="24"/>
      <c r="EQ14" s="24"/>
      <c r="ER14" s="24"/>
      <c r="ES14" s="2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24"/>
      <c r="FH14" s="24"/>
      <c r="FI14" s="24"/>
      <c r="FJ14" s="24"/>
      <c r="FK14" s="24"/>
      <c r="FL14" s="24"/>
      <c r="FM14" s="24"/>
      <c r="FN14" s="24"/>
      <c r="FO14" s="24"/>
      <c r="FP14" s="24"/>
      <c r="FQ14" s="24"/>
      <c r="FR14" s="24"/>
      <c r="FS14" s="24"/>
      <c r="FT14" s="24"/>
      <c r="FU14" s="24"/>
      <c r="FV14" s="24"/>
      <c r="FW14" s="24"/>
      <c r="FX14" s="24"/>
      <c r="FY14" s="24"/>
      <c r="FZ14" s="24"/>
      <c r="GA14" s="24"/>
      <c r="GB14" s="24"/>
      <c r="GC14" s="24"/>
      <c r="GD14" s="24"/>
      <c r="GE14" s="24"/>
      <c r="GF14" s="24"/>
      <c r="GG14" s="24"/>
      <c r="GH14" s="24"/>
      <c r="GI14" s="24"/>
      <c r="GJ14" s="24"/>
      <c r="GK14" s="24"/>
      <c r="GL14" s="24"/>
      <c r="GM14" s="24"/>
      <c r="GN14" s="24"/>
      <c r="GO14" s="24"/>
      <c r="GP14" s="24"/>
      <c r="GQ14" s="24"/>
      <c r="GR14" s="24"/>
      <c r="GS14" s="24"/>
      <c r="GT14" s="24"/>
      <c r="GU14" s="24"/>
      <c r="GV14" s="24"/>
      <c r="GW14" s="24"/>
      <c r="GX14" s="24"/>
      <c r="GY14" s="24"/>
      <c r="GZ14" s="24"/>
      <c r="HA14" s="24"/>
      <c r="HB14" s="24"/>
      <c r="HC14" s="24"/>
      <c r="HD14" s="24"/>
      <c r="HE14" s="24"/>
      <c r="HF14" s="24"/>
      <c r="HG14" s="24"/>
      <c r="HH14" s="24"/>
      <c r="HI14" s="24"/>
      <c r="HJ14" s="24"/>
      <c r="HK14" s="24"/>
      <c r="HL14" s="24"/>
      <c r="HM14" s="24"/>
      <c r="HN14" s="24"/>
      <c r="HO14" s="24"/>
      <c r="HP14" s="24"/>
      <c r="HQ14" s="24"/>
      <c r="HR14" s="24"/>
      <c r="HS14" s="24"/>
      <c r="HT14" s="24"/>
      <c r="HU14" s="24"/>
      <c r="HV14" s="24"/>
      <c r="HW14" s="24"/>
      <c r="HX14" s="24"/>
      <c r="HY14" s="24"/>
      <c r="HZ14" s="24"/>
      <c r="IA14" s="24"/>
      <c r="IB14" s="24"/>
      <c r="IC14" s="24"/>
      <c r="ID14" s="24"/>
      <c r="IE14" s="24"/>
      <c r="IF14" s="24"/>
      <c r="IG14" s="24"/>
      <c r="IH14" s="24"/>
      <c r="II14" s="24"/>
      <c r="IJ14" s="24"/>
      <c r="IK14" s="24"/>
      <c r="IL14" s="24"/>
      <c r="IM14" s="24"/>
      <c r="IN14" s="24"/>
      <c r="IO14" s="24"/>
      <c r="IP14" s="24"/>
      <c r="IQ14" s="24"/>
      <c r="IR14" s="24"/>
      <c r="IS14" s="24"/>
      <c r="IT14" s="24"/>
      <c r="IU14" s="24"/>
      <c r="IV14" s="24"/>
      <c r="IW14" s="24"/>
    </row>
    <row r="16" customFormat="false" ht="12.75" hidden="false" customHeight="false" outlineLevel="0" collapsed="false">
      <c r="E16" s="5" t="s">
        <v>49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&amp;R&amp;F&amp;A
&amp;D&amp;T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D1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33" activeCellId="0" sqref="C3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99"/>
    <col collapsed="false" customWidth="true" hidden="false" outlineLevel="0" max="3" min="2" style="0" width="4.7"/>
  </cols>
  <sheetData>
    <row r="1" customFormat="false" ht="12.75" hidden="false" customHeight="false" outlineLevel="0" collapsed="false">
      <c r="B1" s="25" t="s">
        <v>50</v>
      </c>
    </row>
    <row r="3" customFormat="false" ht="12.75" hidden="false" customHeight="false" outlineLevel="0" collapsed="false">
      <c r="A3" s="0" t="n">
        <v>1</v>
      </c>
      <c r="B3" s="0" t="s">
        <v>51</v>
      </c>
    </row>
    <row r="5" customFormat="false" ht="12.75" hidden="false" customHeight="false" outlineLevel="0" collapsed="false">
      <c r="A5" s="0" t="n">
        <v>2</v>
      </c>
      <c r="B5" s="0" t="s">
        <v>52</v>
      </c>
    </row>
    <row r="6" customFormat="false" ht="12.75" hidden="false" customHeight="false" outlineLevel="0" collapsed="false">
      <c r="C6" s="0" t="s">
        <v>53</v>
      </c>
    </row>
    <row r="8" customFormat="false" ht="12.75" hidden="false" customHeight="false" outlineLevel="0" collapsed="false">
      <c r="A8" s="0" t="n">
        <v>3</v>
      </c>
      <c r="B8" s="0" t="s">
        <v>54</v>
      </c>
    </row>
    <row r="9" customFormat="false" ht="12.75" hidden="false" customHeight="false" outlineLevel="0" collapsed="false">
      <c r="C9" s="0" t="s">
        <v>55</v>
      </c>
    </row>
    <row r="10" customFormat="false" ht="12.75" hidden="false" customHeight="false" outlineLevel="0" collapsed="false">
      <c r="C10" s="0" t="s">
        <v>56</v>
      </c>
    </row>
    <row r="11" customFormat="false" ht="12.75" hidden="false" customHeight="false" outlineLevel="0" collapsed="false">
      <c r="C11" s="0" t="s">
        <v>57</v>
      </c>
    </row>
    <row r="12" customFormat="false" ht="12.75" hidden="false" customHeight="false" outlineLevel="0" collapsed="false">
      <c r="D12" s="0" t="s">
        <v>58</v>
      </c>
    </row>
    <row r="13" customFormat="false" ht="12.75" hidden="false" customHeight="false" outlineLevel="0" collapsed="false">
      <c r="D13" s="0" t="s">
        <v>59</v>
      </c>
    </row>
    <row r="15" customFormat="false" ht="12.75" hidden="false" customHeight="false" outlineLevel="0" collapsed="false">
      <c r="A15" s="0" t="n">
        <v>4</v>
      </c>
      <c r="B15" s="0" t="s">
        <v>52</v>
      </c>
    </row>
    <row r="16" customFormat="false" ht="12.75" hidden="false" customHeight="false" outlineLevel="0" collapsed="false">
      <c r="C16" s="0" t="s">
        <v>60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E9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8.99"/>
    <col collapsed="false" customWidth="true" hidden="false" outlineLevel="0" max="2" min="2" style="0" width="6.28"/>
    <col collapsed="false" customWidth="true" hidden="false" outlineLevel="0" max="3" min="3" style="0" width="14.99"/>
    <col collapsed="false" customWidth="true" hidden="false" outlineLevel="0" max="4" min="4" style="0" width="2.42"/>
    <col collapsed="false" customWidth="true" hidden="false" outlineLevel="0" max="5" min="5" style="0" width="15.85"/>
    <col collapsed="false" customWidth="true" hidden="false" outlineLevel="0" max="6" min="6" style="0" width="2.42"/>
    <col collapsed="false" customWidth="true" hidden="false" outlineLevel="0" max="7" min="7" style="0" width="14.56"/>
    <col collapsed="false" customWidth="true" hidden="false" outlineLevel="0" max="8" min="8" style="0" width="2.42"/>
    <col collapsed="false" customWidth="true" hidden="false" outlineLevel="0" max="9" min="9" style="0" width="20.28"/>
    <col collapsed="false" customWidth="true" hidden="false" outlineLevel="0" max="10" min="10" style="0" width="2.42"/>
    <col collapsed="false" customWidth="true" hidden="false" outlineLevel="0" max="11" min="11" style="0" width="17.14"/>
    <col collapsed="false" customWidth="true" hidden="false" outlineLevel="0" max="12" min="12" style="0" width="2.7"/>
    <col collapsed="false" customWidth="true" hidden="false" outlineLevel="0" max="13" min="13" style="0" width="9.99"/>
    <col collapsed="false" customWidth="true" hidden="false" outlineLevel="0" max="14" min="14" style="0" width="2.7"/>
    <col collapsed="false" customWidth="true" hidden="false" outlineLevel="0" max="15" min="15" style="0" width="19.28"/>
    <col collapsed="false" customWidth="true" hidden="false" outlineLevel="0" max="16" min="16" style="0" width="2.7"/>
    <col collapsed="false" customWidth="true" hidden="false" outlineLevel="0" max="17" min="17" style="0" width="9.28"/>
  </cols>
  <sheetData>
    <row r="1" customFormat="false" ht="15.75" hidden="false" customHeight="false" outlineLevel="0" collapsed="false">
      <c r="A1" s="1" t="s">
        <v>61</v>
      </c>
    </row>
    <row r="2" customFormat="false" ht="15.75" hidden="false" customHeight="false" outlineLevel="0" collapsed="false">
      <c r="A2" s="1" t="s">
        <v>62</v>
      </c>
      <c r="G2" s="26"/>
      <c r="J2" s="2" t="s">
        <v>63</v>
      </c>
      <c r="O2" s="26" t="n">
        <f aca="true">NOW()</f>
        <v>45926.9394539937</v>
      </c>
    </row>
    <row r="3" customFormat="false" ht="15.75" hidden="false" customHeight="false" outlineLevel="0" collapsed="false">
      <c r="A3" s="1" t="s">
        <v>64</v>
      </c>
      <c r="J3" s="2" t="s">
        <v>65</v>
      </c>
      <c r="O3" s="27" t="s">
        <v>66</v>
      </c>
    </row>
    <row r="4" customFormat="false" ht="16.5" hidden="false" customHeight="false" outlineLevel="0" collapsed="false">
      <c r="A4" s="28" t="s">
        <v>67</v>
      </c>
      <c r="I4" s="29"/>
      <c r="O4" s="30"/>
    </row>
    <row r="5" customFormat="false" ht="16.5" hidden="false" customHeight="false" outlineLevel="0" collapsed="false">
      <c r="A5" s="1"/>
      <c r="G5" s="31" t="s">
        <v>68</v>
      </c>
      <c r="H5" s="31"/>
      <c r="I5" s="31"/>
      <c r="J5" s="31"/>
      <c r="K5" s="31"/>
      <c r="L5" s="1"/>
      <c r="M5" s="1"/>
    </row>
    <row r="6" customFormat="false" ht="12.75" hidden="false" customHeight="false" outlineLevel="0" collapsed="false">
      <c r="A6" s="32"/>
      <c r="C6" s="32"/>
      <c r="E6" s="33" t="s">
        <v>69</v>
      </c>
      <c r="G6" s="34" t="s">
        <v>70</v>
      </c>
      <c r="H6" s="35"/>
      <c r="I6" s="36" t="s">
        <v>71</v>
      </c>
      <c r="J6" s="35"/>
      <c r="K6" s="37" t="s">
        <v>72</v>
      </c>
      <c r="M6" s="33" t="s">
        <v>73</v>
      </c>
      <c r="O6" s="33" t="s">
        <v>74</v>
      </c>
    </row>
    <row r="7" customFormat="false" ht="12.75" hidden="false" customHeight="false" outlineLevel="0" collapsed="false">
      <c r="A7" s="38" t="s">
        <v>75</v>
      </c>
      <c r="C7" s="38" t="s">
        <v>76</v>
      </c>
      <c r="E7" s="39" t="str">
        <f aca="false">+O3</f>
        <v>as of 12/10/99</v>
      </c>
      <c r="G7" s="40" t="str">
        <f aca="false">+O3</f>
        <v>as of 12/10/99</v>
      </c>
      <c r="H7" s="18"/>
      <c r="I7" s="39" t="str">
        <f aca="false">+O3</f>
        <v>as of 12/10/99</v>
      </c>
      <c r="J7" s="18"/>
      <c r="K7" s="41" t="str">
        <f aca="false">+O3</f>
        <v>as of 12/10/99</v>
      </c>
      <c r="M7" s="39" t="s">
        <v>77</v>
      </c>
      <c r="O7" s="39" t="s">
        <v>78</v>
      </c>
    </row>
    <row r="8" customFormat="false" ht="8.1" hidden="false" customHeight="true" outlineLevel="0" collapsed="false">
      <c r="A8" s="32"/>
      <c r="C8" s="33"/>
      <c r="E8" s="32"/>
      <c r="G8" s="42"/>
      <c r="H8" s="18"/>
      <c r="I8" s="32"/>
      <c r="J8" s="18"/>
      <c r="K8" s="43"/>
      <c r="M8" s="32"/>
      <c r="O8" s="32"/>
    </row>
    <row r="9" customFormat="false" ht="12.75" hidden="false" customHeight="false" outlineLevel="0" collapsed="false">
      <c r="A9" s="44" t="s">
        <v>79</v>
      </c>
      <c r="C9" s="44" t="n">
        <v>458</v>
      </c>
      <c r="D9" s="12"/>
      <c r="E9" s="45" t="n">
        <f aca="false">Brownsville!O197/1000</f>
        <v>123741.985472</v>
      </c>
      <c r="F9" s="12"/>
      <c r="G9" s="46" t="n">
        <f aca="false">Brownsville!AS197/1000</f>
        <v>125266.801533333</v>
      </c>
      <c r="H9" s="18"/>
      <c r="I9" s="45" t="n">
        <f aca="false">+Brownsville!AW197/1000</f>
        <v>2972.876162</v>
      </c>
      <c r="J9" s="18"/>
      <c r="K9" s="47" t="n">
        <f aca="false">+I9+G9</f>
        <v>128239.677695333</v>
      </c>
      <c r="M9" s="45" t="n">
        <f aca="false">+E9-K9</f>
        <v>-4497.69222333332</v>
      </c>
      <c r="O9" s="48" t="n">
        <f aca="false">+G9/K9</f>
        <v>0.976817813211736</v>
      </c>
    </row>
    <row r="10" customFormat="false" ht="8.1" hidden="false" customHeight="true" outlineLevel="0" collapsed="false">
      <c r="A10" s="49"/>
      <c r="C10" s="44"/>
      <c r="D10" s="12"/>
      <c r="E10" s="50"/>
      <c r="F10" s="12"/>
      <c r="G10" s="51"/>
      <c r="H10" s="18"/>
      <c r="I10" s="50"/>
      <c r="J10" s="18"/>
      <c r="K10" s="52"/>
      <c r="M10" s="50"/>
      <c r="O10" s="53"/>
    </row>
    <row r="11" customFormat="false" ht="12.75" hidden="false" customHeight="false" outlineLevel="0" collapsed="false">
      <c r="A11" s="44" t="s">
        <v>80</v>
      </c>
      <c r="C11" s="44" t="n">
        <v>442</v>
      </c>
      <c r="D11" s="12"/>
      <c r="E11" s="45" t="n">
        <f aca="false">Caledonia!O198/1000</f>
        <v>148897.992616</v>
      </c>
      <c r="F11" s="12"/>
      <c r="G11" s="46" t="n">
        <f aca="false">Caledonia!AS198/1000</f>
        <v>151635.290963333</v>
      </c>
      <c r="H11" s="18"/>
      <c r="I11" s="45" t="n">
        <f aca="false">+Caledonia!AW198/1000</f>
        <v>3009.367996</v>
      </c>
      <c r="J11" s="18"/>
      <c r="K11" s="47" t="n">
        <f aca="false">+I11+G11</f>
        <v>154644.658959333</v>
      </c>
      <c r="M11" s="45" t="n">
        <f aca="false">+E11-K11</f>
        <v>-5746.66634333329</v>
      </c>
      <c r="O11" s="48" t="n">
        <f aca="false">+G11/K11</f>
        <v>0.980540110364941</v>
      </c>
    </row>
    <row r="12" customFormat="false" ht="8.1" hidden="false" customHeight="true" outlineLevel="0" collapsed="false">
      <c r="A12" s="49"/>
      <c r="C12" s="44"/>
      <c r="D12" s="12"/>
      <c r="E12" s="50"/>
      <c r="F12" s="12"/>
      <c r="G12" s="51"/>
      <c r="H12" s="18"/>
      <c r="I12" s="50"/>
      <c r="J12" s="18"/>
      <c r="K12" s="52"/>
      <c r="M12" s="50"/>
      <c r="O12" s="53"/>
    </row>
    <row r="13" customFormat="false" ht="12.75" hidden="false" customHeight="false" outlineLevel="0" collapsed="false">
      <c r="A13" s="44" t="s">
        <v>81</v>
      </c>
      <c r="C13" s="44" t="n">
        <v>360</v>
      </c>
      <c r="D13" s="12"/>
      <c r="E13" s="45" t="n">
        <f aca="false">NewAlbany!O220/1000</f>
        <v>128386.300141154</v>
      </c>
      <c r="F13" s="12"/>
      <c r="G13" s="46" t="n">
        <f aca="false">NewAlbany!AS220/1000</f>
        <v>144071.458843333</v>
      </c>
      <c r="H13" s="18"/>
      <c r="I13" s="45" t="n">
        <f aca="false">+NewAlbany!AW220/1000</f>
        <v>4185.738284</v>
      </c>
      <c r="J13" s="18"/>
      <c r="K13" s="47" t="n">
        <f aca="false">+I13+G13</f>
        <v>148257.197127333</v>
      </c>
      <c r="M13" s="45" t="n">
        <f aca="false">+E13-K13</f>
        <v>-19870.8969861789</v>
      </c>
      <c r="O13" s="48" t="n">
        <f aca="false">+G13/K13</f>
        <v>0.971767048311287</v>
      </c>
      <c r="AE13" s="0" t="s">
        <v>82</v>
      </c>
    </row>
    <row r="14" customFormat="false" ht="7.5" hidden="false" customHeight="true" outlineLevel="0" collapsed="false">
      <c r="A14" s="44"/>
      <c r="C14" s="44"/>
      <c r="D14" s="12"/>
      <c r="E14" s="45"/>
      <c r="F14" s="12"/>
      <c r="G14" s="46"/>
      <c r="H14" s="18"/>
      <c r="I14" s="45"/>
      <c r="J14" s="18"/>
      <c r="K14" s="47"/>
      <c r="M14" s="45"/>
      <c r="O14" s="48"/>
    </row>
    <row r="15" customFormat="false" ht="12.75" hidden="false" customHeight="false" outlineLevel="0" collapsed="false">
      <c r="A15" s="44" t="s">
        <v>83</v>
      </c>
      <c r="C15" s="44"/>
      <c r="D15" s="12"/>
      <c r="E15" s="45"/>
      <c r="F15" s="12"/>
      <c r="G15" s="46" t="n">
        <f aca="false">(+Brownsville!AY205+Caledonia!AY206+NewAlbany!AY226)/1000</f>
        <v>-4589.70580071333</v>
      </c>
      <c r="H15" s="18"/>
      <c r="I15" s="45" t="n">
        <v>0</v>
      </c>
      <c r="J15" s="18"/>
      <c r="K15" s="47" t="n">
        <f aca="false">+I15+G15</f>
        <v>-4589.70580071333</v>
      </c>
      <c r="M15" s="45" t="n">
        <v>0</v>
      </c>
      <c r="O15" s="54" t="s">
        <v>84</v>
      </c>
    </row>
    <row r="16" customFormat="false" ht="12" hidden="false" customHeight="true" outlineLevel="0" collapsed="false">
      <c r="A16" s="55" t="s">
        <v>85</v>
      </c>
      <c r="B16" s="18"/>
      <c r="C16" s="56"/>
      <c r="D16" s="18"/>
      <c r="E16" s="56"/>
      <c r="F16" s="18"/>
      <c r="G16" s="57"/>
      <c r="H16" s="18"/>
      <c r="I16" s="56"/>
      <c r="J16" s="18"/>
      <c r="K16" s="58"/>
      <c r="L16" s="18"/>
      <c r="M16" s="56"/>
      <c r="N16" s="18"/>
      <c r="O16" s="49"/>
    </row>
    <row r="17" customFormat="false" ht="12.75" hidden="false" customHeight="false" outlineLevel="0" collapsed="false">
      <c r="A17" s="59" t="s">
        <v>86</v>
      </c>
      <c r="B17" s="60"/>
      <c r="C17" s="61" t="n">
        <f aca="false">SUM(C9:C13)</f>
        <v>1260</v>
      </c>
      <c r="D17" s="62"/>
      <c r="E17" s="63" t="n">
        <f aca="false">SUM(E9:E13)</f>
        <v>401026.278229154</v>
      </c>
      <c r="F17" s="62"/>
      <c r="G17" s="64" t="n">
        <f aca="false">SUM(G9:G13)+G15</f>
        <v>416383.845539287</v>
      </c>
      <c r="H17" s="62"/>
      <c r="I17" s="63" t="n">
        <f aca="false">SUM(I9:I13)</f>
        <v>10167.982442</v>
      </c>
      <c r="J17" s="18"/>
      <c r="K17" s="65" t="n">
        <f aca="false">SUM(K9:K13)+K15</f>
        <v>426551.827981287</v>
      </c>
      <c r="L17" s="18"/>
      <c r="M17" s="63" t="n">
        <f aca="false">SUM(M8:M13)</f>
        <v>-30115.2555528455</v>
      </c>
      <c r="N17" s="18"/>
      <c r="O17" s="66" t="n">
        <f aca="false">(+G17-G15)/(K17-K15)</f>
        <v>0.976416137984189</v>
      </c>
    </row>
    <row r="18" customFormat="false" ht="12.75" hidden="false" customHeight="false" outlineLevel="0" collapsed="false">
      <c r="A18" s="67" t="s">
        <v>87</v>
      </c>
      <c r="B18" s="60"/>
      <c r="C18" s="68"/>
      <c r="D18" s="62"/>
      <c r="E18" s="63"/>
      <c r="F18" s="62"/>
      <c r="G18" s="64"/>
      <c r="H18" s="62"/>
      <c r="I18" s="63"/>
      <c r="J18" s="18"/>
      <c r="K18" s="65"/>
      <c r="L18" s="18"/>
      <c r="M18" s="63"/>
      <c r="N18" s="18"/>
      <c r="O18" s="69"/>
    </row>
    <row r="19" customFormat="false" ht="13.5" hidden="false" customHeight="false" outlineLevel="0" collapsed="false">
      <c r="A19" s="70" t="s">
        <v>88</v>
      </c>
      <c r="B19" s="60"/>
      <c r="C19" s="70"/>
      <c r="D19" s="62"/>
      <c r="E19" s="71" t="n">
        <f aca="false">E17/C17</f>
        <v>318.274823991392</v>
      </c>
      <c r="F19" s="62"/>
      <c r="G19" s="72"/>
      <c r="H19" s="73"/>
      <c r="I19" s="74"/>
      <c r="J19" s="75"/>
      <c r="K19" s="76" t="n">
        <f aca="false">K17/C17</f>
        <v>338.533196810545</v>
      </c>
      <c r="L19" s="18"/>
      <c r="M19" s="71"/>
      <c r="N19" s="18"/>
      <c r="O19" s="77"/>
    </row>
    <row r="20" customFormat="false" ht="12.75" hidden="false" customHeight="false" outlineLevel="0" collapsed="false">
      <c r="A20" s="78"/>
      <c r="B20" s="78"/>
      <c r="C20" s="62"/>
      <c r="D20" s="62"/>
      <c r="E20" s="62"/>
      <c r="F20" s="62"/>
      <c r="G20" s="62"/>
      <c r="H20" s="62"/>
      <c r="I20" s="62"/>
      <c r="J20" s="79"/>
      <c r="K20" s="79"/>
      <c r="L20" s="79"/>
      <c r="M20" s="79"/>
      <c r="N20" s="79"/>
      <c r="O20" s="80"/>
      <c r="P20" s="13"/>
      <c r="Q20" s="13"/>
    </row>
    <row r="21" customFormat="false" ht="13.5" hidden="false" customHeight="false" outlineLevel="0" collapsed="false"/>
    <row r="22" customFormat="false" ht="13.5" hidden="false" customHeight="false" outlineLevel="0" collapsed="false">
      <c r="A22" s="81" t="s">
        <v>89</v>
      </c>
      <c r="B22" s="81"/>
      <c r="C22" s="81"/>
      <c r="D22" s="81"/>
      <c r="E22" s="81"/>
      <c r="F22" s="81"/>
      <c r="G22" s="81"/>
      <c r="H22" s="81"/>
      <c r="I22" s="81"/>
      <c r="J22" s="81"/>
      <c r="K22" s="81"/>
      <c r="L22" s="81"/>
      <c r="M22" s="81"/>
      <c r="N22" s="81"/>
      <c r="O22" s="81"/>
    </row>
    <row r="24" customFormat="false" ht="12.75" hidden="false" customHeight="false" outlineLevel="0" collapsed="false">
      <c r="A24" s="82" t="s">
        <v>90</v>
      </c>
      <c r="B24" s="4" t="s">
        <v>91</v>
      </c>
      <c r="C24" s="0" t="s">
        <v>92</v>
      </c>
    </row>
    <row r="25" customFormat="false" ht="12.75" hidden="false" customHeight="false" outlineLevel="0" collapsed="false">
      <c r="A25" s="82"/>
      <c r="B25" s="4" t="s">
        <v>93</v>
      </c>
      <c r="C25" s="0" t="s">
        <v>94</v>
      </c>
    </row>
    <row r="26" customFormat="false" ht="12.75" hidden="false" customHeight="false" outlineLevel="0" collapsed="false">
      <c r="A26" s="82"/>
      <c r="B26" s="4"/>
      <c r="C26" s="0" t="s">
        <v>95</v>
      </c>
    </row>
    <row r="27" customFormat="false" ht="12.75" hidden="false" customHeight="false" outlineLevel="0" collapsed="false">
      <c r="A27" s="82"/>
      <c r="B27" s="4" t="s">
        <v>96</v>
      </c>
      <c r="C27" s="0" t="s">
        <v>97</v>
      </c>
    </row>
    <row r="28" customFormat="false" ht="12.75" hidden="false" customHeight="false" outlineLevel="0" collapsed="false">
      <c r="A28" s="83"/>
      <c r="B28" s="84" t="s">
        <v>98</v>
      </c>
      <c r="C28" s="13" t="s">
        <v>99</v>
      </c>
      <c r="D28" s="13"/>
      <c r="E28" s="13"/>
      <c r="F28" s="13"/>
      <c r="G28" s="13"/>
      <c r="H28" s="13"/>
      <c r="I28" s="13"/>
      <c r="J28" s="13"/>
      <c r="K28" s="13"/>
      <c r="L28" s="13"/>
    </row>
    <row r="29" customFormat="false" ht="12.75" hidden="false" customHeight="false" outlineLevel="0" collapsed="false">
      <c r="A29" s="83"/>
      <c r="B29" s="84"/>
      <c r="C29" s="13" t="s">
        <v>100</v>
      </c>
      <c r="D29" s="13"/>
      <c r="E29" s="13"/>
      <c r="F29" s="13"/>
      <c r="G29" s="13"/>
      <c r="H29" s="13"/>
      <c r="I29" s="13"/>
      <c r="J29" s="13"/>
      <c r="K29" s="13"/>
      <c r="L29" s="13"/>
    </row>
    <row r="30" customFormat="false" ht="12.75" hidden="false" customHeight="false" outlineLevel="0" collapsed="false">
      <c r="A30" s="83"/>
      <c r="B30" s="85" t="n">
        <v>36277</v>
      </c>
      <c r="C30" s="13" t="s">
        <v>101</v>
      </c>
      <c r="D30" s="13"/>
      <c r="E30" s="13"/>
      <c r="F30" s="13"/>
      <c r="G30" s="13"/>
      <c r="H30" s="13"/>
      <c r="I30" s="13"/>
      <c r="J30" s="13"/>
      <c r="K30" s="13"/>
      <c r="L30" s="13"/>
    </row>
    <row r="31" customFormat="false" ht="12.75" hidden="false" customHeight="false" outlineLevel="0" collapsed="false">
      <c r="A31" s="83" t="s">
        <v>102</v>
      </c>
      <c r="B31" s="84" t="s">
        <v>103</v>
      </c>
      <c r="C31" s="13" t="s">
        <v>104</v>
      </c>
      <c r="D31" s="13"/>
      <c r="E31" s="13"/>
      <c r="F31" s="13"/>
      <c r="G31" s="13"/>
      <c r="H31" s="13"/>
      <c r="I31" s="13"/>
      <c r="J31" s="13"/>
      <c r="K31" s="13"/>
      <c r="L31" s="13"/>
    </row>
    <row r="32" customFormat="false" ht="12.75" hidden="false" customHeight="false" outlineLevel="0" collapsed="false">
      <c r="A32" s="83"/>
      <c r="B32" s="4"/>
      <c r="C32" s="13"/>
      <c r="D32" s="13"/>
      <c r="E32" s="13"/>
      <c r="F32" s="13"/>
      <c r="G32" s="13"/>
      <c r="H32" s="13"/>
      <c r="I32" s="13"/>
      <c r="J32" s="13"/>
      <c r="K32" s="13"/>
      <c r="L32" s="13"/>
    </row>
    <row r="33" customFormat="false" ht="12.75" hidden="false" customHeight="false" outlineLevel="0" collapsed="false">
      <c r="A33" s="82" t="s">
        <v>7</v>
      </c>
      <c r="B33" s="4" t="s">
        <v>93</v>
      </c>
      <c r="C33" s="13" t="s">
        <v>105</v>
      </c>
      <c r="D33" s="13"/>
      <c r="E33" s="13"/>
      <c r="F33" s="13"/>
      <c r="G33" s="13"/>
      <c r="H33" s="13"/>
      <c r="I33" s="13"/>
      <c r="J33" s="13"/>
      <c r="K33" s="13"/>
      <c r="L33" s="13"/>
    </row>
    <row r="34" customFormat="false" ht="12.75" hidden="false" customHeight="false" outlineLevel="0" collapsed="false">
      <c r="A34" s="83"/>
      <c r="B34" s="4" t="s">
        <v>106</v>
      </c>
      <c r="C34" s="13" t="s">
        <v>107</v>
      </c>
      <c r="D34" s="13"/>
      <c r="E34" s="13"/>
      <c r="F34" s="13"/>
      <c r="G34" s="13"/>
      <c r="H34" s="13"/>
      <c r="I34" s="13"/>
      <c r="J34" s="13"/>
      <c r="K34" s="13"/>
      <c r="L34" s="13"/>
    </row>
    <row r="35" customFormat="false" ht="12.75" hidden="false" customHeight="false" outlineLevel="0" collapsed="false">
      <c r="A35" s="82" t="s">
        <v>8</v>
      </c>
      <c r="B35" s="4" t="s">
        <v>98</v>
      </c>
      <c r="C35" s="13" t="s">
        <v>108</v>
      </c>
      <c r="D35" s="13"/>
      <c r="E35" s="13"/>
      <c r="F35" s="13"/>
      <c r="G35" s="13"/>
      <c r="H35" s="13"/>
      <c r="I35" s="13"/>
      <c r="J35" s="13"/>
      <c r="K35" s="13"/>
    </row>
    <row r="36" customFormat="false" ht="13.5" hidden="false" customHeight="false" outlineLevel="0" collapsed="false"/>
    <row r="37" customFormat="false" ht="13.5" hidden="false" customHeight="false" outlineLevel="0" collapsed="false">
      <c r="A37" s="81" t="s">
        <v>109</v>
      </c>
      <c r="B37" s="81"/>
      <c r="C37" s="81"/>
      <c r="D37" s="81"/>
      <c r="E37" s="81"/>
      <c r="F37" s="81"/>
      <c r="G37" s="81"/>
      <c r="H37" s="81"/>
      <c r="I37" s="81"/>
      <c r="J37" s="81"/>
      <c r="K37" s="81"/>
      <c r="L37" s="81"/>
      <c r="M37" s="81"/>
      <c r="N37" s="81"/>
      <c r="O37" s="81"/>
    </row>
    <row r="39" customFormat="false" ht="12.75" hidden="false" customHeight="false" outlineLevel="0" collapsed="false">
      <c r="A39" s="82" t="s">
        <v>110</v>
      </c>
      <c r="C39" s="12" t="n">
        <f aca="false">+Brownsville!BA33/1000</f>
        <v>-2073.10094</v>
      </c>
      <c r="E39" s="0" t="s">
        <v>111</v>
      </c>
    </row>
    <row r="40" customFormat="false" ht="12.75" hidden="false" customHeight="false" outlineLevel="0" collapsed="false">
      <c r="A40" s="86"/>
      <c r="C40" s="5" t="n">
        <f aca="false">+Brownsville!BA41/1000</f>
        <v>-147.67172</v>
      </c>
      <c r="E40" s="0" t="s">
        <v>112</v>
      </c>
    </row>
    <row r="41" customFormat="false" ht="12.75" hidden="false" customHeight="false" outlineLevel="0" collapsed="false">
      <c r="A41" s="87"/>
      <c r="C41" s="5" t="n">
        <f aca="false">+Brownsville!BA94/1000+Brownsville!BA67/1000+Brownsville!BA102/1000+Brownsville!BA104/1000</f>
        <v>-1069.0377</v>
      </c>
      <c r="E41" s="0" t="s">
        <v>113</v>
      </c>
    </row>
    <row r="42" customFormat="false" ht="12.75" hidden="false" customHeight="false" outlineLevel="0" collapsed="false">
      <c r="A42" s="87"/>
      <c r="C42" s="5" t="n">
        <f aca="false">(Brownsville!BA111+Brownsville!BA112)/1000</f>
        <v>-13.7504</v>
      </c>
      <c r="E42" s="0" t="s">
        <v>114</v>
      </c>
    </row>
    <row r="43" customFormat="false" ht="12.75" hidden="false" customHeight="false" outlineLevel="0" collapsed="false">
      <c r="A43" s="87"/>
      <c r="C43" s="5"/>
      <c r="E43" s="0" t="s">
        <v>115</v>
      </c>
    </row>
    <row r="44" customFormat="false" ht="12.75" hidden="false" customHeight="false" outlineLevel="0" collapsed="false">
      <c r="A44" s="87"/>
      <c r="C44" s="5" t="n">
        <f aca="false">+Brownsville!BA130/1000+Brownsville!BA120/1000+Brownsville!BA179/1000+Brownsville!BA145/1000+Brownsville!BA192/1000+Brownsville!BA161/1000</f>
        <v>-1051.11192</v>
      </c>
      <c r="E44" s="0" t="s">
        <v>116</v>
      </c>
    </row>
    <row r="45" customFormat="false" ht="12.75" hidden="false" customHeight="false" outlineLevel="0" collapsed="false">
      <c r="A45" s="87"/>
      <c r="C45" s="5" t="n">
        <f aca="false">+Brownsville!BA138/1000</f>
        <v>-3.13741</v>
      </c>
      <c r="E45" s="0" t="s">
        <v>117</v>
      </c>
    </row>
    <row r="46" customFormat="false" ht="12.75" hidden="false" customHeight="false" outlineLevel="0" collapsed="false">
      <c r="A46" s="87"/>
      <c r="C46" s="5" t="n">
        <f aca="false">+Brownsville!BA148/1000</f>
        <v>-1.725</v>
      </c>
      <c r="E46" s="0" t="s">
        <v>118</v>
      </c>
    </row>
    <row r="47" customFormat="false" ht="12.75" hidden="false" customHeight="false" outlineLevel="0" collapsed="false">
      <c r="A47" s="87"/>
      <c r="C47" s="5" t="n">
        <f aca="false">+Brownsville!BA159/1000</f>
        <v>-103.769723333333</v>
      </c>
      <c r="E47" s="0" t="s">
        <v>119</v>
      </c>
    </row>
    <row r="48" customFormat="false" ht="12.75" hidden="false" customHeight="false" outlineLevel="0" collapsed="false">
      <c r="A48" s="87"/>
      <c r="C48" s="5" t="n">
        <f aca="false">+Brownsville!BA194/1000</f>
        <v>771.94889</v>
      </c>
      <c r="E48" s="0" t="s">
        <v>120</v>
      </c>
    </row>
    <row r="49" customFormat="false" ht="12.75" hidden="false" customHeight="false" outlineLevel="0" collapsed="false">
      <c r="A49" s="87"/>
      <c r="C49" s="5" t="n">
        <f aca="false">+Brownsville!BA143/1000</f>
        <v>-4.386</v>
      </c>
      <c r="E49" s="0" t="s">
        <v>121</v>
      </c>
    </row>
    <row r="50" customFormat="false" ht="12.75" hidden="false" customHeight="false" outlineLevel="0" collapsed="false">
      <c r="A50" s="87"/>
      <c r="C50" s="5" t="n">
        <f aca="false">+Brownsville!BA149/1000</f>
        <v>-19.3253</v>
      </c>
      <c r="E50" s="0" t="s">
        <v>122</v>
      </c>
    </row>
    <row r="51" customFormat="false" ht="12.75" hidden="false" customHeight="false" outlineLevel="0" collapsed="false">
      <c r="A51" s="87"/>
      <c r="C51" s="5" t="n">
        <f aca="false">+Brownsville!BA103/1000</f>
        <v>-284</v>
      </c>
      <c r="E51" s="0" t="s">
        <v>123</v>
      </c>
    </row>
    <row r="52" customFormat="false" ht="12.75" hidden="false" customHeight="false" outlineLevel="0" collapsed="false">
      <c r="A52" s="87"/>
      <c r="C52" s="5" t="n">
        <f aca="false">+Brownsville!BA115/1000</f>
        <v>-497.62681</v>
      </c>
      <c r="E52" s="0" t="s">
        <v>18</v>
      </c>
    </row>
    <row r="53" customFormat="false" ht="5.25" hidden="false" customHeight="true" outlineLevel="0" collapsed="false">
      <c r="A53" s="82"/>
      <c r="C53" s="5"/>
    </row>
    <row r="54" customFormat="false" ht="12.75" hidden="false" customHeight="false" outlineLevel="0" collapsed="false">
      <c r="A54" s="82"/>
      <c r="C54" s="88" t="n">
        <f aca="false">SUM(C39:C53)-1</f>
        <v>-4497.69403333333</v>
      </c>
    </row>
    <row r="55" customFormat="false" ht="6" hidden="false" customHeight="true" outlineLevel="0" collapsed="false">
      <c r="C55" s="5"/>
    </row>
    <row r="56" customFormat="false" ht="12.75" hidden="false" customHeight="false" outlineLevel="0" collapsed="false">
      <c r="A56" s="82" t="s">
        <v>124</v>
      </c>
      <c r="C56" s="12" t="n">
        <f aca="false">+Caledonia!BA36/1000</f>
        <v>-2416.89892</v>
      </c>
      <c r="E56" s="0" t="s">
        <v>125</v>
      </c>
    </row>
    <row r="57" customFormat="false" ht="12.75" hidden="false" customHeight="false" outlineLevel="0" collapsed="false">
      <c r="A57" s="86"/>
      <c r="C57" s="5" t="n">
        <f aca="false">Caledonia!BA44/1000</f>
        <v>-165.85421</v>
      </c>
      <c r="E57" s="0" t="s">
        <v>112</v>
      </c>
    </row>
    <row r="58" customFormat="false" ht="12.75" hidden="false" customHeight="false" outlineLevel="0" collapsed="false">
      <c r="A58" s="87"/>
      <c r="C58" s="5" t="n">
        <f aca="false">+Caledonia!BA98/1000+Caledonia!BA70/1000+Caledonia!BA106/1000+Caledonia!BA108/1000</f>
        <v>-3704.63915</v>
      </c>
      <c r="E58" s="0" t="s">
        <v>126</v>
      </c>
    </row>
    <row r="59" customFormat="false" ht="12.75" hidden="false" customHeight="false" outlineLevel="0" collapsed="false">
      <c r="A59" s="87"/>
      <c r="C59" s="5" t="n">
        <f aca="false">(Caledonia!BA121+Caledonia!BA122)/1000</f>
        <v>115.95956</v>
      </c>
      <c r="E59" s="0" t="s">
        <v>114</v>
      </c>
    </row>
    <row r="60" customFormat="false" ht="12.75" hidden="false" customHeight="false" outlineLevel="0" collapsed="false">
      <c r="A60" s="87"/>
      <c r="C60" s="5"/>
      <c r="E60" s="0" t="s">
        <v>115</v>
      </c>
    </row>
    <row r="61" customFormat="false" ht="12.75" hidden="false" customHeight="false" outlineLevel="0" collapsed="false">
      <c r="A61" s="87"/>
      <c r="C61" s="5" t="n">
        <f aca="false">+Caledonia!BA138/1000+Caledonia!BA136/1000+Caledonia!BA192/1000+Caledonia!BA184/1000+Caledonia!BA154/1000+Caledonia!BA152/1000</f>
        <v>-668.78677</v>
      </c>
      <c r="E61" s="0" t="s">
        <v>127</v>
      </c>
    </row>
    <row r="62" customFormat="false" ht="12.75" hidden="false" customHeight="false" outlineLevel="0" collapsed="false">
      <c r="A62" s="87"/>
      <c r="C62" s="5" t="n">
        <f aca="false">+Caledonia!BA148/1000</f>
        <v>-125.11226</v>
      </c>
      <c r="E62" s="0" t="s">
        <v>128</v>
      </c>
    </row>
    <row r="63" customFormat="false" ht="12.75" hidden="false" customHeight="false" outlineLevel="0" collapsed="false">
      <c r="A63" s="87"/>
      <c r="C63" s="5" t="n">
        <f aca="false">+Caledonia!BA157/1000</f>
        <v>117.884</v>
      </c>
      <c r="E63" s="0" t="s">
        <v>118</v>
      </c>
    </row>
    <row r="64" customFormat="false" ht="12.75" hidden="false" customHeight="false" outlineLevel="0" collapsed="false">
      <c r="A64" s="87"/>
      <c r="C64" s="5" t="n">
        <f aca="false">+Caledonia!BA150/1000</f>
        <v>805.317</v>
      </c>
      <c r="E64" s="0" t="s">
        <v>129</v>
      </c>
    </row>
    <row r="65" customFormat="false" ht="12.75" hidden="false" customHeight="false" outlineLevel="0" collapsed="false">
      <c r="A65" s="87"/>
      <c r="C65" s="5" t="n">
        <f aca="false">+Caledonia!BA194/1000</f>
        <v>863.96393</v>
      </c>
      <c r="E65" s="0" t="s">
        <v>120</v>
      </c>
    </row>
    <row r="66" customFormat="false" ht="12.75" hidden="false" customHeight="false" outlineLevel="0" collapsed="false">
      <c r="A66" s="87"/>
      <c r="C66" s="5" t="n">
        <f aca="false">+Caledonia!BA112/1000</f>
        <v>-283</v>
      </c>
      <c r="E66" s="0" t="str">
        <f aca="false">+E51</f>
        <v>NEPCO Interest Charges</v>
      </c>
    </row>
    <row r="67" customFormat="false" ht="12.75" hidden="false" customHeight="false" outlineLevel="0" collapsed="false">
      <c r="A67" s="87"/>
      <c r="C67" s="5" t="n">
        <f aca="false">Caledonia!BA169/1000</f>
        <v>-285.019713333333</v>
      </c>
      <c r="E67" s="0" t="s">
        <v>119</v>
      </c>
    </row>
    <row r="68" customFormat="false" ht="5.25" hidden="false" customHeight="true" outlineLevel="0" collapsed="false">
      <c r="A68" s="82"/>
      <c r="C68" s="5"/>
    </row>
    <row r="69" customFormat="false" ht="12.75" hidden="false" customHeight="false" outlineLevel="0" collapsed="false">
      <c r="A69" s="82"/>
      <c r="C69" s="88" t="n">
        <f aca="false">SUM(C56:C68)-1</f>
        <v>-5747.18653333333</v>
      </c>
    </row>
    <row r="70" customFormat="false" ht="6" hidden="false" customHeight="true" outlineLevel="0" collapsed="false">
      <c r="C70" s="5"/>
    </row>
    <row r="71" customFormat="false" ht="12.75" hidden="false" customHeight="false" outlineLevel="0" collapsed="false">
      <c r="A71" s="0" t="s">
        <v>130</v>
      </c>
      <c r="C71" s="12" t="n">
        <f aca="false">NewAlbany!BA10/1000</f>
        <v>100.67737</v>
      </c>
      <c r="E71" s="0" t="s">
        <v>131</v>
      </c>
    </row>
    <row r="72" customFormat="false" ht="12.75" hidden="false" customHeight="false" outlineLevel="0" collapsed="false">
      <c r="C72" s="5" t="n">
        <f aca="false">+(NewAlbany!BA30+NewAlbany!BA34+NewAlbany!BA35+NewAlbany!BA36+NewAlbany!BA37+NewAlbany!BA38+NewAlbany!BA39+NewAlbany!BA40)/1000+NewAlbany!BA23/1000</f>
        <v>-1931.95095</v>
      </c>
      <c r="E72" s="0" t="s">
        <v>132</v>
      </c>
    </row>
    <row r="73" customFormat="false" ht="12.75" hidden="false" customHeight="false" outlineLevel="0" collapsed="false">
      <c r="A73" s="86"/>
      <c r="C73" s="5" t="n">
        <f aca="false">(NewAlbany!BA15+NewAlbany!BA28)/1000+NewAlbany!BA20/1000+NewAlbany!BA16/1000</f>
        <v>-2968.97866</v>
      </c>
      <c r="E73" s="0" t="s">
        <v>133</v>
      </c>
    </row>
    <row r="74" customFormat="false" ht="12.75" hidden="false" customHeight="false" outlineLevel="0" collapsed="false">
      <c r="A74" s="86"/>
      <c r="E74" s="0" t="s">
        <v>134</v>
      </c>
    </row>
    <row r="75" customFormat="false" ht="12.75" hidden="false" customHeight="false" outlineLevel="0" collapsed="false">
      <c r="A75" s="86"/>
      <c r="C75" s="5" t="n">
        <f aca="false">+NewAlbany!BA33/1000</f>
        <v>-17.17896</v>
      </c>
      <c r="E75" s="0" t="s">
        <v>135</v>
      </c>
    </row>
    <row r="76" customFormat="false" ht="12.75" hidden="false" customHeight="false" outlineLevel="0" collapsed="false">
      <c r="A76" s="87"/>
      <c r="C76" s="5" t="n">
        <f aca="false">NewAlbany!BA22/1000</f>
        <v>-964.412960000001</v>
      </c>
      <c r="E76" s="13" t="s">
        <v>136</v>
      </c>
      <c r="F76" s="13"/>
      <c r="G76" s="13"/>
      <c r="H76" s="13"/>
      <c r="I76" s="13"/>
      <c r="J76" s="13"/>
      <c r="K76" s="13"/>
    </row>
    <row r="77" customFormat="false" ht="12.75" hidden="false" customHeight="false" outlineLevel="0" collapsed="false">
      <c r="A77" s="87"/>
      <c r="C77" s="5" t="n">
        <f aca="false">NewAlbany!BA24/1000</f>
        <v>-8506.63748</v>
      </c>
      <c r="E77" s="13" t="s">
        <v>137</v>
      </c>
      <c r="F77" s="13"/>
      <c r="G77" s="13"/>
      <c r="H77" s="13"/>
      <c r="I77" s="13"/>
      <c r="J77" s="13"/>
      <c r="K77" s="13"/>
    </row>
    <row r="78" customFormat="false" ht="12.75" hidden="false" customHeight="false" outlineLevel="0" collapsed="false">
      <c r="A78" s="86"/>
      <c r="C78" s="5" t="n">
        <f aca="false">NewAlbany!BA27/1000</f>
        <v>-2526.15653</v>
      </c>
      <c r="E78" s="0" t="s">
        <v>138</v>
      </c>
    </row>
    <row r="79" customFormat="false" ht="12.75" hidden="false" customHeight="false" outlineLevel="0" collapsed="false">
      <c r="A79" s="86"/>
      <c r="C79" s="5" t="n">
        <f aca="false">NewAlbany!BA51/1000</f>
        <v>-557.848</v>
      </c>
      <c r="E79" s="0" t="s">
        <v>139</v>
      </c>
    </row>
    <row r="80" customFormat="false" ht="12.75" hidden="false" customHeight="false" outlineLevel="0" collapsed="false">
      <c r="A80" s="86"/>
      <c r="C80" s="5" t="n">
        <f aca="false">(NewAlbany!BA145+NewAlbany!BA146)/1000</f>
        <v>-93.60859</v>
      </c>
      <c r="E80" s="0" t="s">
        <v>114</v>
      </c>
    </row>
    <row r="81" customFormat="false" ht="12.75" hidden="false" customHeight="false" outlineLevel="0" collapsed="false">
      <c r="A81" s="86"/>
      <c r="C81" s="5"/>
      <c r="E81" s="0" t="s">
        <v>115</v>
      </c>
    </row>
    <row r="82" customFormat="false" ht="12.75" hidden="false" customHeight="false" outlineLevel="0" collapsed="false">
      <c r="A82" s="86"/>
      <c r="C82" s="5" t="n">
        <f aca="false">+NewAlbany!BA141/1000-NewAlbany!BA137/1000</f>
        <v>-2158.55417</v>
      </c>
      <c r="E82" s="0" t="s">
        <v>140</v>
      </c>
    </row>
    <row r="83" customFormat="false" ht="12.75" hidden="false" customHeight="false" outlineLevel="0" collapsed="false">
      <c r="A83" s="86"/>
      <c r="C83" s="5" t="n">
        <f aca="false">(NewAlbany!BA155+NewAlbany!BA156)/1000+NewAlbany!BA153/1000+NewAlbany!BA214/1000+NewAlbany!BA205/1000+NewAlbany!BA172/1000+NewAlbany!BA170/1000</f>
        <v>-716.92493</v>
      </c>
      <c r="E83" s="0" t="s">
        <v>141</v>
      </c>
    </row>
    <row r="84" customFormat="false" ht="12.75" hidden="false" customHeight="false" outlineLevel="0" collapsed="false">
      <c r="A84" s="87"/>
      <c r="C84" s="5" t="n">
        <f aca="false">NewAlbany!BA189/1000</f>
        <v>-153.769703333333</v>
      </c>
      <c r="E84" s="0" t="s">
        <v>142</v>
      </c>
    </row>
    <row r="85" customFormat="false" ht="12.75" hidden="false" customHeight="false" outlineLevel="0" collapsed="false">
      <c r="A85" s="87"/>
      <c r="C85" s="5" t="n">
        <f aca="false">+NewAlbany!BA175/1000</f>
        <v>64.384</v>
      </c>
      <c r="E85" s="0" t="s">
        <v>118</v>
      </c>
    </row>
    <row r="86" customFormat="false" ht="12.75" hidden="false" customHeight="false" outlineLevel="0" collapsed="false">
      <c r="A86" s="87"/>
      <c r="C86" s="5" t="n">
        <f aca="false">+NewAlbany!BA168/1000</f>
        <v>263</v>
      </c>
      <c r="E86" s="0" t="str">
        <f aca="false">+E64</f>
        <v>Sales tax savings </v>
      </c>
    </row>
    <row r="87" customFormat="false" ht="12.75" hidden="false" customHeight="false" outlineLevel="0" collapsed="false">
      <c r="A87" s="87"/>
      <c r="C87" s="5" t="n">
        <f aca="false">+NewAlbany!BA216/1000</f>
        <v>624.98426</v>
      </c>
      <c r="E87" s="0" t="s">
        <v>120</v>
      </c>
    </row>
    <row r="88" customFormat="false" ht="12.75" hidden="false" customHeight="false" outlineLevel="0" collapsed="false">
      <c r="A88" s="87"/>
      <c r="C88" s="5" t="n">
        <f aca="false">+NewAlbany!BA137/1000</f>
        <v>-260</v>
      </c>
      <c r="E88" s="0" t="str">
        <f aca="false">+E66</f>
        <v>NEPCO Interest Charges</v>
      </c>
    </row>
    <row r="89" customFormat="false" ht="12.75" hidden="false" customHeight="false" outlineLevel="0" collapsed="false">
      <c r="A89" s="87"/>
      <c r="C89" s="5" t="n">
        <f aca="false">+NewAlbany!BA166/1000</f>
        <v>-68.97324</v>
      </c>
      <c r="E89" s="0" t="s">
        <v>117</v>
      </c>
    </row>
    <row r="90" customFormat="false" ht="12.75" hidden="false" customHeight="false" outlineLevel="0" collapsed="false">
      <c r="A90" s="86"/>
      <c r="C90" s="88" t="n">
        <f aca="false">SUM(C71:C89)+1</f>
        <v>-19870.9485433333</v>
      </c>
    </row>
    <row r="91" customFormat="false" ht="6" hidden="false" customHeight="true" outlineLevel="0" collapsed="false">
      <c r="A91" s="82"/>
      <c r="C91" s="12"/>
    </row>
    <row r="92" customFormat="false" ht="13.5" hidden="false" customHeight="false" outlineLevel="0" collapsed="false">
      <c r="A92" s="82"/>
      <c r="C92" s="89" t="n">
        <f aca="false">+C90+C69+C54</f>
        <v>-30115.82911</v>
      </c>
    </row>
    <row r="93" customFormat="false" ht="13.5" hidden="false" customHeight="false" outlineLevel="0" collapsed="false"/>
    <row r="95" customFormat="false" ht="12.75" hidden="false" customHeight="false" outlineLevel="0" collapsed="false">
      <c r="A95" s="29" t="s">
        <v>143</v>
      </c>
      <c r="B95" s="90" t="s">
        <v>144</v>
      </c>
      <c r="C95" s="60"/>
      <c r="D95" s="18"/>
      <c r="E95" s="91"/>
      <c r="F95" s="18"/>
      <c r="G95" s="91"/>
      <c r="H95" s="18"/>
      <c r="I95" s="91"/>
      <c r="J95" s="92"/>
      <c r="K95" s="62"/>
      <c r="L95" s="18"/>
      <c r="M95" s="18"/>
      <c r="N95" s="18"/>
      <c r="O95" s="18"/>
      <c r="P95" s="18"/>
      <c r="Q95" s="80"/>
    </row>
    <row r="97" customFormat="false" ht="12.75" hidden="false" customHeight="false" outlineLevel="0" collapsed="false">
      <c r="A97" s="93" t="str">
        <f aca="true">CELL("FILENAME")</f>
        <v>'file:///mnt/12tb/@roms/datasets/enron/EDRM Enron Email Data Set v2 XML/filtered-attachments/xls/TVA_Wkly_Anal___121499.xls'#$Summary</v>
      </c>
      <c r="B97" s="2"/>
      <c r="C97" s="2"/>
    </row>
  </sheetData>
  <mergeCells count="3">
    <mergeCell ref="G5:K5"/>
    <mergeCell ref="A22:O22"/>
    <mergeCell ref="A37:O37"/>
  </mergeCells>
  <printOptions headings="false" gridLines="false" gridLinesSet="true" horizontalCentered="true" verticalCentered="true"/>
  <pageMargins left="0.5" right="0.25" top="0.25" bottom="0.2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22"/>
  <sheetViews>
    <sheetView showFormulas="false" showGridLines="true" showRowColHeaders="true" showZeros="true" rightToLeft="false" tabSelected="true" showOutlineSymbols="true" defaultGridColor="true" view="pageBreakPreview" topLeftCell="A1" colorId="64" zoomScale="75" zoomScaleNormal="75" zoomScalePageLayoutView="75" workbookViewId="0">
      <pane xSplit="9" ySplit="6" topLeftCell="AR7" activePane="bottomRight" state="frozen"/>
      <selection pane="topLeft" activeCell="A1" activeCellId="0" sqref="A1"/>
      <selection pane="topRight" activeCell="AR1" activeCellId="0" sqref="AR1"/>
      <selection pane="bottomLeft" activeCell="A7" activeCellId="0" sqref="A7"/>
      <selection pane="bottomRight" activeCell="AU12" activeCellId="0" sqref="AU12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90" width="4.7"/>
    <col collapsed="false" customWidth="true" hidden="false" outlineLevel="0" max="2" min="2" style="90" width="41.85"/>
    <col collapsed="false" customWidth="true" hidden="true" outlineLevel="0" max="3" min="3" style="90" width="7.7"/>
    <col collapsed="false" customWidth="true" hidden="true" outlineLevel="0" max="4" min="4" style="90" width="2.56"/>
    <col collapsed="false" customWidth="true" hidden="true" outlineLevel="0" max="5" min="5" style="90" width="16.84"/>
    <col collapsed="false" customWidth="true" hidden="true" outlineLevel="0" max="6" min="6" style="90" width="0.85"/>
    <col collapsed="false" customWidth="true" hidden="true" outlineLevel="0" max="7" min="7" style="94" width="17.14"/>
    <col collapsed="false" customWidth="true" hidden="true" outlineLevel="0" max="8" min="8" style="90" width="2.56"/>
    <col collapsed="false" customWidth="true" hidden="true" outlineLevel="0" max="9" min="9" style="90" width="12.42"/>
    <col collapsed="false" customWidth="true" hidden="true" outlineLevel="0" max="10" min="10" style="90" width="0.85"/>
    <col collapsed="false" customWidth="true" hidden="true" outlineLevel="0" max="11" min="11" style="95" width="24.56"/>
    <col collapsed="false" customWidth="true" hidden="true" outlineLevel="0" max="12" min="12" style="90" width="0.85"/>
    <col collapsed="false" customWidth="true" hidden="true" outlineLevel="0" max="13" min="13" style="95" width="22.99"/>
    <col collapsed="false" customWidth="true" hidden="true" outlineLevel="0" max="14" min="14" style="90" width="0.85"/>
    <col collapsed="false" customWidth="true" hidden="true" outlineLevel="0" max="15" min="15" style="95" width="27.28"/>
    <col collapsed="false" customWidth="true" hidden="false" outlineLevel="0" max="16" min="16" style="90" width="2.56"/>
    <col collapsed="false" customWidth="true" hidden="true" outlineLevel="0" max="17" min="17" style="96" width="19.14"/>
    <col collapsed="false" customWidth="true" hidden="true" outlineLevel="0" max="18" min="18" style="97" width="0.85"/>
    <col collapsed="false" customWidth="true" hidden="true" outlineLevel="0" max="19" min="19" style="96" width="19.14"/>
    <col collapsed="false" customWidth="true" hidden="true" outlineLevel="0" max="20" min="20" style="97" width="0.85"/>
    <col collapsed="false" customWidth="true" hidden="true" outlineLevel="0" max="21" min="21" style="96" width="15.99"/>
    <col collapsed="false" customWidth="true" hidden="true" outlineLevel="0" max="22" min="22" style="95" width="0.85"/>
    <col collapsed="false" customWidth="true" hidden="true" outlineLevel="0" max="23" min="23" style="96" width="15.99"/>
    <col collapsed="false" customWidth="true" hidden="true" outlineLevel="0" max="24" min="24" style="96" width="0.85"/>
    <col collapsed="false" customWidth="true" hidden="true" outlineLevel="0" max="25" min="25" style="96" width="15.99"/>
    <col collapsed="false" customWidth="true" hidden="true" outlineLevel="0" max="26" min="26" style="96" width="0.85"/>
    <col collapsed="false" customWidth="true" hidden="true" outlineLevel="0" max="27" min="27" style="96" width="15.99"/>
    <col collapsed="false" customWidth="true" hidden="true" outlineLevel="0" max="28" min="28" style="96" width="0.85"/>
    <col collapsed="false" customWidth="true" hidden="true" outlineLevel="0" max="29" min="29" style="96" width="15.99"/>
    <col collapsed="false" customWidth="true" hidden="true" outlineLevel="0" max="30" min="30" style="96" width="0.85"/>
    <col collapsed="false" customWidth="true" hidden="true" outlineLevel="0" max="31" min="31" style="96" width="15.99"/>
    <col collapsed="false" customWidth="true" hidden="false" outlineLevel="0" max="32" min="32" style="96" width="0.99"/>
    <col collapsed="false" customWidth="true" hidden="true" outlineLevel="0" max="33" min="33" style="96" width="15.99"/>
    <col collapsed="false" customWidth="true" hidden="true" outlineLevel="0" max="34" min="34" style="96" width="1.13"/>
    <col collapsed="false" customWidth="true" hidden="true" outlineLevel="0" max="35" min="35" style="96" width="15.99"/>
    <col collapsed="false" customWidth="true" hidden="false" outlineLevel="0" max="36" min="36" style="96" width="1.56"/>
    <col collapsed="false" customWidth="true" hidden="false" outlineLevel="0" max="37" min="37" style="96" width="18.56"/>
    <col collapsed="false" customWidth="true" hidden="false" outlineLevel="0" max="38" min="38" style="96" width="1.28"/>
    <col collapsed="false" customWidth="true" hidden="false" outlineLevel="0" max="39" min="39" style="96" width="20.13"/>
    <col collapsed="false" customWidth="true" hidden="false" outlineLevel="0" max="40" min="40" style="96" width="1.41"/>
    <col collapsed="false" customWidth="true" hidden="false" outlineLevel="0" max="41" min="41" style="96" width="20.13"/>
    <col collapsed="false" customWidth="true" hidden="false" outlineLevel="0" max="42" min="42" style="96" width="1.7"/>
    <col collapsed="false" customWidth="true" hidden="false" outlineLevel="0" max="43" min="43" style="96" width="20.13"/>
    <col collapsed="false" customWidth="true" hidden="false" outlineLevel="0" max="44" min="44" style="96" width="1.28"/>
    <col collapsed="false" customWidth="true" hidden="false" outlineLevel="0" max="45" min="45" style="95" width="19.14"/>
    <col collapsed="false" customWidth="true" hidden="false" outlineLevel="0" max="46" min="46" style="90" width="0.99"/>
    <col collapsed="false" customWidth="true" hidden="false" outlineLevel="0" max="47" min="47" style="96" width="23.85"/>
    <col collapsed="false" customWidth="true" hidden="false" outlineLevel="0" max="48" min="48" style="90" width="0.85"/>
    <col collapsed="false" customWidth="true" hidden="false" outlineLevel="0" max="49" min="49" style="95" width="23.99"/>
    <col collapsed="false" customWidth="true" hidden="false" outlineLevel="0" max="50" min="50" style="90" width="2.56"/>
    <col collapsed="false" customWidth="true" hidden="false" outlineLevel="0" max="51" min="51" style="95" width="21.56"/>
    <col collapsed="false" customWidth="true" hidden="false" outlineLevel="0" max="52" min="52" style="90" width="2.56"/>
    <col collapsed="false" customWidth="true" hidden="false" outlineLevel="0" max="53" min="53" style="95" width="18.7"/>
    <col collapsed="false" customWidth="true" hidden="false" outlineLevel="0" max="54" min="54" style="90" width="0.85"/>
    <col collapsed="false" customWidth="true" hidden="false" outlineLevel="0" max="55" min="55" style="90" width="64.84"/>
    <col collapsed="false" customWidth="false" hidden="false" outlineLevel="0" max="257" min="56" style="90" width="9.14"/>
  </cols>
  <sheetData>
    <row r="1" customFormat="false" ht="15.75" hidden="false" customHeight="false" outlineLevel="0" collapsed="false">
      <c r="A1" s="98" t="str">
        <f aca="false">+Summary!A1</f>
        <v>ENRON CAPITAL &amp; TRADE RESOURCES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100"/>
      <c r="O1" s="101"/>
      <c r="P1" s="100"/>
      <c r="Q1" s="102"/>
      <c r="R1" s="103"/>
      <c r="S1" s="102"/>
      <c r="T1" s="103"/>
      <c r="U1" s="102"/>
      <c r="V1" s="101"/>
      <c r="W1" s="102"/>
      <c r="X1" s="102"/>
      <c r="Y1" s="102"/>
      <c r="Z1" s="102"/>
      <c r="AA1" s="102"/>
      <c r="AB1" s="102"/>
      <c r="AC1" s="102"/>
      <c r="AD1" s="102"/>
      <c r="AE1" s="102"/>
      <c r="AF1" s="102"/>
      <c r="AG1" s="102"/>
      <c r="AH1" s="102"/>
      <c r="AI1" s="102"/>
      <c r="AJ1" s="102"/>
      <c r="AK1" s="102"/>
      <c r="AL1" s="102"/>
      <c r="AM1" s="102"/>
      <c r="AN1" s="102"/>
      <c r="AO1" s="102"/>
      <c r="AP1" s="102"/>
      <c r="AQ1" s="102"/>
      <c r="AR1" s="102"/>
      <c r="AS1" s="101"/>
      <c r="AT1" s="100"/>
      <c r="AU1" s="102"/>
      <c r="AV1" s="100"/>
      <c r="AW1" s="101"/>
      <c r="AX1" s="100"/>
      <c r="AY1" s="101"/>
      <c r="AZ1" s="100"/>
      <c r="BA1" s="101"/>
      <c r="BB1" s="104"/>
      <c r="BC1" s="104"/>
      <c r="BD1" s="104"/>
      <c r="BE1" s="104"/>
      <c r="BF1" s="104"/>
      <c r="BG1" s="104"/>
      <c r="BH1" s="104"/>
      <c r="BI1" s="104"/>
      <c r="BJ1" s="104"/>
      <c r="BK1" s="104"/>
      <c r="BL1" s="104"/>
      <c r="BM1" s="104"/>
      <c r="BN1" s="104"/>
      <c r="BO1" s="104"/>
      <c r="BP1" s="104"/>
      <c r="BQ1" s="104"/>
      <c r="BR1" s="104"/>
      <c r="BS1" s="104"/>
      <c r="BT1" s="104"/>
      <c r="BU1" s="104"/>
      <c r="BV1" s="104"/>
      <c r="BW1" s="104"/>
      <c r="BX1" s="104"/>
      <c r="BY1" s="104"/>
      <c r="BZ1" s="104"/>
      <c r="CA1" s="104"/>
      <c r="CB1" s="104"/>
      <c r="CC1" s="104"/>
      <c r="CD1" s="104"/>
      <c r="CE1" s="104"/>
      <c r="CF1" s="104"/>
      <c r="CG1" s="104"/>
      <c r="CH1" s="104"/>
      <c r="CI1" s="104"/>
      <c r="CJ1" s="104"/>
      <c r="CK1" s="104"/>
      <c r="CL1" s="104"/>
      <c r="CM1" s="104"/>
      <c r="CN1" s="104"/>
      <c r="CO1" s="104"/>
      <c r="CP1" s="104"/>
      <c r="CQ1" s="104"/>
      <c r="CR1" s="104"/>
      <c r="CS1" s="104"/>
      <c r="CT1" s="104"/>
      <c r="CU1" s="104"/>
      <c r="CV1" s="104"/>
      <c r="CW1" s="104"/>
      <c r="CX1" s="104"/>
      <c r="CY1" s="104"/>
      <c r="CZ1" s="104"/>
      <c r="DA1" s="104"/>
      <c r="DB1" s="104"/>
      <c r="DC1" s="104"/>
      <c r="DD1" s="104"/>
      <c r="DE1" s="104"/>
      <c r="DF1" s="104"/>
      <c r="DG1" s="104"/>
      <c r="DH1" s="104"/>
      <c r="DI1" s="104"/>
      <c r="DJ1" s="104"/>
      <c r="DK1" s="104"/>
      <c r="DL1" s="104"/>
      <c r="DM1" s="104"/>
      <c r="DN1" s="104"/>
      <c r="DO1" s="104"/>
      <c r="DP1" s="104"/>
      <c r="DQ1" s="104"/>
      <c r="DR1" s="104"/>
      <c r="DS1" s="104"/>
      <c r="DT1" s="104"/>
      <c r="DU1" s="104"/>
      <c r="DV1" s="104"/>
      <c r="DW1" s="104"/>
      <c r="DX1" s="104"/>
      <c r="DY1" s="104"/>
      <c r="DZ1" s="104"/>
      <c r="EA1" s="104"/>
      <c r="EB1" s="104"/>
      <c r="EC1" s="104"/>
      <c r="ED1" s="104"/>
      <c r="EE1" s="104"/>
      <c r="EF1" s="104"/>
      <c r="EG1" s="104"/>
      <c r="EH1" s="104"/>
      <c r="EI1" s="104"/>
      <c r="EJ1" s="104"/>
      <c r="EK1" s="104"/>
      <c r="EL1" s="104"/>
      <c r="EM1" s="104"/>
      <c r="EN1" s="104"/>
      <c r="EO1" s="104"/>
      <c r="EP1" s="104"/>
      <c r="EQ1" s="104"/>
      <c r="ER1" s="104"/>
      <c r="ES1" s="104"/>
      <c r="ET1" s="104"/>
      <c r="EU1" s="104"/>
      <c r="EV1" s="104"/>
      <c r="EW1" s="104"/>
      <c r="EX1" s="104"/>
      <c r="EY1" s="104"/>
      <c r="EZ1" s="104"/>
      <c r="FA1" s="104"/>
      <c r="FB1" s="104"/>
      <c r="FC1" s="104"/>
      <c r="FD1" s="104"/>
      <c r="FE1" s="104"/>
      <c r="FF1" s="104"/>
      <c r="FG1" s="104"/>
      <c r="FH1" s="104"/>
      <c r="FI1" s="104"/>
      <c r="FJ1" s="104"/>
      <c r="FK1" s="104"/>
      <c r="FL1" s="104"/>
      <c r="FM1" s="104"/>
      <c r="FN1" s="104"/>
      <c r="FO1" s="104"/>
      <c r="FP1" s="104"/>
      <c r="FQ1" s="104"/>
      <c r="FR1" s="104"/>
      <c r="FS1" s="104"/>
      <c r="FT1" s="104"/>
      <c r="FU1" s="104"/>
      <c r="FV1" s="104"/>
      <c r="FW1" s="104"/>
      <c r="FX1" s="104"/>
      <c r="FY1" s="104"/>
      <c r="FZ1" s="104"/>
      <c r="GA1" s="104"/>
      <c r="GB1" s="104"/>
      <c r="GC1" s="104"/>
      <c r="GD1" s="104"/>
      <c r="GE1" s="104"/>
      <c r="GF1" s="104"/>
      <c r="GG1" s="104"/>
      <c r="GH1" s="104"/>
      <c r="GI1" s="104"/>
      <c r="GJ1" s="104"/>
      <c r="GK1" s="104"/>
      <c r="GL1" s="104"/>
      <c r="GM1" s="104"/>
      <c r="GN1" s="104"/>
      <c r="GO1" s="104"/>
      <c r="GP1" s="104"/>
      <c r="GQ1" s="104"/>
      <c r="GR1" s="104"/>
      <c r="GS1" s="104"/>
      <c r="GT1" s="104"/>
      <c r="GU1" s="104"/>
      <c r="GV1" s="104"/>
      <c r="GW1" s="104"/>
      <c r="GX1" s="104"/>
      <c r="GY1" s="104"/>
      <c r="GZ1" s="104"/>
      <c r="HA1" s="104"/>
      <c r="HB1" s="104"/>
      <c r="HC1" s="104"/>
      <c r="HD1" s="104"/>
      <c r="HE1" s="104"/>
      <c r="HF1" s="104"/>
      <c r="HG1" s="104"/>
      <c r="HH1" s="104"/>
      <c r="HI1" s="104"/>
      <c r="HJ1" s="104"/>
      <c r="HK1" s="104"/>
      <c r="HL1" s="104"/>
      <c r="HM1" s="104"/>
      <c r="HN1" s="104"/>
      <c r="HO1" s="104"/>
      <c r="HP1" s="104"/>
      <c r="HQ1" s="104"/>
      <c r="HR1" s="104"/>
      <c r="HS1" s="104"/>
      <c r="HT1" s="104"/>
      <c r="HU1" s="104"/>
      <c r="HV1" s="104"/>
      <c r="HW1" s="104"/>
      <c r="HX1" s="104"/>
      <c r="HY1" s="104"/>
      <c r="HZ1" s="104"/>
      <c r="IA1" s="104"/>
      <c r="IB1" s="104"/>
      <c r="IC1" s="104"/>
      <c r="ID1" s="104"/>
      <c r="IE1" s="104"/>
      <c r="IF1" s="104"/>
      <c r="IG1" s="104"/>
      <c r="IH1" s="104"/>
      <c r="II1" s="104"/>
      <c r="IJ1" s="104"/>
      <c r="IK1" s="104"/>
      <c r="IL1" s="104"/>
      <c r="IM1" s="104"/>
      <c r="IN1" s="104"/>
      <c r="IO1" s="104"/>
      <c r="IP1" s="104"/>
      <c r="IQ1" s="104"/>
      <c r="IR1" s="104"/>
      <c r="IS1" s="104"/>
      <c r="IT1" s="104"/>
      <c r="IU1" s="104"/>
      <c r="IV1" s="104"/>
      <c r="IW1" s="104"/>
    </row>
    <row r="2" customFormat="false" ht="15.75" hidden="false" customHeight="false" outlineLevel="0" collapsed="false">
      <c r="A2" s="98" t="str">
        <f aca="false">+Summary!A3</f>
        <v>COST SUMMARY ($ thousands)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100"/>
      <c r="O2" s="101"/>
      <c r="P2" s="100"/>
      <c r="Q2" s="102"/>
      <c r="R2" s="103"/>
      <c r="S2" s="102"/>
      <c r="T2" s="103"/>
      <c r="U2" s="102"/>
      <c r="V2" s="101"/>
      <c r="W2" s="102"/>
      <c r="X2" s="102"/>
      <c r="Y2" s="102"/>
      <c r="Z2" s="102"/>
      <c r="AA2" s="102"/>
      <c r="AB2" s="102"/>
      <c r="AC2" s="102"/>
      <c r="AD2" s="102"/>
      <c r="AE2" s="102"/>
      <c r="AF2" s="102"/>
      <c r="AG2" s="102"/>
      <c r="AH2" s="102"/>
      <c r="AI2" s="102"/>
      <c r="AJ2" s="102"/>
      <c r="AK2" s="102"/>
      <c r="AL2" s="102"/>
      <c r="AM2" s="102"/>
      <c r="AN2" s="102"/>
      <c r="AO2" s="102"/>
      <c r="AP2" s="102"/>
      <c r="AQ2" s="102"/>
      <c r="AR2" s="102"/>
      <c r="AS2" s="101"/>
      <c r="AT2" s="100"/>
      <c r="AU2" s="102"/>
      <c r="AV2" s="100"/>
      <c r="AW2" s="101"/>
      <c r="AX2" s="100"/>
      <c r="AY2" s="101"/>
      <c r="AZ2" s="100"/>
      <c r="BA2" s="101"/>
      <c r="BB2" s="104"/>
      <c r="BC2" s="104"/>
      <c r="BD2" s="104"/>
      <c r="BE2" s="104"/>
      <c r="BF2" s="104"/>
      <c r="BG2" s="104"/>
      <c r="BH2" s="104"/>
      <c r="BI2" s="104"/>
      <c r="BJ2" s="104"/>
      <c r="BK2" s="104"/>
      <c r="BL2" s="104"/>
      <c r="BM2" s="104"/>
      <c r="BN2" s="104"/>
      <c r="BO2" s="104"/>
      <c r="BP2" s="104"/>
      <c r="BQ2" s="104"/>
      <c r="BR2" s="104"/>
      <c r="BS2" s="104"/>
      <c r="BT2" s="104"/>
      <c r="BU2" s="104"/>
      <c r="BV2" s="104"/>
      <c r="BW2" s="104"/>
      <c r="BX2" s="104"/>
      <c r="BY2" s="104"/>
      <c r="BZ2" s="104"/>
      <c r="CA2" s="104"/>
      <c r="CB2" s="104"/>
      <c r="CC2" s="104"/>
      <c r="CD2" s="104"/>
      <c r="CE2" s="104"/>
      <c r="CF2" s="104"/>
      <c r="CG2" s="104"/>
      <c r="CH2" s="104"/>
      <c r="CI2" s="104"/>
      <c r="CJ2" s="104"/>
      <c r="CK2" s="104"/>
      <c r="CL2" s="104"/>
      <c r="CM2" s="104"/>
      <c r="CN2" s="104"/>
      <c r="CO2" s="104"/>
      <c r="CP2" s="104"/>
      <c r="CQ2" s="104"/>
      <c r="CR2" s="104"/>
      <c r="CS2" s="104"/>
      <c r="CT2" s="104"/>
      <c r="CU2" s="104"/>
      <c r="CV2" s="104"/>
      <c r="CW2" s="104"/>
      <c r="CX2" s="104"/>
      <c r="CY2" s="104"/>
      <c r="CZ2" s="104"/>
      <c r="DA2" s="104"/>
      <c r="DB2" s="104"/>
      <c r="DC2" s="104"/>
      <c r="DD2" s="104"/>
      <c r="DE2" s="104"/>
      <c r="DF2" s="104"/>
      <c r="DG2" s="104"/>
      <c r="DH2" s="104"/>
      <c r="DI2" s="104"/>
      <c r="DJ2" s="104"/>
      <c r="DK2" s="104"/>
      <c r="DL2" s="104"/>
      <c r="DM2" s="104"/>
      <c r="DN2" s="104"/>
      <c r="DO2" s="104"/>
      <c r="DP2" s="104"/>
      <c r="DQ2" s="104"/>
      <c r="DR2" s="104"/>
      <c r="DS2" s="104"/>
      <c r="DT2" s="104"/>
      <c r="DU2" s="104"/>
      <c r="DV2" s="104"/>
      <c r="DW2" s="104"/>
      <c r="DX2" s="104"/>
      <c r="DY2" s="104"/>
      <c r="DZ2" s="104"/>
      <c r="EA2" s="104"/>
      <c r="EB2" s="104"/>
      <c r="EC2" s="104"/>
      <c r="ED2" s="104"/>
      <c r="EE2" s="104"/>
      <c r="EF2" s="104"/>
      <c r="EG2" s="104"/>
      <c r="EH2" s="104"/>
      <c r="EI2" s="104"/>
      <c r="EJ2" s="104"/>
      <c r="EK2" s="104"/>
      <c r="EL2" s="104"/>
      <c r="EM2" s="104"/>
      <c r="EN2" s="104"/>
      <c r="EO2" s="104"/>
      <c r="EP2" s="104"/>
      <c r="EQ2" s="104"/>
      <c r="ER2" s="104"/>
      <c r="ES2" s="104"/>
      <c r="ET2" s="104"/>
      <c r="EU2" s="104"/>
      <c r="EV2" s="104"/>
      <c r="EW2" s="104"/>
      <c r="EX2" s="104"/>
      <c r="EY2" s="104"/>
      <c r="EZ2" s="104"/>
      <c r="FA2" s="104"/>
      <c r="FB2" s="104"/>
      <c r="FC2" s="104"/>
      <c r="FD2" s="104"/>
      <c r="FE2" s="104"/>
      <c r="FF2" s="104"/>
      <c r="FG2" s="104"/>
      <c r="FH2" s="104"/>
      <c r="FI2" s="104"/>
      <c r="FJ2" s="104"/>
      <c r="FK2" s="104"/>
      <c r="FL2" s="104"/>
      <c r="FM2" s="104"/>
      <c r="FN2" s="104"/>
      <c r="FO2" s="104"/>
      <c r="FP2" s="104"/>
      <c r="FQ2" s="104"/>
      <c r="FR2" s="104"/>
      <c r="FS2" s="104"/>
      <c r="FT2" s="104"/>
      <c r="FU2" s="104"/>
      <c r="FV2" s="104"/>
      <c r="FW2" s="104"/>
      <c r="FX2" s="104"/>
      <c r="FY2" s="104"/>
      <c r="FZ2" s="104"/>
      <c r="GA2" s="104"/>
      <c r="GB2" s="104"/>
      <c r="GC2" s="104"/>
      <c r="GD2" s="104"/>
      <c r="GE2" s="104"/>
      <c r="GF2" s="104"/>
      <c r="GG2" s="104"/>
      <c r="GH2" s="104"/>
      <c r="GI2" s="104"/>
      <c r="GJ2" s="104"/>
      <c r="GK2" s="104"/>
      <c r="GL2" s="104"/>
      <c r="GM2" s="104"/>
      <c r="GN2" s="104"/>
      <c r="GO2" s="104"/>
      <c r="GP2" s="104"/>
      <c r="GQ2" s="104"/>
      <c r="GR2" s="104"/>
      <c r="GS2" s="104"/>
      <c r="GT2" s="104"/>
      <c r="GU2" s="104"/>
      <c r="GV2" s="104"/>
      <c r="GW2" s="104"/>
      <c r="GX2" s="104"/>
      <c r="GY2" s="104"/>
      <c r="GZ2" s="104"/>
      <c r="HA2" s="104"/>
      <c r="HB2" s="104"/>
      <c r="HC2" s="104"/>
      <c r="HD2" s="104"/>
      <c r="HE2" s="104"/>
      <c r="HF2" s="104"/>
      <c r="HG2" s="104"/>
      <c r="HH2" s="104"/>
      <c r="HI2" s="104"/>
      <c r="HJ2" s="104"/>
      <c r="HK2" s="104"/>
      <c r="HL2" s="104"/>
      <c r="HM2" s="104"/>
      <c r="HN2" s="104"/>
      <c r="HO2" s="104"/>
      <c r="HP2" s="104"/>
      <c r="HQ2" s="104"/>
      <c r="HR2" s="104"/>
      <c r="HS2" s="104"/>
      <c r="HT2" s="104"/>
      <c r="HU2" s="104"/>
      <c r="HV2" s="104"/>
      <c r="HW2" s="104"/>
      <c r="HX2" s="104"/>
      <c r="HY2" s="104"/>
      <c r="HZ2" s="104"/>
      <c r="IA2" s="104"/>
      <c r="IB2" s="104"/>
      <c r="IC2" s="104"/>
      <c r="ID2" s="104"/>
      <c r="IE2" s="104"/>
      <c r="IF2" s="104"/>
      <c r="IG2" s="104"/>
      <c r="IH2" s="104"/>
      <c r="II2" s="104"/>
      <c r="IJ2" s="104"/>
      <c r="IK2" s="104"/>
      <c r="IL2" s="104"/>
      <c r="IM2" s="104"/>
      <c r="IN2" s="104"/>
      <c r="IO2" s="104"/>
      <c r="IP2" s="104"/>
      <c r="IQ2" s="104"/>
      <c r="IR2" s="104"/>
      <c r="IS2" s="104"/>
      <c r="IT2" s="104"/>
      <c r="IU2" s="104"/>
      <c r="IV2" s="104"/>
      <c r="IW2" s="104"/>
    </row>
    <row r="3" customFormat="false" ht="15.75" hidden="false" customHeight="false" outlineLevel="0" collapsed="false">
      <c r="A3" s="105" t="s">
        <v>145</v>
      </c>
      <c r="B3" s="99"/>
      <c r="C3" s="99"/>
      <c r="D3" s="99"/>
      <c r="E3" s="99"/>
      <c r="F3" s="99"/>
      <c r="G3" s="99"/>
      <c r="H3" s="99"/>
      <c r="I3" s="99"/>
      <c r="J3" s="99"/>
      <c r="K3" s="99" t="n">
        <v>458</v>
      </c>
      <c r="L3" s="99" t="s">
        <v>76</v>
      </c>
      <c r="M3" s="99"/>
      <c r="N3" s="100"/>
      <c r="O3" s="101"/>
      <c r="P3" s="100"/>
      <c r="Q3" s="102"/>
      <c r="R3" s="103"/>
      <c r="S3" s="102"/>
      <c r="T3" s="103"/>
      <c r="U3" s="102"/>
      <c r="V3" s="101"/>
      <c r="W3" s="102"/>
      <c r="X3" s="102"/>
      <c r="Y3" s="102"/>
      <c r="Z3" s="102"/>
      <c r="AA3" s="102"/>
      <c r="AB3" s="102"/>
      <c r="AC3" s="102"/>
      <c r="AD3" s="102"/>
      <c r="AE3" s="102"/>
      <c r="AF3" s="102"/>
      <c r="AG3" s="102"/>
      <c r="AH3" s="102"/>
      <c r="AI3" s="102"/>
      <c r="AJ3" s="102"/>
      <c r="AK3" s="102"/>
      <c r="AL3" s="102"/>
      <c r="AM3" s="102"/>
      <c r="AN3" s="102"/>
      <c r="AO3" s="102"/>
      <c r="AP3" s="102"/>
      <c r="AQ3" s="102"/>
      <c r="AR3" s="102"/>
      <c r="AS3" s="101"/>
      <c r="AT3" s="100"/>
      <c r="AU3" s="102"/>
      <c r="AV3" s="100"/>
      <c r="AW3" s="106" t="n">
        <f aca="true">NOW()</f>
        <v>45926.9394540469</v>
      </c>
      <c r="AX3" s="100"/>
      <c r="AY3" s="106"/>
      <c r="AZ3" s="100"/>
      <c r="BA3" s="106" t="str">
        <f aca="false">Summary!A4</f>
        <v>Revision # 56</v>
      </c>
      <c r="BB3" s="104"/>
      <c r="BC3" s="104"/>
      <c r="BD3" s="104"/>
      <c r="BE3" s="104"/>
      <c r="BF3" s="104"/>
      <c r="BG3" s="104"/>
      <c r="BH3" s="104"/>
      <c r="BI3" s="104"/>
      <c r="BJ3" s="104"/>
      <c r="BK3" s="104"/>
      <c r="BL3" s="104"/>
      <c r="BM3" s="104"/>
      <c r="BN3" s="104"/>
      <c r="BO3" s="104"/>
      <c r="BP3" s="104"/>
      <c r="BQ3" s="104"/>
      <c r="BR3" s="104"/>
      <c r="BS3" s="104"/>
      <c r="BT3" s="104"/>
      <c r="BU3" s="104"/>
      <c r="BV3" s="104"/>
      <c r="BW3" s="104"/>
      <c r="BX3" s="104"/>
      <c r="BY3" s="104"/>
      <c r="BZ3" s="104"/>
      <c r="CA3" s="104"/>
      <c r="CB3" s="104"/>
      <c r="CC3" s="104"/>
      <c r="CD3" s="104"/>
      <c r="CE3" s="104"/>
      <c r="CF3" s="104"/>
      <c r="CG3" s="104"/>
      <c r="CH3" s="104"/>
      <c r="CI3" s="104"/>
      <c r="CJ3" s="104"/>
      <c r="CK3" s="104"/>
      <c r="CL3" s="104"/>
      <c r="CM3" s="104"/>
      <c r="CN3" s="104"/>
      <c r="CO3" s="104"/>
      <c r="CP3" s="104"/>
      <c r="CQ3" s="104"/>
      <c r="CR3" s="104"/>
      <c r="CS3" s="104"/>
      <c r="CT3" s="104"/>
      <c r="CU3" s="104"/>
      <c r="CV3" s="104"/>
      <c r="CW3" s="104"/>
      <c r="CX3" s="104"/>
      <c r="CY3" s="104"/>
      <c r="CZ3" s="104"/>
      <c r="DA3" s="104"/>
      <c r="DB3" s="104"/>
      <c r="DC3" s="104"/>
      <c r="DD3" s="104"/>
      <c r="DE3" s="104"/>
      <c r="DF3" s="104"/>
      <c r="DG3" s="104"/>
      <c r="DH3" s="104"/>
      <c r="DI3" s="104"/>
      <c r="DJ3" s="104"/>
      <c r="DK3" s="104"/>
      <c r="DL3" s="104"/>
      <c r="DM3" s="104"/>
      <c r="DN3" s="104"/>
      <c r="DO3" s="104"/>
      <c r="DP3" s="104"/>
      <c r="DQ3" s="104"/>
      <c r="DR3" s="104"/>
      <c r="DS3" s="104"/>
      <c r="DT3" s="104"/>
      <c r="DU3" s="104"/>
      <c r="DV3" s="104"/>
      <c r="DW3" s="104"/>
      <c r="DX3" s="104"/>
      <c r="DY3" s="104"/>
      <c r="DZ3" s="104"/>
      <c r="EA3" s="104"/>
      <c r="EB3" s="104"/>
      <c r="EC3" s="104"/>
      <c r="ED3" s="104"/>
      <c r="EE3" s="104"/>
      <c r="EF3" s="104"/>
      <c r="EG3" s="104"/>
      <c r="EH3" s="104"/>
      <c r="EI3" s="104"/>
      <c r="EJ3" s="104"/>
      <c r="EK3" s="104"/>
      <c r="EL3" s="104"/>
      <c r="EM3" s="104"/>
      <c r="EN3" s="104"/>
      <c r="EO3" s="104"/>
      <c r="EP3" s="104"/>
      <c r="EQ3" s="104"/>
      <c r="ER3" s="104"/>
      <c r="ES3" s="104"/>
      <c r="ET3" s="104"/>
      <c r="EU3" s="104"/>
      <c r="EV3" s="104"/>
      <c r="EW3" s="104"/>
      <c r="EX3" s="104"/>
      <c r="EY3" s="104"/>
      <c r="EZ3" s="104"/>
      <c r="FA3" s="104"/>
      <c r="FB3" s="104"/>
      <c r="FC3" s="104"/>
      <c r="FD3" s="104"/>
      <c r="FE3" s="104"/>
      <c r="FF3" s="104"/>
      <c r="FG3" s="104"/>
      <c r="FH3" s="104"/>
      <c r="FI3" s="104"/>
      <c r="FJ3" s="104"/>
      <c r="FK3" s="104"/>
      <c r="FL3" s="104"/>
      <c r="FM3" s="104"/>
      <c r="FN3" s="104"/>
      <c r="FO3" s="104"/>
      <c r="FP3" s="104"/>
      <c r="FQ3" s="104"/>
      <c r="FR3" s="104"/>
      <c r="FS3" s="104"/>
      <c r="FT3" s="104"/>
      <c r="FU3" s="104"/>
      <c r="FV3" s="104"/>
      <c r="FW3" s="104"/>
      <c r="FX3" s="104"/>
      <c r="FY3" s="104"/>
      <c r="FZ3" s="104"/>
      <c r="GA3" s="104"/>
      <c r="GB3" s="104"/>
      <c r="GC3" s="104"/>
      <c r="GD3" s="104"/>
      <c r="GE3" s="104"/>
      <c r="GF3" s="104"/>
      <c r="GG3" s="104"/>
      <c r="GH3" s="104"/>
      <c r="GI3" s="104"/>
      <c r="GJ3" s="104"/>
      <c r="GK3" s="104"/>
      <c r="GL3" s="104"/>
      <c r="GM3" s="104"/>
      <c r="GN3" s="104"/>
      <c r="GO3" s="104"/>
      <c r="GP3" s="104"/>
      <c r="GQ3" s="104"/>
      <c r="GR3" s="104"/>
      <c r="GS3" s="104"/>
      <c r="GT3" s="104"/>
      <c r="GU3" s="104"/>
      <c r="GV3" s="104"/>
      <c r="GW3" s="104"/>
      <c r="GX3" s="104"/>
      <c r="GY3" s="104"/>
      <c r="GZ3" s="104"/>
      <c r="HA3" s="104"/>
      <c r="HB3" s="104"/>
      <c r="HC3" s="104"/>
      <c r="HD3" s="104"/>
      <c r="HE3" s="104"/>
      <c r="HF3" s="104"/>
      <c r="HG3" s="104"/>
      <c r="HH3" s="104"/>
      <c r="HI3" s="104"/>
      <c r="HJ3" s="104"/>
      <c r="HK3" s="104"/>
      <c r="HL3" s="104"/>
      <c r="HM3" s="104"/>
      <c r="HN3" s="104"/>
      <c r="HO3" s="104"/>
      <c r="HP3" s="104"/>
      <c r="HQ3" s="104"/>
      <c r="HR3" s="104"/>
      <c r="HS3" s="104"/>
      <c r="HT3" s="104"/>
      <c r="HU3" s="104"/>
      <c r="HV3" s="104"/>
      <c r="HW3" s="104"/>
      <c r="HX3" s="104"/>
      <c r="HY3" s="104"/>
      <c r="HZ3" s="104"/>
      <c r="IA3" s="104"/>
      <c r="IB3" s="104"/>
      <c r="IC3" s="104"/>
      <c r="ID3" s="104"/>
      <c r="IE3" s="104"/>
      <c r="IF3" s="104"/>
      <c r="IG3" s="104"/>
      <c r="IH3" s="104"/>
      <c r="II3" s="104"/>
      <c r="IJ3" s="104"/>
      <c r="IK3" s="104"/>
      <c r="IL3" s="104"/>
      <c r="IM3" s="104"/>
      <c r="IN3" s="104"/>
      <c r="IO3" s="104"/>
      <c r="IP3" s="104"/>
      <c r="IQ3" s="104"/>
      <c r="IR3" s="104"/>
      <c r="IS3" s="104"/>
      <c r="IT3" s="104"/>
      <c r="IU3" s="104"/>
      <c r="IV3" s="104"/>
      <c r="IW3" s="104"/>
    </row>
    <row r="4" customFormat="false" ht="15.75" hidden="false" customHeight="false" outlineLevel="0" collapsed="false">
      <c r="A4" s="107"/>
      <c r="B4" s="108"/>
      <c r="C4" s="109"/>
      <c r="D4" s="100"/>
      <c r="E4" s="100"/>
      <c r="F4" s="100"/>
      <c r="G4" s="100"/>
      <c r="H4" s="100"/>
      <c r="I4" s="100"/>
      <c r="J4" s="100"/>
      <c r="K4" s="101"/>
      <c r="L4" s="100"/>
      <c r="M4" s="101"/>
      <c r="N4" s="100"/>
      <c r="O4" s="110"/>
      <c r="P4" s="100"/>
      <c r="Q4" s="111"/>
      <c r="R4" s="103"/>
      <c r="S4" s="111"/>
      <c r="T4" s="103"/>
      <c r="U4" s="111" t="s">
        <v>68</v>
      </c>
      <c r="V4" s="110"/>
      <c r="W4" s="111" t="s">
        <v>68</v>
      </c>
      <c r="X4" s="112"/>
      <c r="Y4" s="111" t="s">
        <v>68</v>
      </c>
      <c r="Z4" s="112"/>
      <c r="AA4" s="111" t="s">
        <v>68</v>
      </c>
      <c r="AB4" s="112"/>
      <c r="AC4" s="111" t="s">
        <v>68</v>
      </c>
      <c r="AD4" s="112"/>
      <c r="AE4" s="111" t="s">
        <v>68</v>
      </c>
      <c r="AF4" s="111"/>
      <c r="AG4" s="111" t="s">
        <v>68</v>
      </c>
      <c r="AH4" s="111"/>
      <c r="AI4" s="111" t="s">
        <v>68</v>
      </c>
      <c r="AJ4" s="111"/>
      <c r="AK4" s="111" t="s">
        <v>68</v>
      </c>
      <c r="AL4" s="111"/>
      <c r="AM4" s="111" t="s">
        <v>68</v>
      </c>
      <c r="AN4" s="111"/>
      <c r="AO4" s="111" t="s">
        <v>68</v>
      </c>
      <c r="AP4" s="111"/>
      <c r="AQ4" s="111" t="s">
        <v>68</v>
      </c>
      <c r="AR4" s="111"/>
      <c r="AS4" s="113"/>
      <c r="AT4" s="100"/>
      <c r="AU4" s="111" t="s">
        <v>146</v>
      </c>
      <c r="AV4" s="100"/>
      <c r="AW4" s="114"/>
      <c r="AX4" s="100"/>
      <c r="AY4" s="114"/>
      <c r="AZ4" s="100"/>
      <c r="BA4" s="114"/>
      <c r="BB4" s="104"/>
      <c r="BC4" s="104"/>
      <c r="BD4" s="104"/>
      <c r="BE4" s="104"/>
      <c r="BF4" s="104"/>
      <c r="BG4" s="104"/>
      <c r="BH4" s="104"/>
      <c r="BI4" s="104"/>
      <c r="BJ4" s="104"/>
      <c r="BK4" s="104"/>
      <c r="BL4" s="104"/>
      <c r="BM4" s="104"/>
      <c r="BN4" s="104"/>
      <c r="BO4" s="104"/>
      <c r="BP4" s="104"/>
      <c r="BQ4" s="104"/>
      <c r="BR4" s="104"/>
      <c r="BS4" s="104"/>
      <c r="BT4" s="104"/>
      <c r="BU4" s="104"/>
      <c r="BV4" s="104"/>
      <c r="BW4" s="104"/>
      <c r="BX4" s="104"/>
      <c r="BY4" s="104"/>
      <c r="BZ4" s="104"/>
      <c r="CA4" s="104"/>
      <c r="CB4" s="104"/>
      <c r="CC4" s="104"/>
      <c r="CD4" s="104"/>
      <c r="CE4" s="104"/>
      <c r="CF4" s="104"/>
      <c r="CG4" s="104"/>
      <c r="CH4" s="104"/>
      <c r="CI4" s="104"/>
      <c r="CJ4" s="104"/>
      <c r="CK4" s="104"/>
      <c r="CL4" s="104"/>
      <c r="CM4" s="104"/>
      <c r="CN4" s="104"/>
      <c r="CO4" s="104"/>
      <c r="CP4" s="104"/>
      <c r="CQ4" s="104"/>
      <c r="CR4" s="104"/>
      <c r="CS4" s="104"/>
      <c r="CT4" s="104"/>
      <c r="CU4" s="104"/>
      <c r="CV4" s="104"/>
      <c r="CW4" s="104"/>
      <c r="CX4" s="104"/>
      <c r="CY4" s="104"/>
      <c r="CZ4" s="104"/>
      <c r="DA4" s="104"/>
      <c r="DB4" s="104"/>
      <c r="DC4" s="104"/>
      <c r="DD4" s="104"/>
      <c r="DE4" s="104"/>
      <c r="DF4" s="104"/>
      <c r="DG4" s="104"/>
      <c r="DH4" s="104"/>
      <c r="DI4" s="104"/>
      <c r="DJ4" s="104"/>
      <c r="DK4" s="104"/>
      <c r="DL4" s="104"/>
      <c r="DM4" s="104"/>
      <c r="DN4" s="104"/>
      <c r="DO4" s="104"/>
      <c r="DP4" s="104"/>
      <c r="DQ4" s="104"/>
      <c r="DR4" s="104"/>
      <c r="DS4" s="104"/>
      <c r="DT4" s="104"/>
      <c r="DU4" s="104"/>
      <c r="DV4" s="104"/>
      <c r="DW4" s="104"/>
      <c r="DX4" s="104"/>
      <c r="DY4" s="104"/>
      <c r="DZ4" s="104"/>
      <c r="EA4" s="104"/>
      <c r="EB4" s="104"/>
      <c r="EC4" s="104"/>
      <c r="ED4" s="104"/>
      <c r="EE4" s="104"/>
      <c r="EF4" s="104"/>
      <c r="EG4" s="104"/>
      <c r="EH4" s="104"/>
      <c r="EI4" s="104"/>
      <c r="EJ4" s="104"/>
      <c r="EK4" s="104"/>
      <c r="EL4" s="104"/>
      <c r="EM4" s="104"/>
      <c r="EN4" s="104"/>
      <c r="EO4" s="104"/>
      <c r="EP4" s="104"/>
      <c r="EQ4" s="104"/>
      <c r="ER4" s="104"/>
      <c r="ES4" s="104"/>
      <c r="ET4" s="104"/>
      <c r="EU4" s="104"/>
      <c r="EV4" s="104"/>
      <c r="EW4" s="104"/>
      <c r="EX4" s="104"/>
      <c r="EY4" s="104"/>
      <c r="EZ4" s="104"/>
      <c r="FA4" s="104"/>
      <c r="FB4" s="104"/>
      <c r="FC4" s="104"/>
      <c r="FD4" s="104"/>
      <c r="FE4" s="104"/>
      <c r="FF4" s="104"/>
      <c r="FG4" s="104"/>
      <c r="FH4" s="104"/>
      <c r="FI4" s="104"/>
      <c r="FJ4" s="104"/>
      <c r="FK4" s="104"/>
      <c r="FL4" s="104"/>
      <c r="FM4" s="104"/>
      <c r="FN4" s="104"/>
      <c r="FO4" s="104"/>
      <c r="FP4" s="104"/>
      <c r="FQ4" s="104"/>
      <c r="FR4" s="104"/>
      <c r="FS4" s="104"/>
      <c r="FT4" s="104"/>
      <c r="FU4" s="104"/>
      <c r="FV4" s="104"/>
      <c r="FW4" s="104"/>
      <c r="FX4" s="104"/>
      <c r="FY4" s="104"/>
      <c r="FZ4" s="104"/>
      <c r="GA4" s="104"/>
      <c r="GB4" s="104"/>
      <c r="GC4" s="104"/>
      <c r="GD4" s="104"/>
      <c r="GE4" s="104"/>
      <c r="GF4" s="104"/>
      <c r="GG4" s="104"/>
      <c r="GH4" s="104"/>
      <c r="GI4" s="104"/>
      <c r="GJ4" s="104"/>
      <c r="GK4" s="104"/>
      <c r="GL4" s="104"/>
      <c r="GM4" s="104"/>
      <c r="GN4" s="104"/>
      <c r="GO4" s="104"/>
      <c r="GP4" s="104"/>
      <c r="GQ4" s="104"/>
      <c r="GR4" s="104"/>
      <c r="GS4" s="104"/>
      <c r="GT4" s="104"/>
      <c r="GU4" s="104"/>
      <c r="GV4" s="104"/>
      <c r="GW4" s="104"/>
      <c r="GX4" s="104"/>
      <c r="GY4" s="104"/>
      <c r="GZ4" s="104"/>
      <c r="HA4" s="104"/>
      <c r="HB4" s="104"/>
      <c r="HC4" s="104"/>
      <c r="HD4" s="104"/>
      <c r="HE4" s="104"/>
      <c r="HF4" s="104"/>
      <c r="HG4" s="104"/>
      <c r="HH4" s="104"/>
      <c r="HI4" s="104"/>
      <c r="HJ4" s="104"/>
      <c r="HK4" s="104"/>
      <c r="HL4" s="104"/>
      <c r="HM4" s="104"/>
      <c r="HN4" s="104"/>
      <c r="HO4" s="104"/>
      <c r="HP4" s="104"/>
      <c r="HQ4" s="104"/>
      <c r="HR4" s="104"/>
      <c r="HS4" s="104"/>
      <c r="HT4" s="104"/>
      <c r="HU4" s="104"/>
      <c r="HV4" s="104"/>
      <c r="HW4" s="104"/>
      <c r="HX4" s="104"/>
      <c r="HY4" s="104"/>
      <c r="HZ4" s="104"/>
      <c r="IA4" s="104"/>
      <c r="IB4" s="104"/>
      <c r="IC4" s="104"/>
      <c r="ID4" s="104"/>
      <c r="IE4" s="104"/>
      <c r="IF4" s="104"/>
      <c r="IG4" s="104"/>
      <c r="IH4" s="104"/>
      <c r="II4" s="104"/>
      <c r="IJ4" s="104"/>
      <c r="IK4" s="104"/>
      <c r="IL4" s="104"/>
      <c r="IM4" s="104"/>
      <c r="IN4" s="104"/>
      <c r="IO4" s="104"/>
      <c r="IP4" s="104"/>
      <c r="IQ4" s="104"/>
      <c r="IR4" s="104"/>
      <c r="IS4" s="104"/>
      <c r="IT4" s="104"/>
      <c r="IU4" s="104"/>
      <c r="IV4" s="104"/>
      <c r="IW4" s="104"/>
    </row>
    <row r="5" customFormat="false" ht="15.75" hidden="false" customHeight="false" outlineLevel="0" collapsed="false">
      <c r="A5" s="115"/>
      <c r="B5" s="100"/>
      <c r="C5" s="100"/>
      <c r="D5" s="100"/>
      <c r="E5" s="100"/>
      <c r="F5" s="100"/>
      <c r="G5" s="100"/>
      <c r="H5" s="100"/>
      <c r="I5" s="100"/>
      <c r="J5" s="100"/>
      <c r="K5" s="113" t="s">
        <v>147</v>
      </c>
      <c r="L5" s="100"/>
      <c r="M5" s="114"/>
      <c r="N5" s="100"/>
      <c r="O5" s="113" t="s">
        <v>147</v>
      </c>
      <c r="P5" s="100"/>
      <c r="Q5" s="111" t="s">
        <v>70</v>
      </c>
      <c r="R5" s="103"/>
      <c r="S5" s="111" t="s">
        <v>70</v>
      </c>
      <c r="T5" s="103"/>
      <c r="U5" s="111" t="s">
        <v>148</v>
      </c>
      <c r="V5" s="110"/>
      <c r="W5" s="111" t="s">
        <v>148</v>
      </c>
      <c r="X5" s="112"/>
      <c r="Y5" s="111" t="s">
        <v>148</v>
      </c>
      <c r="Z5" s="112"/>
      <c r="AA5" s="111" t="s">
        <v>148</v>
      </c>
      <c r="AB5" s="112"/>
      <c r="AC5" s="111" t="s">
        <v>148</v>
      </c>
      <c r="AD5" s="112"/>
      <c r="AE5" s="111" t="s">
        <v>148</v>
      </c>
      <c r="AF5" s="111"/>
      <c r="AG5" s="111" t="s">
        <v>148</v>
      </c>
      <c r="AH5" s="111"/>
      <c r="AI5" s="111" t="s">
        <v>148</v>
      </c>
      <c r="AJ5" s="111"/>
      <c r="AK5" s="111" t="s">
        <v>148</v>
      </c>
      <c r="AL5" s="111"/>
      <c r="AM5" s="111" t="s">
        <v>148</v>
      </c>
      <c r="AN5" s="111"/>
      <c r="AO5" s="111" t="s">
        <v>148</v>
      </c>
      <c r="AP5" s="111"/>
      <c r="AQ5" s="111" t="s">
        <v>148</v>
      </c>
      <c r="AR5" s="111"/>
      <c r="AS5" s="113" t="s">
        <v>70</v>
      </c>
      <c r="AT5" s="116"/>
      <c r="AU5" s="111" t="s">
        <v>149</v>
      </c>
      <c r="AV5" s="116"/>
      <c r="AW5" s="113" t="s">
        <v>150</v>
      </c>
      <c r="AX5" s="116"/>
      <c r="AY5" s="113" t="s">
        <v>151</v>
      </c>
      <c r="AZ5" s="116"/>
      <c r="BA5" s="113"/>
      <c r="BB5" s="104"/>
      <c r="BC5" s="104"/>
      <c r="BD5" s="104"/>
      <c r="BE5" s="104"/>
      <c r="BF5" s="104"/>
      <c r="BG5" s="104"/>
      <c r="BH5" s="104"/>
      <c r="BI5" s="104"/>
      <c r="BJ5" s="104"/>
      <c r="BK5" s="104"/>
      <c r="BL5" s="104"/>
      <c r="BM5" s="104"/>
      <c r="BN5" s="104"/>
      <c r="BO5" s="104"/>
      <c r="BP5" s="104"/>
      <c r="BQ5" s="104"/>
      <c r="BR5" s="104"/>
      <c r="BS5" s="104"/>
      <c r="BT5" s="104"/>
      <c r="BU5" s="104"/>
      <c r="BV5" s="104"/>
      <c r="BW5" s="104"/>
      <c r="BX5" s="104"/>
      <c r="BY5" s="104"/>
      <c r="BZ5" s="104"/>
      <c r="CA5" s="104"/>
      <c r="CB5" s="104"/>
      <c r="CC5" s="104"/>
      <c r="CD5" s="104"/>
      <c r="CE5" s="104"/>
      <c r="CF5" s="104"/>
      <c r="CG5" s="104"/>
      <c r="CH5" s="104"/>
      <c r="CI5" s="104"/>
      <c r="CJ5" s="104"/>
      <c r="CK5" s="104"/>
      <c r="CL5" s="104"/>
      <c r="CM5" s="104"/>
      <c r="CN5" s="104"/>
      <c r="CO5" s="104"/>
      <c r="CP5" s="104"/>
      <c r="CQ5" s="104"/>
      <c r="CR5" s="104"/>
      <c r="CS5" s="104"/>
      <c r="CT5" s="104"/>
      <c r="CU5" s="104"/>
      <c r="CV5" s="104"/>
      <c r="CW5" s="104"/>
      <c r="CX5" s="104"/>
      <c r="CY5" s="104"/>
      <c r="CZ5" s="104"/>
      <c r="DA5" s="104"/>
      <c r="DB5" s="104"/>
      <c r="DC5" s="104"/>
      <c r="DD5" s="104"/>
      <c r="DE5" s="104"/>
      <c r="DF5" s="104"/>
      <c r="DG5" s="104"/>
      <c r="DH5" s="104"/>
      <c r="DI5" s="104"/>
      <c r="DJ5" s="104"/>
      <c r="DK5" s="104"/>
      <c r="DL5" s="104"/>
      <c r="DM5" s="104"/>
      <c r="DN5" s="104"/>
      <c r="DO5" s="104"/>
      <c r="DP5" s="104"/>
      <c r="DQ5" s="104"/>
      <c r="DR5" s="104"/>
      <c r="DS5" s="104"/>
      <c r="DT5" s="104"/>
      <c r="DU5" s="104"/>
      <c r="DV5" s="104"/>
      <c r="DW5" s="104"/>
      <c r="DX5" s="104"/>
      <c r="DY5" s="104"/>
      <c r="DZ5" s="104"/>
      <c r="EA5" s="104"/>
      <c r="EB5" s="104"/>
      <c r="EC5" s="104"/>
      <c r="ED5" s="104"/>
      <c r="EE5" s="104"/>
      <c r="EF5" s="104"/>
      <c r="EG5" s="104"/>
      <c r="EH5" s="104"/>
      <c r="EI5" s="104"/>
      <c r="EJ5" s="104"/>
      <c r="EK5" s="104"/>
      <c r="EL5" s="104"/>
      <c r="EM5" s="104"/>
      <c r="EN5" s="104"/>
      <c r="EO5" s="104"/>
      <c r="EP5" s="104"/>
      <c r="EQ5" s="104"/>
      <c r="ER5" s="104"/>
      <c r="ES5" s="104"/>
      <c r="ET5" s="104"/>
      <c r="EU5" s="104"/>
      <c r="EV5" s="104"/>
      <c r="EW5" s="104"/>
      <c r="EX5" s="104"/>
      <c r="EY5" s="104"/>
      <c r="EZ5" s="104"/>
      <c r="FA5" s="104"/>
      <c r="FB5" s="104"/>
      <c r="FC5" s="104"/>
      <c r="FD5" s="104"/>
      <c r="FE5" s="104"/>
      <c r="FF5" s="104"/>
      <c r="FG5" s="104"/>
      <c r="FH5" s="104"/>
      <c r="FI5" s="104"/>
      <c r="FJ5" s="104"/>
      <c r="FK5" s="104"/>
      <c r="FL5" s="104"/>
      <c r="FM5" s="104"/>
      <c r="FN5" s="104"/>
      <c r="FO5" s="104"/>
      <c r="FP5" s="104"/>
      <c r="FQ5" s="104"/>
      <c r="FR5" s="104"/>
      <c r="FS5" s="104"/>
      <c r="FT5" s="104"/>
      <c r="FU5" s="104"/>
      <c r="FV5" s="104"/>
      <c r="FW5" s="104"/>
      <c r="FX5" s="104"/>
      <c r="FY5" s="104"/>
      <c r="FZ5" s="104"/>
      <c r="GA5" s="104"/>
      <c r="GB5" s="104"/>
      <c r="GC5" s="104"/>
      <c r="GD5" s="104"/>
      <c r="GE5" s="104"/>
      <c r="GF5" s="104"/>
      <c r="GG5" s="104"/>
      <c r="GH5" s="104"/>
      <c r="GI5" s="104"/>
      <c r="GJ5" s="104"/>
      <c r="GK5" s="104"/>
      <c r="GL5" s="104"/>
      <c r="GM5" s="104"/>
      <c r="GN5" s="104"/>
      <c r="GO5" s="104"/>
      <c r="GP5" s="104"/>
      <c r="GQ5" s="104"/>
      <c r="GR5" s="104"/>
      <c r="GS5" s="104"/>
      <c r="GT5" s="104"/>
      <c r="GU5" s="104"/>
      <c r="GV5" s="104"/>
      <c r="GW5" s="104"/>
      <c r="GX5" s="104"/>
      <c r="GY5" s="104"/>
      <c r="GZ5" s="104"/>
      <c r="HA5" s="104"/>
      <c r="HB5" s="104"/>
      <c r="HC5" s="104"/>
      <c r="HD5" s="104"/>
      <c r="HE5" s="104"/>
      <c r="HF5" s="104"/>
      <c r="HG5" s="104"/>
      <c r="HH5" s="104"/>
      <c r="HI5" s="104"/>
      <c r="HJ5" s="104"/>
      <c r="HK5" s="104"/>
      <c r="HL5" s="104"/>
      <c r="HM5" s="104"/>
      <c r="HN5" s="104"/>
      <c r="HO5" s="104"/>
      <c r="HP5" s="104"/>
      <c r="HQ5" s="104"/>
      <c r="HR5" s="104"/>
      <c r="HS5" s="104"/>
      <c r="HT5" s="104"/>
      <c r="HU5" s="104"/>
      <c r="HV5" s="104"/>
      <c r="HW5" s="104"/>
      <c r="HX5" s="104"/>
      <c r="HY5" s="104"/>
      <c r="HZ5" s="104"/>
      <c r="IA5" s="104"/>
      <c r="IB5" s="104"/>
      <c r="IC5" s="104"/>
      <c r="ID5" s="104"/>
      <c r="IE5" s="104"/>
      <c r="IF5" s="104"/>
      <c r="IG5" s="104"/>
      <c r="IH5" s="104"/>
      <c r="II5" s="104"/>
      <c r="IJ5" s="104"/>
      <c r="IK5" s="104"/>
      <c r="IL5" s="104"/>
      <c r="IM5" s="104"/>
      <c r="IN5" s="104"/>
      <c r="IO5" s="104"/>
      <c r="IP5" s="104"/>
      <c r="IQ5" s="104"/>
      <c r="IR5" s="104"/>
      <c r="IS5" s="104"/>
      <c r="IT5" s="104"/>
      <c r="IU5" s="104"/>
      <c r="IV5" s="104"/>
      <c r="IW5" s="104"/>
    </row>
    <row r="6" customFormat="false" ht="15.75" hidden="false" customHeight="false" outlineLevel="0" collapsed="false">
      <c r="A6" s="115"/>
      <c r="B6" s="100"/>
      <c r="C6" s="100"/>
      <c r="D6" s="100"/>
      <c r="E6" s="117" t="s">
        <v>152</v>
      </c>
      <c r="F6" s="100"/>
      <c r="G6" s="118" t="s">
        <v>153</v>
      </c>
      <c r="H6" s="100"/>
      <c r="I6" s="117" t="s">
        <v>154</v>
      </c>
      <c r="J6" s="100"/>
      <c r="K6" s="119" t="s">
        <v>155</v>
      </c>
      <c r="L6" s="100"/>
      <c r="M6" s="119" t="s">
        <v>156</v>
      </c>
      <c r="N6" s="100"/>
      <c r="O6" s="119" t="s">
        <v>157</v>
      </c>
      <c r="P6" s="100"/>
      <c r="Q6" s="120" t="n">
        <v>36150</v>
      </c>
      <c r="R6" s="103"/>
      <c r="S6" s="120" t="s">
        <v>158</v>
      </c>
      <c r="T6" s="103"/>
      <c r="U6" s="120" t="n">
        <v>36191</v>
      </c>
      <c r="V6" s="121"/>
      <c r="W6" s="120" t="n">
        <v>36219</v>
      </c>
      <c r="X6" s="122"/>
      <c r="Y6" s="120" t="n">
        <v>36250</v>
      </c>
      <c r="Z6" s="122"/>
      <c r="AA6" s="120" t="n">
        <v>36280</v>
      </c>
      <c r="AB6" s="122"/>
      <c r="AC6" s="120" t="n">
        <v>36311</v>
      </c>
      <c r="AD6" s="122"/>
      <c r="AE6" s="120" t="n">
        <v>36341</v>
      </c>
      <c r="AF6" s="123"/>
      <c r="AG6" s="120" t="n">
        <v>36372</v>
      </c>
      <c r="AH6" s="123"/>
      <c r="AI6" s="120" t="n">
        <v>36403</v>
      </c>
      <c r="AJ6" s="123"/>
      <c r="AK6" s="120" t="n">
        <v>36433</v>
      </c>
      <c r="AL6" s="123"/>
      <c r="AM6" s="120" t="n">
        <v>36464</v>
      </c>
      <c r="AN6" s="123"/>
      <c r="AO6" s="120" t="n">
        <v>36494</v>
      </c>
      <c r="AP6" s="123"/>
      <c r="AQ6" s="120" t="n">
        <v>36525</v>
      </c>
      <c r="AR6" s="123"/>
      <c r="AS6" s="124" t="s">
        <v>159</v>
      </c>
      <c r="AT6" s="116"/>
      <c r="AU6" s="120" t="s">
        <v>160</v>
      </c>
      <c r="AV6" s="116"/>
      <c r="AW6" s="124" t="s">
        <v>161</v>
      </c>
      <c r="AX6" s="116"/>
      <c r="AY6" s="124" t="s">
        <v>162</v>
      </c>
      <c r="AZ6" s="116"/>
      <c r="BA6" s="124" t="s">
        <v>163</v>
      </c>
      <c r="BB6" s="104"/>
      <c r="BC6" s="113" t="s">
        <v>164</v>
      </c>
      <c r="BD6" s="104"/>
      <c r="BE6" s="104"/>
      <c r="BF6" s="104"/>
      <c r="BG6" s="104"/>
      <c r="BH6" s="104"/>
      <c r="BI6" s="104"/>
      <c r="BJ6" s="104"/>
      <c r="BK6" s="104"/>
      <c r="BL6" s="104"/>
      <c r="BM6" s="104"/>
      <c r="BN6" s="104"/>
      <c r="BO6" s="104"/>
      <c r="BP6" s="104"/>
      <c r="BQ6" s="104"/>
      <c r="BR6" s="104"/>
      <c r="BS6" s="104"/>
      <c r="BT6" s="104"/>
      <c r="BU6" s="104"/>
      <c r="BV6" s="104"/>
      <c r="BW6" s="104"/>
      <c r="BX6" s="104"/>
      <c r="BY6" s="104"/>
      <c r="BZ6" s="104"/>
      <c r="CA6" s="104"/>
      <c r="CB6" s="104"/>
      <c r="CC6" s="104"/>
      <c r="CD6" s="104"/>
      <c r="CE6" s="104"/>
      <c r="CF6" s="104"/>
      <c r="CG6" s="104"/>
      <c r="CH6" s="104"/>
      <c r="CI6" s="104"/>
      <c r="CJ6" s="104"/>
      <c r="CK6" s="104"/>
      <c r="CL6" s="104"/>
      <c r="CM6" s="104"/>
      <c r="CN6" s="104"/>
      <c r="CO6" s="104"/>
      <c r="CP6" s="104"/>
      <c r="CQ6" s="104"/>
      <c r="CR6" s="104"/>
      <c r="CS6" s="104"/>
      <c r="CT6" s="104"/>
      <c r="CU6" s="104"/>
      <c r="CV6" s="104"/>
      <c r="CW6" s="104"/>
      <c r="CX6" s="104"/>
      <c r="CY6" s="104"/>
      <c r="CZ6" s="104"/>
      <c r="DA6" s="104"/>
      <c r="DB6" s="104"/>
      <c r="DC6" s="104"/>
      <c r="DD6" s="104"/>
      <c r="DE6" s="104"/>
      <c r="DF6" s="104"/>
      <c r="DG6" s="104"/>
      <c r="DH6" s="104"/>
      <c r="DI6" s="104"/>
      <c r="DJ6" s="104"/>
      <c r="DK6" s="104"/>
      <c r="DL6" s="104"/>
      <c r="DM6" s="104"/>
      <c r="DN6" s="104"/>
      <c r="DO6" s="104"/>
      <c r="DP6" s="104"/>
      <c r="DQ6" s="104"/>
      <c r="DR6" s="104"/>
      <c r="DS6" s="104"/>
      <c r="DT6" s="104"/>
      <c r="DU6" s="104"/>
      <c r="DV6" s="104"/>
      <c r="DW6" s="104"/>
      <c r="DX6" s="104"/>
      <c r="DY6" s="104"/>
      <c r="DZ6" s="104"/>
      <c r="EA6" s="104"/>
      <c r="EB6" s="104"/>
      <c r="EC6" s="104"/>
      <c r="ED6" s="104"/>
      <c r="EE6" s="104"/>
      <c r="EF6" s="104"/>
      <c r="EG6" s="104"/>
      <c r="EH6" s="104"/>
      <c r="EI6" s="104"/>
      <c r="EJ6" s="104"/>
      <c r="EK6" s="104"/>
      <c r="EL6" s="104"/>
      <c r="EM6" s="104"/>
      <c r="EN6" s="104"/>
      <c r="EO6" s="104"/>
      <c r="EP6" s="104"/>
      <c r="EQ6" s="104"/>
      <c r="ER6" s="104"/>
      <c r="ES6" s="104"/>
      <c r="ET6" s="104"/>
      <c r="EU6" s="104"/>
      <c r="EV6" s="104"/>
      <c r="EW6" s="104"/>
      <c r="EX6" s="104"/>
      <c r="EY6" s="104"/>
      <c r="EZ6" s="104"/>
      <c r="FA6" s="104"/>
      <c r="FB6" s="104"/>
      <c r="FC6" s="104"/>
      <c r="FD6" s="104"/>
      <c r="FE6" s="104"/>
      <c r="FF6" s="104"/>
      <c r="FG6" s="104"/>
      <c r="FH6" s="104"/>
      <c r="FI6" s="104"/>
      <c r="FJ6" s="104"/>
      <c r="FK6" s="104"/>
      <c r="FL6" s="104"/>
      <c r="FM6" s="104"/>
      <c r="FN6" s="104"/>
      <c r="FO6" s="104"/>
      <c r="FP6" s="104"/>
      <c r="FQ6" s="104"/>
      <c r="FR6" s="104"/>
      <c r="FS6" s="104"/>
      <c r="FT6" s="104"/>
      <c r="FU6" s="104"/>
      <c r="FV6" s="104"/>
      <c r="FW6" s="104"/>
      <c r="FX6" s="104"/>
      <c r="FY6" s="104"/>
      <c r="FZ6" s="104"/>
      <c r="GA6" s="104"/>
      <c r="GB6" s="104"/>
      <c r="GC6" s="104"/>
      <c r="GD6" s="104"/>
      <c r="GE6" s="104"/>
      <c r="GF6" s="104"/>
      <c r="GG6" s="104"/>
      <c r="GH6" s="104"/>
      <c r="GI6" s="104"/>
      <c r="GJ6" s="104"/>
      <c r="GK6" s="104"/>
      <c r="GL6" s="104"/>
      <c r="GM6" s="104"/>
      <c r="GN6" s="104"/>
      <c r="GO6" s="104"/>
      <c r="GP6" s="104"/>
      <c r="GQ6" s="104"/>
      <c r="GR6" s="104"/>
      <c r="GS6" s="104"/>
      <c r="GT6" s="104"/>
      <c r="GU6" s="104"/>
      <c r="GV6" s="104"/>
      <c r="GW6" s="104"/>
      <c r="GX6" s="104"/>
      <c r="GY6" s="104"/>
      <c r="GZ6" s="104"/>
      <c r="HA6" s="104"/>
      <c r="HB6" s="104"/>
      <c r="HC6" s="104"/>
      <c r="HD6" s="104"/>
      <c r="HE6" s="104"/>
      <c r="HF6" s="104"/>
      <c r="HG6" s="104"/>
      <c r="HH6" s="104"/>
      <c r="HI6" s="104"/>
      <c r="HJ6" s="104"/>
      <c r="HK6" s="104"/>
      <c r="HL6" s="104"/>
      <c r="HM6" s="104"/>
      <c r="HN6" s="104"/>
      <c r="HO6" s="104"/>
      <c r="HP6" s="104"/>
      <c r="HQ6" s="104"/>
      <c r="HR6" s="104"/>
      <c r="HS6" s="104"/>
      <c r="HT6" s="104"/>
      <c r="HU6" s="104"/>
      <c r="HV6" s="104"/>
      <c r="HW6" s="104"/>
      <c r="HX6" s="104"/>
      <c r="HY6" s="104"/>
      <c r="HZ6" s="104"/>
      <c r="IA6" s="104"/>
      <c r="IB6" s="104"/>
      <c r="IC6" s="104"/>
      <c r="ID6" s="104"/>
      <c r="IE6" s="104"/>
      <c r="IF6" s="104"/>
      <c r="IG6" s="104"/>
      <c r="IH6" s="104"/>
      <c r="II6" s="104"/>
      <c r="IJ6" s="104"/>
      <c r="IK6" s="104"/>
      <c r="IL6" s="104"/>
      <c r="IM6" s="104"/>
      <c r="IN6" s="104"/>
      <c r="IO6" s="104"/>
      <c r="IP6" s="104"/>
      <c r="IQ6" s="104"/>
      <c r="IR6" s="104"/>
      <c r="IS6" s="104"/>
      <c r="IT6" s="104"/>
      <c r="IU6" s="104"/>
      <c r="IV6" s="104"/>
      <c r="IW6" s="104"/>
    </row>
    <row r="7" customFormat="false" ht="12.75" hidden="false" customHeight="false" outlineLevel="0" collapsed="false">
      <c r="A7" s="125"/>
      <c r="B7" s="126"/>
      <c r="C7" s="127"/>
      <c r="D7" s="128"/>
      <c r="E7" s="128"/>
      <c r="F7" s="128"/>
      <c r="G7" s="128"/>
      <c r="H7" s="128"/>
      <c r="I7" s="128"/>
      <c r="J7" s="128"/>
      <c r="L7" s="128"/>
      <c r="N7" s="128"/>
      <c r="P7" s="128"/>
      <c r="Q7" s="129" t="s">
        <v>165</v>
      </c>
      <c r="S7" s="129" t="s">
        <v>165</v>
      </c>
      <c r="U7" s="129" t="str">
        <f aca="false">+Summary!$O$3</f>
        <v>as of 12/10/99</v>
      </c>
      <c r="W7" s="129" t="str">
        <f aca="false">+Summary!$O$3</f>
        <v>as of 12/10/99</v>
      </c>
      <c r="Y7" s="129" t="str">
        <f aca="false">+Summary!$O$3</f>
        <v>as of 12/10/99</v>
      </c>
      <c r="AA7" s="129" t="str">
        <f aca="false">+Summary!$O$3</f>
        <v>as of 12/10/99</v>
      </c>
      <c r="AC7" s="129" t="str">
        <f aca="false">+Summary!$O$3</f>
        <v>as of 12/10/99</v>
      </c>
      <c r="AE7" s="129" t="str">
        <f aca="false">+Summary!$O$3</f>
        <v>as of 12/10/99</v>
      </c>
      <c r="AF7" s="129"/>
      <c r="AG7" s="129" t="str">
        <f aca="false">+Summary!$O$3</f>
        <v>as of 12/10/99</v>
      </c>
      <c r="AH7" s="129"/>
      <c r="AI7" s="129" t="str">
        <f aca="false">+Summary!$O$3</f>
        <v>as of 12/10/99</v>
      </c>
      <c r="AJ7" s="129"/>
      <c r="AK7" s="129" t="str">
        <f aca="false">+Summary!$O$3</f>
        <v>as of 12/10/99</v>
      </c>
      <c r="AL7" s="129"/>
      <c r="AM7" s="129" t="str">
        <f aca="false">+Summary!$O$3</f>
        <v>as of 12/10/99</v>
      </c>
      <c r="AN7" s="129"/>
      <c r="AO7" s="129" t="str">
        <f aca="false">+Summary!$O$3</f>
        <v>as of 12/10/99</v>
      </c>
      <c r="AP7" s="129"/>
      <c r="AQ7" s="129" t="str">
        <f aca="false">+Summary!$O$3</f>
        <v>as of 12/10/99</v>
      </c>
      <c r="AR7" s="129"/>
      <c r="AS7" s="24" t="str">
        <f aca="false">+Summary!$O$3</f>
        <v>as of 12/10/99</v>
      </c>
      <c r="AT7" s="128"/>
      <c r="AU7" s="129"/>
      <c r="AV7" s="128"/>
      <c r="AW7" s="24"/>
      <c r="AX7" s="128"/>
      <c r="AY7" s="24"/>
      <c r="AZ7" s="128"/>
      <c r="BA7" s="24"/>
    </row>
    <row r="8" customFormat="false" ht="12.75" hidden="false" customHeight="false" outlineLevel="0" collapsed="false">
      <c r="A8" s="130" t="s">
        <v>166</v>
      </c>
      <c r="B8" s="126"/>
      <c r="C8" s="127"/>
      <c r="D8" s="128"/>
      <c r="E8" s="128"/>
      <c r="F8" s="128"/>
      <c r="G8" s="128"/>
      <c r="H8" s="128"/>
      <c r="I8" s="128"/>
      <c r="J8" s="128"/>
      <c r="L8" s="128"/>
      <c r="N8" s="128"/>
      <c r="P8" s="128"/>
      <c r="Q8" s="129"/>
      <c r="S8" s="129"/>
      <c r="U8" s="129"/>
      <c r="W8" s="129"/>
      <c r="Y8" s="129"/>
      <c r="AA8" s="129"/>
      <c r="AC8" s="129"/>
      <c r="AE8" s="129"/>
      <c r="AF8" s="129"/>
      <c r="AG8" s="129"/>
      <c r="AH8" s="129"/>
      <c r="AI8" s="129"/>
      <c r="AJ8" s="129"/>
      <c r="AK8" s="129"/>
      <c r="AL8" s="129"/>
      <c r="AM8" s="129"/>
      <c r="AN8" s="129"/>
      <c r="AO8" s="129"/>
      <c r="AP8" s="129"/>
      <c r="AQ8" s="129"/>
      <c r="AR8" s="129"/>
      <c r="AS8" s="24"/>
      <c r="AT8" s="128"/>
      <c r="AU8" s="129"/>
      <c r="AV8" s="128"/>
      <c r="AW8" s="24"/>
      <c r="AX8" s="128"/>
      <c r="AY8" s="24"/>
      <c r="AZ8" s="128"/>
      <c r="BA8" s="24"/>
    </row>
    <row r="9" customFormat="false" ht="12.75" hidden="false" customHeight="false" outlineLevel="0" collapsed="false">
      <c r="A9" s="131"/>
      <c r="B9" s="132" t="s">
        <v>167</v>
      </c>
      <c r="C9" s="132" t="s">
        <v>168</v>
      </c>
      <c r="D9" s="128"/>
      <c r="E9" s="128" t="s">
        <v>169</v>
      </c>
      <c r="F9" s="128"/>
      <c r="G9" s="128" t="s">
        <v>170</v>
      </c>
      <c r="H9" s="128"/>
      <c r="I9" s="128" t="s">
        <v>171</v>
      </c>
      <c r="J9" s="128"/>
      <c r="K9" s="133" t="n">
        <v>68797500</v>
      </c>
      <c r="L9" s="128"/>
      <c r="M9" s="133" t="n">
        <v>0</v>
      </c>
      <c r="N9" s="128"/>
      <c r="O9" s="133" t="n">
        <f aca="false">SUM(K9:N9)</f>
        <v>68797500</v>
      </c>
      <c r="P9" s="128"/>
      <c r="Q9" s="96" t="n">
        <v>55432001</v>
      </c>
      <c r="S9" s="96" t="n">
        <v>3467538</v>
      </c>
      <c r="U9" s="96" t="n">
        <f aca="false">48600</f>
        <v>48600</v>
      </c>
      <c r="W9" s="96" t="n">
        <f aca="false">111414+3456396.2+137615</f>
        <v>3705425.2</v>
      </c>
      <c r="Y9" s="96" t="n">
        <v>3342087.7</v>
      </c>
      <c r="AI9" s="96" t="n">
        <v>3337740.9</v>
      </c>
      <c r="AS9" s="95" t="n">
        <f aca="false">SUM(P9:AR9)</f>
        <v>69333392.8</v>
      </c>
      <c r="AT9" s="128"/>
      <c r="AU9" s="96" t="n">
        <f aca="false">472250+60686</f>
        <v>532936</v>
      </c>
      <c r="AV9" s="128"/>
      <c r="AW9" s="134" t="n">
        <f aca="false">IF(+O9-AS9+AU9&gt;0,O9-AS9+AU9,0)</f>
        <v>0</v>
      </c>
      <c r="AX9" s="128"/>
      <c r="AY9" s="135" t="n">
        <f aca="false">+AW9+AS9</f>
        <v>69333392.8</v>
      </c>
      <c r="AZ9" s="128"/>
      <c r="BA9" s="136" t="n">
        <f aca="false">O9-AS9-AW9</f>
        <v>-535892.799999997</v>
      </c>
      <c r="BC9" s="137"/>
    </row>
    <row r="10" customFormat="false" ht="12.75" hidden="false" customHeight="false" outlineLevel="0" collapsed="false">
      <c r="A10" s="131"/>
      <c r="B10" s="132" t="s">
        <v>172</v>
      </c>
      <c r="C10" s="132" t="s">
        <v>168</v>
      </c>
      <c r="D10" s="128"/>
      <c r="E10" s="128" t="s">
        <v>173</v>
      </c>
      <c r="F10" s="128"/>
      <c r="G10" s="128" t="s">
        <v>170</v>
      </c>
      <c r="H10" s="128"/>
      <c r="I10" s="128" t="s">
        <v>174</v>
      </c>
      <c r="J10" s="128"/>
      <c r="K10" s="133" t="n">
        <v>1397500</v>
      </c>
      <c r="L10" s="128"/>
      <c r="M10" s="133" t="n">
        <v>0</v>
      </c>
      <c r="N10" s="128"/>
      <c r="O10" s="133" t="n">
        <f aca="false">SUM(K10:N10)</f>
        <v>1397500</v>
      </c>
      <c r="P10" s="128"/>
      <c r="Q10" s="96" t="n">
        <v>0</v>
      </c>
      <c r="S10" s="96" t="n">
        <v>0</v>
      </c>
      <c r="AA10" s="96" t="n">
        <f aca="false">188412+150310</f>
        <v>338722</v>
      </c>
      <c r="AC10" s="96" t="n">
        <f aca="false">225423+76610+21874+180000+7950+329138</f>
        <v>840995</v>
      </c>
      <c r="AE10" s="96" t="n">
        <f aca="false">276019</f>
        <v>276019</v>
      </c>
      <c r="AG10" s="96" t="n">
        <v>136426</v>
      </c>
      <c r="AK10" s="96" t="n">
        <v>172832</v>
      </c>
      <c r="AM10" s="96" t="n">
        <v>16019</v>
      </c>
      <c r="AS10" s="95" t="n">
        <f aca="false">SUM(P10:AR10)</f>
        <v>1781013</v>
      </c>
      <c r="AT10" s="128"/>
      <c r="AV10" s="128"/>
      <c r="AW10" s="95" t="n">
        <f aca="false">IF(+O10-AS10+AU10&gt;0,O10-AS10+AU10,0)</f>
        <v>0</v>
      </c>
      <c r="AX10" s="128"/>
      <c r="AY10" s="95" t="n">
        <f aca="false">+AW10+AS10</f>
        <v>1781013</v>
      </c>
      <c r="AZ10" s="128"/>
      <c r="BA10" s="136" t="n">
        <f aca="false">O10-AS10-AW10</f>
        <v>-383513</v>
      </c>
    </row>
    <row r="11" customFormat="false" ht="12.75" hidden="false" customHeight="false" outlineLevel="0" collapsed="false">
      <c r="A11" s="131"/>
      <c r="B11" s="132" t="s">
        <v>175</v>
      </c>
      <c r="C11" s="132" t="s">
        <v>168</v>
      </c>
      <c r="D11" s="128"/>
      <c r="E11" s="128" t="s">
        <v>173</v>
      </c>
      <c r="F11" s="128"/>
      <c r="G11" s="128" t="s">
        <v>170</v>
      </c>
      <c r="H11" s="128"/>
      <c r="I11" s="128" t="s">
        <v>171</v>
      </c>
      <c r="J11" s="128"/>
      <c r="K11" s="133" t="n">
        <v>97872</v>
      </c>
      <c r="L11" s="128"/>
      <c r="M11" s="133" t="n">
        <v>0</v>
      </c>
      <c r="N11" s="128"/>
      <c r="O11" s="133" t="n">
        <f aca="false">SUM(K11:N11)</f>
        <v>97872</v>
      </c>
      <c r="P11" s="128"/>
      <c r="Q11" s="96" t="n">
        <v>0</v>
      </c>
      <c r="S11" s="96" t="n">
        <v>0</v>
      </c>
      <c r="AS11" s="95" t="n">
        <f aca="false">SUM(P11:AR11)</f>
        <v>0</v>
      </c>
      <c r="AT11" s="128"/>
      <c r="AU11" s="96" t="n">
        <v>-97872</v>
      </c>
      <c r="AV11" s="128"/>
      <c r="AW11" s="95" t="n">
        <f aca="false">IF(+O11-AS11+AU11&gt;0,O11-AS11+AU11,0)</f>
        <v>0</v>
      </c>
      <c r="AX11" s="128"/>
      <c r="AY11" s="95" t="n">
        <f aca="false">+AW11+AS11</f>
        <v>0</v>
      </c>
      <c r="AZ11" s="128"/>
      <c r="BA11" s="136" t="n">
        <f aca="false">O11-AS11-AW11</f>
        <v>97872</v>
      </c>
    </row>
    <row r="12" customFormat="false" ht="12.75" hidden="false" customHeight="false" outlineLevel="0" collapsed="false">
      <c r="A12" s="131"/>
      <c r="B12" s="132" t="s">
        <v>176</v>
      </c>
      <c r="C12" s="132" t="s">
        <v>168</v>
      </c>
      <c r="D12" s="128"/>
      <c r="E12" s="128" t="s">
        <v>173</v>
      </c>
      <c r="F12" s="128"/>
      <c r="G12" s="128" t="s">
        <v>170</v>
      </c>
      <c r="H12" s="128"/>
      <c r="I12" s="128" t="s">
        <v>171</v>
      </c>
      <c r="J12" s="128"/>
      <c r="K12" s="133" t="n">
        <v>33132</v>
      </c>
      <c r="L12" s="128"/>
      <c r="M12" s="133" t="n">
        <v>0</v>
      </c>
      <c r="N12" s="128"/>
      <c r="O12" s="133" t="n">
        <f aca="false">SUM(K12:N12)</f>
        <v>33132</v>
      </c>
      <c r="P12" s="128"/>
      <c r="Q12" s="96" t="n">
        <v>0</v>
      </c>
      <c r="S12" s="96" t="n">
        <v>0</v>
      </c>
      <c r="AS12" s="95" t="n">
        <f aca="false">SUM(P12:AR12)</f>
        <v>0</v>
      </c>
      <c r="AT12" s="128"/>
      <c r="AU12" s="96" t="n">
        <v>-33132</v>
      </c>
      <c r="AV12" s="128"/>
      <c r="AW12" s="95" t="n">
        <f aca="false">IF(+O12-AS12+AU12&gt;0,O12-AS12+AU12,0)</f>
        <v>0</v>
      </c>
      <c r="AX12" s="128"/>
      <c r="AY12" s="95" t="n">
        <f aca="false">+AW12+AS12</f>
        <v>0</v>
      </c>
      <c r="AZ12" s="128"/>
      <c r="BA12" s="136" t="n">
        <f aca="false">O12-AS12-AW12</f>
        <v>33132</v>
      </c>
    </row>
    <row r="13" customFormat="false" ht="12.75" hidden="false" customHeight="false" outlineLevel="0" collapsed="false">
      <c r="A13" s="131"/>
      <c r="B13" s="132" t="s">
        <v>177</v>
      </c>
      <c r="C13" s="132" t="s">
        <v>168</v>
      </c>
      <c r="D13" s="128"/>
      <c r="E13" s="128" t="s">
        <v>173</v>
      </c>
      <c r="F13" s="128"/>
      <c r="G13" s="128" t="s">
        <v>170</v>
      </c>
      <c r="H13" s="128"/>
      <c r="I13" s="128" t="s">
        <v>171</v>
      </c>
      <c r="J13" s="128"/>
      <c r="K13" s="133" t="n">
        <v>5504</v>
      </c>
      <c r="L13" s="128"/>
      <c r="M13" s="133" t="n">
        <v>0</v>
      </c>
      <c r="N13" s="128"/>
      <c r="O13" s="133" t="n">
        <f aca="false">SUM(K13:N13)</f>
        <v>5504</v>
      </c>
      <c r="P13" s="128"/>
      <c r="Q13" s="96" t="n">
        <v>0</v>
      </c>
      <c r="S13" s="96" t="n">
        <v>0</v>
      </c>
      <c r="AS13" s="95" t="n">
        <f aca="false">SUM(P13:AR13)</f>
        <v>0</v>
      </c>
      <c r="AT13" s="128"/>
      <c r="AU13" s="96" t="n">
        <v>-5504</v>
      </c>
      <c r="AV13" s="128"/>
      <c r="AW13" s="95" t="n">
        <f aca="false">IF(+O13-AS13+AU13&gt;0,O13-AS13+AU13,0)</f>
        <v>0</v>
      </c>
      <c r="AX13" s="128"/>
      <c r="AY13" s="95" t="n">
        <f aca="false">+AW13+AS13</f>
        <v>0</v>
      </c>
      <c r="AZ13" s="128"/>
      <c r="BA13" s="136" t="n">
        <f aca="false">O13-AS13-AW13</f>
        <v>5504</v>
      </c>
    </row>
    <row r="14" customFormat="false" ht="12.75" hidden="false" customHeight="false" outlineLevel="0" collapsed="false">
      <c r="A14" s="131"/>
      <c r="B14" s="132" t="s">
        <v>178</v>
      </c>
      <c r="C14" s="132" t="s">
        <v>168</v>
      </c>
      <c r="D14" s="128"/>
      <c r="E14" s="128" t="s">
        <v>173</v>
      </c>
      <c r="F14" s="128"/>
      <c r="G14" s="128" t="s">
        <v>170</v>
      </c>
      <c r="H14" s="128"/>
      <c r="I14" s="128" t="s">
        <v>171</v>
      </c>
      <c r="J14" s="128"/>
      <c r="K14" s="133" t="n">
        <v>85744</v>
      </c>
      <c r="L14" s="128"/>
      <c r="M14" s="133" t="n">
        <v>0</v>
      </c>
      <c r="N14" s="128"/>
      <c r="O14" s="133" t="n">
        <f aca="false">SUM(K14:N14)</f>
        <v>85744</v>
      </c>
      <c r="P14" s="128"/>
      <c r="Q14" s="96" t="n">
        <v>0</v>
      </c>
      <c r="S14" s="96" t="n">
        <v>0</v>
      </c>
      <c r="AS14" s="95" t="n">
        <f aca="false">SUM(P14:AR14)</f>
        <v>0</v>
      </c>
      <c r="AT14" s="128"/>
      <c r="AU14" s="96" t="n">
        <v>-85744</v>
      </c>
      <c r="AV14" s="128"/>
      <c r="AW14" s="95" t="n">
        <f aca="false">IF(+O14-AS14+AU14&gt;0,O14-AS14+AU14,0)</f>
        <v>0</v>
      </c>
      <c r="AX14" s="128"/>
      <c r="AY14" s="95" t="n">
        <f aca="false">+AW14+AS14</f>
        <v>0</v>
      </c>
      <c r="AZ14" s="128"/>
      <c r="BA14" s="136" t="n">
        <f aca="false">O14-AS14-AW14</f>
        <v>85744</v>
      </c>
    </row>
    <row r="15" customFormat="false" ht="12.75" hidden="false" customHeight="false" outlineLevel="0" collapsed="false">
      <c r="A15" s="131"/>
      <c r="B15" s="132" t="s">
        <v>179</v>
      </c>
      <c r="C15" s="132" t="s">
        <v>168</v>
      </c>
      <c r="D15" s="128"/>
      <c r="E15" s="128" t="s">
        <v>173</v>
      </c>
      <c r="F15" s="128"/>
      <c r="G15" s="128" t="s">
        <v>170</v>
      </c>
      <c r="H15" s="128"/>
      <c r="I15" s="128" t="s">
        <v>171</v>
      </c>
      <c r="J15" s="128"/>
      <c r="K15" s="133" t="n">
        <v>40000</v>
      </c>
      <c r="L15" s="128"/>
      <c r="M15" s="133" t="n">
        <v>0</v>
      </c>
      <c r="N15" s="128"/>
      <c r="O15" s="133" t="n">
        <f aca="false">SUM(K15:N15)</f>
        <v>40000</v>
      </c>
      <c r="P15" s="128"/>
      <c r="Q15" s="96" t="n">
        <v>0</v>
      </c>
      <c r="S15" s="96" t="n">
        <v>0</v>
      </c>
      <c r="AS15" s="95" t="n">
        <f aca="false">SUM(P15:AR15)</f>
        <v>0</v>
      </c>
      <c r="AT15" s="128"/>
      <c r="AU15" s="96" t="n">
        <v>-40000</v>
      </c>
      <c r="AV15" s="128"/>
      <c r="AW15" s="95" t="n">
        <f aca="false">IF(+O15-AS15+AU15&gt;0,O15-AS15+AU15,0)</f>
        <v>0</v>
      </c>
      <c r="AX15" s="128"/>
      <c r="AY15" s="95" t="n">
        <f aca="false">+AW15+AS15</f>
        <v>0</v>
      </c>
      <c r="AZ15" s="128"/>
      <c r="BA15" s="136" t="n">
        <f aca="false">O15-AS15-AW15</f>
        <v>40000</v>
      </c>
    </row>
    <row r="16" customFormat="false" ht="12.75" hidden="false" customHeight="false" outlineLevel="0" collapsed="false">
      <c r="A16" s="131"/>
      <c r="B16" s="132" t="s">
        <v>180</v>
      </c>
      <c r="C16" s="132"/>
      <c r="D16" s="128"/>
      <c r="E16" s="128"/>
      <c r="F16" s="128"/>
      <c r="G16" s="128"/>
      <c r="H16" s="128"/>
      <c r="I16" s="128"/>
      <c r="J16" s="128"/>
      <c r="K16" s="133"/>
      <c r="L16" s="128"/>
      <c r="M16" s="133"/>
      <c r="N16" s="128"/>
      <c r="O16" s="133"/>
      <c r="P16" s="128"/>
      <c r="AS16" s="95" t="n">
        <f aca="false">SUM(P16:AR16)</f>
        <v>0</v>
      </c>
      <c r="AT16" s="128"/>
      <c r="AU16" s="96" t="n">
        <v>1500000</v>
      </c>
      <c r="AV16" s="128"/>
      <c r="AW16" s="95" t="n">
        <f aca="false">IF(+O16-AS16+AU16&gt;0,O16-AS16+AU16,0)</f>
        <v>1500000</v>
      </c>
      <c r="AX16" s="128"/>
      <c r="AY16" s="95" t="n">
        <f aca="false">+AW16+AS16</f>
        <v>1500000</v>
      </c>
      <c r="AZ16" s="128"/>
      <c r="BA16" s="136" t="n">
        <f aca="false">O16-AS16-AW16</f>
        <v>-1500000</v>
      </c>
    </row>
    <row r="17" customFormat="false" ht="12.75" hidden="false" customHeight="false" outlineLevel="0" collapsed="false">
      <c r="A17" s="131"/>
      <c r="B17" s="132" t="s">
        <v>181</v>
      </c>
      <c r="C17" s="132" t="s">
        <v>168</v>
      </c>
      <c r="D17" s="128"/>
      <c r="E17" s="128" t="s">
        <v>173</v>
      </c>
      <c r="F17" s="128"/>
      <c r="G17" s="128" t="s">
        <v>170</v>
      </c>
      <c r="H17" s="128"/>
      <c r="I17" s="128" t="s">
        <v>171</v>
      </c>
      <c r="J17" s="128"/>
      <c r="K17" s="138" t="n">
        <v>210000</v>
      </c>
      <c r="L17" s="128"/>
      <c r="M17" s="138" t="n">
        <v>0</v>
      </c>
      <c r="N17" s="128"/>
      <c r="O17" s="138" t="n">
        <f aca="false">SUM(K17:N17)</f>
        <v>210000</v>
      </c>
      <c r="P17" s="128"/>
      <c r="Q17" s="139" t="n">
        <v>0</v>
      </c>
      <c r="S17" s="139" t="n">
        <v>0</v>
      </c>
      <c r="U17" s="139"/>
      <c r="W17" s="139"/>
      <c r="Y17" s="139"/>
      <c r="AA17" s="139"/>
      <c r="AC17" s="139"/>
      <c r="AE17" s="139"/>
      <c r="AG17" s="139"/>
      <c r="AI17" s="139"/>
      <c r="AK17" s="139"/>
      <c r="AM17" s="139"/>
      <c r="AO17" s="139"/>
      <c r="AQ17" s="139"/>
      <c r="AS17" s="140" t="n">
        <f aca="false">SUM(P17:AR17)</f>
        <v>0</v>
      </c>
      <c r="AT17" s="128"/>
      <c r="AU17" s="139" t="n">
        <v>-210000</v>
      </c>
      <c r="AV17" s="128"/>
      <c r="AW17" s="140" t="n">
        <f aca="false">IF(+O17-AS17+AU17&gt;0,O17-AS17+AU17,0)</f>
        <v>0</v>
      </c>
      <c r="AX17" s="128"/>
      <c r="AY17" s="140" t="n">
        <f aca="false">+AW17+AS17</f>
        <v>0</v>
      </c>
      <c r="AZ17" s="128"/>
      <c r="BA17" s="141" t="n">
        <f aca="false">O17-AS17-AW17</f>
        <v>210000</v>
      </c>
    </row>
    <row r="18" customFormat="false" ht="12.75" hidden="false" customHeight="false" outlineLevel="0" collapsed="false">
      <c r="A18" s="131"/>
      <c r="B18" s="127" t="s">
        <v>182</v>
      </c>
      <c r="C18" s="132"/>
      <c r="D18" s="128"/>
      <c r="E18" s="128"/>
      <c r="F18" s="128"/>
      <c r="G18" s="128"/>
      <c r="H18" s="128"/>
      <c r="I18" s="128"/>
      <c r="J18" s="128"/>
      <c r="K18" s="24" t="n">
        <f aca="false">SUM(K9:K17)</f>
        <v>70667252</v>
      </c>
      <c r="L18" s="128"/>
      <c r="M18" s="24" t="n">
        <f aca="false">SUM(M9:M17)</f>
        <v>0</v>
      </c>
      <c r="N18" s="128"/>
      <c r="O18" s="24" t="n">
        <f aca="false">SUM(O9:O17)</f>
        <v>70667252</v>
      </c>
      <c r="P18" s="128"/>
      <c r="Q18" s="129" t="n">
        <f aca="false">SUM(Q9:Q17)</f>
        <v>55432001</v>
      </c>
      <c r="S18" s="129" t="n">
        <f aca="false">SUM(S9:S17)</f>
        <v>3467538</v>
      </c>
      <c r="U18" s="129" t="n">
        <f aca="false">SUM(U9:U17)</f>
        <v>48600</v>
      </c>
      <c r="W18" s="129" t="n">
        <f aca="false">SUM(W9:W17)</f>
        <v>3705425.2</v>
      </c>
      <c r="Y18" s="129" t="n">
        <f aca="false">SUM(Y9:Y17)</f>
        <v>3342087.7</v>
      </c>
      <c r="AA18" s="129" t="n">
        <f aca="false">SUM(AA9:AA17)</f>
        <v>338722</v>
      </c>
      <c r="AC18" s="129" t="n">
        <f aca="false">SUM(AC9:AC17)</f>
        <v>840995</v>
      </c>
      <c r="AE18" s="129" t="n">
        <f aca="false">SUM(AE9:AE17)</f>
        <v>276019</v>
      </c>
      <c r="AF18" s="129"/>
      <c r="AG18" s="129" t="n">
        <f aca="false">SUM(AG9:AG17)</f>
        <v>136426</v>
      </c>
      <c r="AH18" s="129"/>
      <c r="AI18" s="129" t="n">
        <f aca="false">SUM(AI9:AI17)</f>
        <v>3337740.9</v>
      </c>
      <c r="AJ18" s="129"/>
      <c r="AK18" s="129" t="n">
        <f aca="false">SUM(AK9:AK17)</f>
        <v>172832</v>
      </c>
      <c r="AL18" s="129"/>
      <c r="AM18" s="129" t="n">
        <f aca="false">SUM(AM9:AM17)</f>
        <v>16019</v>
      </c>
      <c r="AN18" s="129"/>
      <c r="AO18" s="129" t="n">
        <f aca="false">SUM(AO9:AO17)</f>
        <v>0</v>
      </c>
      <c r="AP18" s="129"/>
      <c r="AQ18" s="129" t="n">
        <f aca="false">SUM(AQ9:AQ17)</f>
        <v>0</v>
      </c>
      <c r="AR18" s="129"/>
      <c r="AS18" s="24" t="n">
        <f aca="false">SUM(AS9:AS17)</f>
        <v>71114405.8</v>
      </c>
      <c r="AT18" s="128"/>
      <c r="AU18" s="129" t="n">
        <f aca="false">SUM(AU9:AU17)</f>
        <v>1560684</v>
      </c>
      <c r="AV18" s="128"/>
      <c r="AW18" s="24" t="n">
        <f aca="false">SUM(AW9:AW17)</f>
        <v>1500000</v>
      </c>
      <c r="AX18" s="128"/>
      <c r="AY18" s="24" t="n">
        <f aca="false">SUM(AY9:AY17)</f>
        <v>72614405.8</v>
      </c>
      <c r="AZ18" s="128"/>
      <c r="BA18" s="136" t="n">
        <f aca="false">SUM(BA9:BA17)</f>
        <v>-1947153.8</v>
      </c>
    </row>
    <row r="19" customFormat="false" ht="12.75" hidden="false" customHeight="false" outlineLevel="0" collapsed="false">
      <c r="A19" s="131"/>
      <c r="B19" s="127"/>
      <c r="C19" s="132"/>
      <c r="D19" s="128"/>
      <c r="E19" s="128"/>
      <c r="F19" s="128"/>
      <c r="G19" s="128"/>
      <c r="H19" s="128"/>
      <c r="I19" s="128"/>
      <c r="J19" s="128"/>
      <c r="K19" s="24"/>
      <c r="L19" s="128"/>
      <c r="M19" s="24"/>
      <c r="N19" s="128"/>
      <c r="O19" s="24"/>
      <c r="P19" s="128"/>
      <c r="Q19" s="129"/>
      <c r="S19" s="129"/>
      <c r="U19" s="129"/>
      <c r="W19" s="129"/>
      <c r="Y19" s="129"/>
      <c r="AA19" s="129"/>
      <c r="AC19" s="129"/>
      <c r="AE19" s="129"/>
      <c r="AF19" s="129"/>
      <c r="AG19" s="129"/>
      <c r="AH19" s="129"/>
      <c r="AI19" s="129"/>
      <c r="AJ19" s="129"/>
      <c r="AK19" s="129"/>
      <c r="AL19" s="129"/>
      <c r="AM19" s="129"/>
      <c r="AN19" s="129"/>
      <c r="AO19" s="129"/>
      <c r="AP19" s="129"/>
      <c r="AQ19" s="129"/>
      <c r="AR19" s="129"/>
      <c r="AS19" s="24"/>
      <c r="AT19" s="128"/>
      <c r="AU19" s="129"/>
      <c r="AV19" s="128"/>
      <c r="AW19" s="24"/>
      <c r="AX19" s="128"/>
      <c r="AY19" s="24"/>
      <c r="AZ19" s="128"/>
      <c r="BA19" s="136"/>
    </row>
    <row r="20" customFormat="false" ht="12.75" hidden="false" customHeight="false" outlineLevel="0" collapsed="false">
      <c r="A20" s="131"/>
      <c r="B20" s="132" t="s">
        <v>183</v>
      </c>
      <c r="C20" s="132" t="s">
        <v>184</v>
      </c>
      <c r="D20" s="128"/>
      <c r="E20" s="128" t="s">
        <v>173</v>
      </c>
      <c r="F20" s="128"/>
      <c r="G20" s="128" t="s">
        <v>170</v>
      </c>
      <c r="H20" s="128"/>
      <c r="I20" s="128" t="s">
        <v>171</v>
      </c>
      <c r="J20" s="128"/>
      <c r="K20" s="133" t="n">
        <v>5300000</v>
      </c>
      <c r="L20" s="128"/>
      <c r="M20" s="133" t="n">
        <v>0</v>
      </c>
      <c r="N20" s="128"/>
      <c r="O20" s="133" t="n">
        <f aca="false">SUM(K20:N20)</f>
        <v>5300000</v>
      </c>
      <c r="P20" s="128"/>
      <c r="Q20" s="142" t="n">
        <v>1929482</v>
      </c>
      <c r="S20" s="142" t="n">
        <v>0</v>
      </c>
      <c r="U20" s="142" t="n">
        <f aca="false">795000+795000</f>
        <v>1590000</v>
      </c>
      <c r="AA20" s="142" t="n">
        <f aca="false">795000+266200-1200</f>
        <v>1060000</v>
      </c>
      <c r="AC20" s="96" t="n">
        <f aca="false">266200-1200</f>
        <v>265000</v>
      </c>
      <c r="AE20" s="96" t="n">
        <f aca="false">162015.89+530000</f>
        <v>692015.89</v>
      </c>
      <c r="AK20" s="96" t="n">
        <f aca="false">-162015.89-74482</f>
        <v>-236497.89</v>
      </c>
      <c r="AS20" s="95" t="n">
        <f aca="false">SUM(P20:AR20)</f>
        <v>5300000</v>
      </c>
      <c r="AT20" s="128"/>
      <c r="AV20" s="128"/>
      <c r="AW20" s="95" t="n">
        <f aca="false">5300000-AS20</f>
        <v>0</v>
      </c>
      <c r="AX20" s="128"/>
      <c r="AY20" s="136" t="n">
        <f aca="false">+AW20+AS20</f>
        <v>5300000</v>
      </c>
      <c r="AZ20" s="128"/>
      <c r="BA20" s="136" t="n">
        <f aca="false">O20-AS20-AW20</f>
        <v>0</v>
      </c>
      <c r="BC20" s="96"/>
    </row>
    <row r="21" customFormat="false" ht="12.75" hidden="false" customHeight="false" outlineLevel="0" collapsed="false">
      <c r="A21" s="131"/>
      <c r="B21" s="132" t="s">
        <v>185</v>
      </c>
      <c r="C21" s="132" t="s">
        <v>184</v>
      </c>
      <c r="D21" s="128"/>
      <c r="E21" s="128" t="s">
        <v>173</v>
      </c>
      <c r="F21" s="128"/>
      <c r="G21" s="128" t="s">
        <v>170</v>
      </c>
      <c r="H21" s="128"/>
      <c r="I21" s="128" t="s">
        <v>171</v>
      </c>
      <c r="J21" s="128"/>
      <c r="K21" s="133" t="n">
        <v>162480</v>
      </c>
      <c r="L21" s="128"/>
      <c r="M21" s="133" t="n">
        <v>0</v>
      </c>
      <c r="N21" s="128"/>
      <c r="O21" s="133" t="n">
        <f aca="false">SUM(K21:N21)</f>
        <v>162480</v>
      </c>
      <c r="P21" s="128"/>
      <c r="Q21" s="96" t="n">
        <v>24815</v>
      </c>
      <c r="S21" s="96" t="n">
        <v>0</v>
      </c>
      <c r="AA21" s="142" t="n">
        <v>115801</v>
      </c>
      <c r="AK21" s="96" t="n">
        <f aca="false">16543+8271.5</f>
        <v>24814.5</v>
      </c>
      <c r="AS21" s="95" t="n">
        <f aca="false">SUM(P21:AR21)</f>
        <v>165430.5</v>
      </c>
      <c r="AT21" s="128"/>
      <c r="AU21" s="96" t="n">
        <v>0</v>
      </c>
      <c r="AV21" s="128"/>
      <c r="AW21" s="95" t="n">
        <f aca="false">165430-AS21</f>
        <v>-0.5</v>
      </c>
      <c r="AX21" s="128"/>
      <c r="AY21" s="95" t="n">
        <f aca="false">+AW21+AS21</f>
        <v>165430</v>
      </c>
      <c r="AZ21" s="128"/>
      <c r="BA21" s="136" t="n">
        <f aca="false">O21-AS21-AW21</f>
        <v>-2950</v>
      </c>
    </row>
    <row r="22" customFormat="false" ht="12.75" hidden="false" customHeight="false" outlineLevel="0" collapsed="false">
      <c r="A22" s="131"/>
      <c r="B22" s="132" t="s">
        <v>186</v>
      </c>
      <c r="C22" s="132" t="s">
        <v>184</v>
      </c>
      <c r="D22" s="128"/>
      <c r="E22" s="128" t="s">
        <v>173</v>
      </c>
      <c r="F22" s="128"/>
      <c r="G22" s="128" t="s">
        <v>170</v>
      </c>
      <c r="H22" s="128"/>
      <c r="I22" s="128" t="s">
        <v>171</v>
      </c>
      <c r="J22" s="128"/>
      <c r="K22" s="133" t="n">
        <v>59780</v>
      </c>
      <c r="L22" s="128"/>
      <c r="M22" s="133" t="n">
        <v>0</v>
      </c>
      <c r="N22" s="128"/>
      <c r="O22" s="133" t="n">
        <f aca="false">SUM(K22:N22)</f>
        <v>59780</v>
      </c>
      <c r="P22" s="128"/>
      <c r="Q22" s="96" t="n">
        <v>11303</v>
      </c>
      <c r="S22" s="96" t="n">
        <v>0</v>
      </c>
      <c r="AA22" s="142" t="n">
        <f aca="false">52749.2</f>
        <v>52749.2</v>
      </c>
      <c r="AK22" s="96" t="n">
        <f aca="false">7535.6+3767.8-17178.46</f>
        <v>-5875.06</v>
      </c>
      <c r="AS22" s="95" t="n">
        <f aca="false">SUM(P22:AR22)</f>
        <v>58177.14</v>
      </c>
      <c r="AT22" s="128"/>
      <c r="AU22" s="96" t="n">
        <v>0</v>
      </c>
      <c r="AV22" s="128"/>
      <c r="AW22" s="95" t="n">
        <v>0</v>
      </c>
      <c r="AX22" s="128"/>
      <c r="AY22" s="95" t="n">
        <f aca="false">+AW22+AS22</f>
        <v>58177.14</v>
      </c>
      <c r="AZ22" s="128"/>
      <c r="BA22" s="136" t="n">
        <f aca="false">O22-AS22-AW22</f>
        <v>1602.86</v>
      </c>
    </row>
    <row r="23" customFormat="false" ht="12.75" hidden="false" customHeight="false" outlineLevel="0" collapsed="false">
      <c r="A23" s="131"/>
      <c r="B23" s="132" t="s">
        <v>187</v>
      </c>
      <c r="C23" s="132" t="s">
        <v>184</v>
      </c>
      <c r="D23" s="128"/>
      <c r="E23" s="128" t="s">
        <v>173</v>
      </c>
      <c r="F23" s="128"/>
      <c r="G23" s="128" t="s">
        <v>170</v>
      </c>
      <c r="H23" s="128"/>
      <c r="I23" s="128" t="s">
        <v>171</v>
      </c>
      <c r="J23" s="128"/>
      <c r="K23" s="133" t="n">
        <v>2968940</v>
      </c>
      <c r="L23" s="128"/>
      <c r="M23" s="133" t="n">
        <v>0</v>
      </c>
      <c r="N23" s="128"/>
      <c r="O23" s="133" t="n">
        <f aca="false">SUM(K23:N23)</f>
        <v>2968940</v>
      </c>
      <c r="P23" s="128"/>
      <c r="Q23" s="142" t="n">
        <v>1032970</v>
      </c>
      <c r="S23" s="142" t="n">
        <v>0</v>
      </c>
      <c r="U23" s="142" t="n">
        <f aca="false">293814.5+293814.5+387000+387000</f>
        <v>1361629</v>
      </c>
      <c r="AC23" s="96" t="n">
        <v>129000</v>
      </c>
      <c r="AK23" s="96" t="n">
        <f aca="false">167894+129000+64500+83947.46</f>
        <v>445341.46</v>
      </c>
      <c r="AS23" s="95" t="n">
        <f aca="false">SUM(P23:AR23)</f>
        <v>2968940.46</v>
      </c>
      <c r="AT23" s="128"/>
      <c r="AU23" s="96" t="n">
        <v>0</v>
      </c>
      <c r="AV23" s="128"/>
      <c r="AW23" s="95" t="n">
        <f aca="false">1678940+1290000-AS23</f>
        <v>-0.459999999962747</v>
      </c>
      <c r="AX23" s="128"/>
      <c r="AY23" s="95" t="n">
        <f aca="false">+AW23+AS23</f>
        <v>2968940</v>
      </c>
      <c r="AZ23" s="128"/>
      <c r="BA23" s="136" t="n">
        <f aca="false">O23-AS23-AW23</f>
        <v>0</v>
      </c>
    </row>
    <row r="24" customFormat="false" ht="12.75" hidden="false" customHeight="false" outlineLevel="0" collapsed="false">
      <c r="A24" s="131"/>
      <c r="B24" s="132" t="s">
        <v>188</v>
      </c>
      <c r="C24" s="132"/>
      <c r="D24" s="128"/>
      <c r="E24" s="128"/>
      <c r="F24" s="128"/>
      <c r="G24" s="128"/>
      <c r="H24" s="128"/>
      <c r="I24" s="128"/>
      <c r="J24" s="128"/>
      <c r="K24" s="133"/>
      <c r="L24" s="128"/>
      <c r="M24" s="133" t="n">
        <v>0</v>
      </c>
      <c r="N24" s="128"/>
      <c r="O24" s="133" t="n">
        <f aca="false">SUM(K24:N24)</f>
        <v>0</v>
      </c>
      <c r="P24" s="128"/>
      <c r="Q24" s="142"/>
      <c r="S24" s="142"/>
      <c r="U24" s="142"/>
      <c r="AS24" s="95" t="n">
        <f aca="false">SUM(P24:AR24)</f>
        <v>0</v>
      </c>
      <c r="AT24" s="128"/>
      <c r="AU24" s="96" t="n">
        <v>0</v>
      </c>
      <c r="AV24" s="128"/>
      <c r="AW24" s="95" t="n">
        <v>0</v>
      </c>
      <c r="AX24" s="128"/>
      <c r="AY24" s="95" t="n">
        <f aca="false">+AW24+AS24</f>
        <v>0</v>
      </c>
      <c r="AZ24" s="128"/>
      <c r="BA24" s="136" t="n">
        <f aca="false">O24-AS24-AW24</f>
        <v>0</v>
      </c>
    </row>
    <row r="25" customFormat="false" ht="12.75" hidden="false" customHeight="false" outlineLevel="0" collapsed="false">
      <c r="A25" s="131"/>
      <c r="B25" s="132" t="s">
        <v>189</v>
      </c>
      <c r="C25" s="132"/>
      <c r="D25" s="128"/>
      <c r="E25" s="128"/>
      <c r="F25" s="128"/>
      <c r="G25" s="128"/>
      <c r="H25" s="128"/>
      <c r="I25" s="128"/>
      <c r="J25" s="128"/>
      <c r="K25" s="133"/>
      <c r="L25" s="128"/>
      <c r="M25" s="133" t="n">
        <v>0</v>
      </c>
      <c r="N25" s="128"/>
      <c r="O25" s="133" t="n">
        <f aca="false">SUM(K25:N25)</f>
        <v>0</v>
      </c>
      <c r="P25" s="128"/>
      <c r="Q25" s="142"/>
      <c r="S25" s="142"/>
      <c r="U25" s="142"/>
      <c r="AC25" s="96" t="n">
        <f aca="false">216300-3200</f>
        <v>213100</v>
      </c>
      <c r="AG25" s="96" t="n">
        <v>174000</v>
      </c>
      <c r="AS25" s="95" t="n">
        <f aca="false">SUM(P25:AR25)</f>
        <v>387100</v>
      </c>
      <c r="AT25" s="128"/>
      <c r="AU25" s="96" t="n">
        <v>0</v>
      </c>
      <c r="AV25" s="128"/>
      <c r="AW25" s="95" t="n">
        <f aca="false">387100-AS25</f>
        <v>0</v>
      </c>
      <c r="AX25" s="128"/>
      <c r="AY25" s="95" t="n">
        <f aca="false">+AW25+AS25</f>
        <v>387100</v>
      </c>
      <c r="AZ25" s="128"/>
      <c r="BA25" s="136" t="n">
        <f aca="false">O25-AS25-AW25</f>
        <v>-387100</v>
      </c>
    </row>
    <row r="26" customFormat="false" ht="12.75" hidden="false" customHeight="false" outlineLevel="0" collapsed="false">
      <c r="A26" s="131"/>
      <c r="B26" s="132" t="s">
        <v>190</v>
      </c>
      <c r="C26" s="132" t="s">
        <v>184</v>
      </c>
      <c r="D26" s="128"/>
      <c r="E26" s="128" t="s">
        <v>173</v>
      </c>
      <c r="F26" s="128"/>
      <c r="G26" s="128" t="s">
        <v>170</v>
      </c>
      <c r="H26" s="128"/>
      <c r="I26" s="128" t="s">
        <v>174</v>
      </c>
      <c r="J26" s="128"/>
      <c r="K26" s="133" t="n">
        <v>25000</v>
      </c>
      <c r="L26" s="128"/>
      <c r="M26" s="133" t="n">
        <v>0</v>
      </c>
      <c r="N26" s="128"/>
      <c r="O26" s="133" t="n">
        <f aca="false">SUM(K26:N26)</f>
        <v>25000</v>
      </c>
      <c r="P26" s="128"/>
      <c r="Q26" s="96" t="n">
        <v>0</v>
      </c>
      <c r="S26" s="96" t="n">
        <v>0</v>
      </c>
      <c r="AS26" s="95" t="n">
        <f aca="false">SUM(P26:AR26)</f>
        <v>0</v>
      </c>
      <c r="AT26" s="128"/>
      <c r="AU26" s="96" t="n">
        <v>0</v>
      </c>
      <c r="AV26" s="128"/>
      <c r="AW26" s="95" t="n">
        <v>0</v>
      </c>
      <c r="AX26" s="128"/>
      <c r="AY26" s="95" t="n">
        <f aca="false">+AW26+AS26</f>
        <v>0</v>
      </c>
      <c r="AZ26" s="128"/>
      <c r="BA26" s="136" t="n">
        <f aca="false">O26-AS26-AW26</f>
        <v>25000</v>
      </c>
    </row>
    <row r="27" customFormat="false" ht="12.75" hidden="false" customHeight="false" outlineLevel="0" collapsed="false">
      <c r="A27" s="131"/>
      <c r="B27" s="132" t="s">
        <v>191</v>
      </c>
      <c r="C27" s="132" t="s">
        <v>184</v>
      </c>
      <c r="D27" s="128"/>
      <c r="E27" s="128" t="s">
        <v>173</v>
      </c>
      <c r="F27" s="128"/>
      <c r="G27" s="128" t="s">
        <v>170</v>
      </c>
      <c r="H27" s="128"/>
      <c r="I27" s="128" t="s">
        <v>171</v>
      </c>
      <c r="J27" s="128"/>
      <c r="K27" s="133" t="n">
        <v>107600</v>
      </c>
      <c r="L27" s="128"/>
      <c r="M27" s="133" t="n">
        <v>0</v>
      </c>
      <c r="N27" s="128"/>
      <c r="O27" s="133" t="n">
        <f aca="false">SUM(K27:N27)</f>
        <v>107600</v>
      </c>
      <c r="P27" s="128"/>
      <c r="Q27" s="96" t="n">
        <v>0</v>
      </c>
      <c r="S27" s="96" t="n">
        <v>0</v>
      </c>
      <c r="AS27" s="95" t="n">
        <f aca="false">SUM(P27:AR27)</f>
        <v>0</v>
      </c>
      <c r="AT27" s="128"/>
      <c r="AU27" s="96" t="n">
        <v>0</v>
      </c>
      <c r="AV27" s="128"/>
      <c r="AW27" s="95" t="n">
        <f aca="false">-AS27</f>
        <v>-0</v>
      </c>
      <c r="AX27" s="128"/>
      <c r="AY27" s="95" t="n">
        <f aca="false">+AW27+AS27</f>
        <v>0</v>
      </c>
      <c r="AZ27" s="128"/>
      <c r="BA27" s="136" t="n">
        <f aca="false">O27-AS27-AW27</f>
        <v>107600</v>
      </c>
    </row>
    <row r="28" customFormat="false" ht="12.75" hidden="false" customHeight="false" outlineLevel="0" collapsed="false">
      <c r="A28" s="143"/>
      <c r="B28" s="144" t="s">
        <v>192</v>
      </c>
      <c r="C28" s="144" t="s">
        <v>184</v>
      </c>
      <c r="D28" s="128"/>
      <c r="E28" s="128" t="s">
        <v>173</v>
      </c>
      <c r="F28" s="128"/>
      <c r="G28" s="128" t="s">
        <v>170</v>
      </c>
      <c r="H28" s="128"/>
      <c r="I28" s="128" t="s">
        <v>171</v>
      </c>
      <c r="J28" s="128"/>
      <c r="K28" s="133" t="n">
        <v>105500</v>
      </c>
      <c r="L28" s="128"/>
      <c r="M28" s="133" t="n">
        <v>0</v>
      </c>
      <c r="N28" s="128"/>
      <c r="O28" s="133" t="n">
        <f aca="false">SUM(K28:N28)</f>
        <v>105500</v>
      </c>
      <c r="P28" s="128"/>
      <c r="Q28" s="96" t="n">
        <v>0</v>
      </c>
      <c r="S28" s="96" t="n">
        <v>0</v>
      </c>
      <c r="AS28" s="95" t="n">
        <f aca="false">SUM(P28:AR28)</f>
        <v>0</v>
      </c>
      <c r="AT28" s="128"/>
      <c r="AU28" s="96" t="n">
        <v>0</v>
      </c>
      <c r="AV28" s="128"/>
      <c r="AW28" s="95" t="n">
        <f aca="false">-AS28</f>
        <v>-0</v>
      </c>
      <c r="AX28" s="128"/>
      <c r="AY28" s="95" t="n">
        <f aca="false">+AW28+AS28</f>
        <v>0</v>
      </c>
      <c r="AZ28" s="128"/>
      <c r="BA28" s="136" t="n">
        <f aca="false">O28-AS28-AW28</f>
        <v>105500</v>
      </c>
    </row>
    <row r="29" customFormat="false" ht="12.75" hidden="false" customHeight="false" outlineLevel="0" collapsed="false">
      <c r="A29" s="143"/>
      <c r="B29" s="144" t="s">
        <v>193</v>
      </c>
      <c r="C29" s="144" t="s">
        <v>184</v>
      </c>
      <c r="D29" s="128"/>
      <c r="E29" s="128" t="s">
        <v>173</v>
      </c>
      <c r="F29" s="128"/>
      <c r="G29" s="128" t="s">
        <v>170</v>
      </c>
      <c r="H29" s="128"/>
      <c r="I29" s="128" t="s">
        <v>174</v>
      </c>
      <c r="J29" s="128"/>
      <c r="K29" s="133" t="n">
        <v>10000</v>
      </c>
      <c r="L29" s="128"/>
      <c r="M29" s="133" t="n">
        <v>0</v>
      </c>
      <c r="N29" s="128"/>
      <c r="O29" s="133" t="n">
        <f aca="false">SUM(K29:N29)</f>
        <v>10000</v>
      </c>
      <c r="P29" s="128"/>
      <c r="Q29" s="96" t="n">
        <v>0</v>
      </c>
      <c r="S29" s="96" t="n">
        <v>0</v>
      </c>
      <c r="AS29" s="95" t="n">
        <f aca="false">SUM(P29:AR29)</f>
        <v>0</v>
      </c>
      <c r="AT29" s="128"/>
      <c r="AU29" s="96" t="n">
        <v>0</v>
      </c>
      <c r="AV29" s="128"/>
      <c r="AW29" s="95" t="n">
        <v>0</v>
      </c>
      <c r="AX29" s="128"/>
      <c r="AY29" s="95" t="n">
        <f aca="false">+AW29+AS29</f>
        <v>0</v>
      </c>
      <c r="AZ29" s="128"/>
      <c r="BA29" s="136" t="n">
        <f aca="false">O29-AS29-AW29</f>
        <v>10000</v>
      </c>
    </row>
    <row r="30" customFormat="false" ht="12.75" hidden="false" customHeight="false" outlineLevel="0" collapsed="false">
      <c r="A30" s="145"/>
      <c r="B30" s="132" t="s">
        <v>194</v>
      </c>
      <c r="C30" s="132" t="s">
        <v>184</v>
      </c>
      <c r="D30" s="128"/>
      <c r="E30" s="128" t="s">
        <v>173</v>
      </c>
      <c r="F30" s="128"/>
      <c r="G30" s="128" t="s">
        <v>170</v>
      </c>
      <c r="H30" s="128"/>
      <c r="I30" s="128" t="s">
        <v>174</v>
      </c>
      <c r="J30" s="128"/>
      <c r="K30" s="138" t="n">
        <v>20000</v>
      </c>
      <c r="L30" s="128"/>
      <c r="M30" s="138" t="n">
        <v>0</v>
      </c>
      <c r="N30" s="128"/>
      <c r="O30" s="138" t="n">
        <f aca="false">SUM(K30:N30)</f>
        <v>20000</v>
      </c>
      <c r="P30" s="128"/>
      <c r="Q30" s="139" t="n">
        <v>0</v>
      </c>
      <c r="S30" s="139" t="n">
        <v>0</v>
      </c>
      <c r="U30" s="139"/>
      <c r="W30" s="139"/>
      <c r="Y30" s="139"/>
      <c r="AA30" s="139" t="n">
        <v>1200</v>
      </c>
      <c r="AC30" s="139" t="n">
        <f aca="false">1200+3200</f>
        <v>4400</v>
      </c>
      <c r="AE30" s="139"/>
      <c r="AG30" s="139"/>
      <c r="AI30" s="139"/>
      <c r="AK30" s="139"/>
      <c r="AM30" s="139"/>
      <c r="AO30" s="139"/>
      <c r="AQ30" s="139"/>
      <c r="AS30" s="140" t="n">
        <f aca="false">SUM(P30:AR30)</f>
        <v>5600</v>
      </c>
      <c r="AT30" s="128"/>
      <c r="AU30" s="139" t="n">
        <v>0</v>
      </c>
      <c r="AV30" s="128"/>
      <c r="AW30" s="140" t="n">
        <f aca="false">5600-AS30</f>
        <v>0</v>
      </c>
      <c r="AX30" s="128"/>
      <c r="AY30" s="140" t="n">
        <f aca="false">+AW30+AS30</f>
        <v>5600</v>
      </c>
      <c r="AZ30" s="128"/>
      <c r="BA30" s="141" t="n">
        <f aca="false">O30-AS30-AW30</f>
        <v>14400</v>
      </c>
    </row>
    <row r="31" customFormat="false" ht="12.75" hidden="false" customHeight="false" outlineLevel="0" collapsed="false">
      <c r="A31" s="145"/>
      <c r="B31" s="127" t="s">
        <v>195</v>
      </c>
      <c r="C31" s="132"/>
      <c r="D31" s="128"/>
      <c r="E31" s="128"/>
      <c r="F31" s="128"/>
      <c r="G31" s="128"/>
      <c r="H31" s="128"/>
      <c r="I31" s="128"/>
      <c r="J31" s="128"/>
      <c r="K31" s="24" t="n">
        <f aca="false">SUM(K20:K30)</f>
        <v>8759300</v>
      </c>
      <c r="L31" s="128"/>
      <c r="M31" s="24" t="n">
        <f aca="false">SUM(M20:M30)</f>
        <v>0</v>
      </c>
      <c r="N31" s="128"/>
      <c r="O31" s="24" t="n">
        <f aca="false">SUM(O20:O30)</f>
        <v>8759300</v>
      </c>
      <c r="P31" s="128"/>
      <c r="Q31" s="129" t="n">
        <f aca="false">SUM(Q20:Q30)</f>
        <v>2998570</v>
      </c>
      <c r="S31" s="129" t="n">
        <f aca="false">SUM(S20:S30)</f>
        <v>0</v>
      </c>
      <c r="U31" s="129" t="n">
        <f aca="false">SUM(U20:U30)</f>
        <v>2951629</v>
      </c>
      <c r="W31" s="129" t="n">
        <f aca="false">SUM(W20:W30)</f>
        <v>0</v>
      </c>
      <c r="Y31" s="129" t="n">
        <f aca="false">SUM(Y20:Y30)</f>
        <v>0</v>
      </c>
      <c r="AA31" s="129" t="n">
        <f aca="false">SUM(AA20:AA30)</f>
        <v>1229750.2</v>
      </c>
      <c r="AC31" s="129" t="n">
        <f aca="false">SUM(AC20:AC30)</f>
        <v>611500</v>
      </c>
      <c r="AE31" s="129" t="n">
        <f aca="false">SUM(AE20:AE30)</f>
        <v>692015.89</v>
      </c>
      <c r="AF31" s="129"/>
      <c r="AG31" s="129" t="n">
        <f aca="false">SUM(AG20:AG30)</f>
        <v>174000</v>
      </c>
      <c r="AH31" s="129"/>
      <c r="AI31" s="129" t="n">
        <f aca="false">SUM(AI20:AI30)</f>
        <v>0</v>
      </c>
      <c r="AJ31" s="129"/>
      <c r="AK31" s="129" t="n">
        <f aca="false">SUM(AK20:AK30)</f>
        <v>227783.01</v>
      </c>
      <c r="AL31" s="129"/>
      <c r="AM31" s="129" t="n">
        <f aca="false">SUM(AM20:AM30)</f>
        <v>0</v>
      </c>
      <c r="AN31" s="129"/>
      <c r="AO31" s="129" t="n">
        <f aca="false">SUM(AO20:AO30)</f>
        <v>0</v>
      </c>
      <c r="AP31" s="129"/>
      <c r="AQ31" s="129" t="n">
        <f aca="false">SUM(AQ20:AQ30)</f>
        <v>0</v>
      </c>
      <c r="AR31" s="129"/>
      <c r="AS31" s="24" t="n">
        <f aca="false">SUM(AS20:AS30)</f>
        <v>8885248.1</v>
      </c>
      <c r="AT31" s="128"/>
      <c r="AU31" s="129" t="n">
        <f aca="false">SUM(AU20:AU30)</f>
        <v>0</v>
      </c>
      <c r="AV31" s="128"/>
      <c r="AW31" s="146" t="n">
        <f aca="false">SUM(AW20:AW30)</f>
        <v>-0.959999999962747</v>
      </c>
      <c r="AX31" s="128"/>
      <c r="AY31" s="24" t="n">
        <f aca="false">SUM(AY20:AY30)</f>
        <v>8885247.14</v>
      </c>
      <c r="AZ31" s="128"/>
      <c r="BA31" s="147" t="n">
        <f aca="false">+O31-AY31</f>
        <v>-125947.140000001</v>
      </c>
    </row>
    <row r="32" customFormat="false" ht="12.75" hidden="false" customHeight="false" outlineLevel="0" collapsed="false">
      <c r="A32" s="145"/>
      <c r="B32" s="127"/>
      <c r="C32" s="132"/>
      <c r="D32" s="128"/>
      <c r="E32" s="128"/>
      <c r="F32" s="128"/>
      <c r="G32" s="128"/>
      <c r="H32" s="128"/>
      <c r="I32" s="128"/>
      <c r="J32" s="128"/>
      <c r="K32" s="24"/>
      <c r="L32" s="128"/>
      <c r="M32" s="24"/>
      <c r="N32" s="128"/>
      <c r="O32" s="24"/>
      <c r="P32" s="128"/>
      <c r="Q32" s="129"/>
      <c r="S32" s="129"/>
      <c r="U32" s="129"/>
      <c r="W32" s="129"/>
      <c r="Y32" s="129"/>
      <c r="AA32" s="129"/>
      <c r="AC32" s="129"/>
      <c r="AE32" s="129"/>
      <c r="AF32" s="129"/>
      <c r="AG32" s="129"/>
      <c r="AH32" s="129"/>
      <c r="AI32" s="129"/>
      <c r="AJ32" s="129"/>
      <c r="AK32" s="129"/>
      <c r="AL32" s="129"/>
      <c r="AM32" s="129"/>
      <c r="AN32" s="129"/>
      <c r="AO32" s="129"/>
      <c r="AP32" s="129"/>
      <c r="AQ32" s="129"/>
      <c r="AR32" s="129"/>
      <c r="AS32" s="24"/>
      <c r="AT32" s="128"/>
      <c r="AU32" s="129"/>
      <c r="AV32" s="128"/>
      <c r="AW32" s="24"/>
      <c r="AX32" s="128"/>
      <c r="AY32" s="24"/>
      <c r="AZ32" s="128"/>
      <c r="BA32" s="147"/>
    </row>
    <row r="33" customFormat="false" ht="13.5" hidden="false" customHeight="false" outlineLevel="0" collapsed="false">
      <c r="A33" s="148"/>
      <c r="B33" s="132" t="s">
        <v>196</v>
      </c>
      <c r="C33" s="132"/>
      <c r="D33" s="128"/>
      <c r="E33" s="128"/>
      <c r="F33" s="128"/>
      <c r="G33" s="128"/>
      <c r="H33" s="128"/>
      <c r="I33" s="128"/>
      <c r="J33" s="128"/>
      <c r="K33" s="149" t="n">
        <f aca="false">K31+K18</f>
        <v>79426552</v>
      </c>
      <c r="L33" s="128"/>
      <c r="M33" s="149" t="n">
        <f aca="false">M31+M18</f>
        <v>0</v>
      </c>
      <c r="N33" s="128"/>
      <c r="O33" s="149" t="n">
        <f aca="false">O31+O18</f>
        <v>79426552</v>
      </c>
      <c r="P33" s="128"/>
      <c r="Q33" s="150" t="n">
        <f aca="false">Q31+Q18</f>
        <v>58430571</v>
      </c>
      <c r="S33" s="150" t="n">
        <f aca="false">S31+S18</f>
        <v>3467538</v>
      </c>
      <c r="U33" s="150" t="n">
        <f aca="false">U31+U18</f>
        <v>3000229</v>
      </c>
      <c r="W33" s="150" t="n">
        <f aca="false">W31+W18</f>
        <v>3705425.2</v>
      </c>
      <c r="Y33" s="150" t="n">
        <f aca="false">Y31+Y18</f>
        <v>3342087.7</v>
      </c>
      <c r="AA33" s="150" t="n">
        <f aca="false">AA31+AA18</f>
        <v>1568472.2</v>
      </c>
      <c r="AC33" s="150" t="n">
        <f aca="false">AC31+AC18</f>
        <v>1452495</v>
      </c>
      <c r="AE33" s="150" t="n">
        <f aca="false">AE31+AE18</f>
        <v>968034.89</v>
      </c>
      <c r="AF33" s="129"/>
      <c r="AG33" s="150" t="n">
        <f aca="false">AG31+AG18</f>
        <v>310426</v>
      </c>
      <c r="AH33" s="129"/>
      <c r="AI33" s="150" t="n">
        <f aca="false">AI31+AI18</f>
        <v>3337740.9</v>
      </c>
      <c r="AJ33" s="129"/>
      <c r="AK33" s="150" t="n">
        <f aca="false">AK31+AK18</f>
        <v>400615.01</v>
      </c>
      <c r="AL33" s="129"/>
      <c r="AM33" s="150" t="n">
        <f aca="false">AM31+AM18</f>
        <v>16019</v>
      </c>
      <c r="AN33" s="129"/>
      <c r="AO33" s="150" t="n">
        <f aca="false">AO31+AO18</f>
        <v>0</v>
      </c>
      <c r="AP33" s="129"/>
      <c r="AQ33" s="150" t="n">
        <f aca="false">AQ31+AQ18</f>
        <v>0</v>
      </c>
      <c r="AR33" s="129"/>
      <c r="AS33" s="149" t="n">
        <f aca="false">AS31+AS18</f>
        <v>79999653.9</v>
      </c>
      <c r="AT33" s="128"/>
      <c r="AU33" s="150" t="n">
        <f aca="false">AU31+AU18</f>
        <v>1560684</v>
      </c>
      <c r="AV33" s="128"/>
      <c r="AW33" s="149" t="n">
        <f aca="false">+AW31+AW18</f>
        <v>1499999.04</v>
      </c>
      <c r="AX33" s="128"/>
      <c r="AY33" s="149" t="n">
        <f aca="false">+AY31+AY18</f>
        <v>81499652.94</v>
      </c>
      <c r="AZ33" s="128"/>
      <c r="BA33" s="151" t="n">
        <f aca="false">+O33-AY33</f>
        <v>-2073100.94</v>
      </c>
    </row>
    <row r="34" customFormat="false" ht="13.5" hidden="false" customHeight="false" outlineLevel="0" collapsed="false">
      <c r="A34" s="145"/>
      <c r="B34" s="132"/>
      <c r="C34" s="132"/>
      <c r="D34" s="128"/>
      <c r="E34" s="128"/>
      <c r="F34" s="128"/>
      <c r="G34" s="128"/>
      <c r="H34" s="128"/>
      <c r="I34" s="128"/>
      <c r="J34" s="128"/>
      <c r="L34" s="128"/>
      <c r="N34" s="128"/>
      <c r="P34" s="128"/>
      <c r="AT34" s="128"/>
      <c r="AV34" s="128"/>
      <c r="AX34" s="128"/>
      <c r="AZ34" s="128"/>
    </row>
    <row r="35" customFormat="false" ht="12.75" hidden="false" customHeight="false" outlineLevel="0" collapsed="false">
      <c r="A35" s="152" t="s">
        <v>197</v>
      </c>
      <c r="B35" s="153"/>
      <c r="C35" s="132"/>
      <c r="D35" s="128"/>
      <c r="E35" s="128"/>
      <c r="F35" s="128"/>
      <c r="G35" s="128"/>
      <c r="H35" s="128"/>
      <c r="I35" s="128"/>
      <c r="J35" s="128"/>
      <c r="L35" s="128"/>
      <c r="N35" s="128"/>
      <c r="P35" s="128"/>
      <c r="AT35" s="128"/>
      <c r="AV35" s="128"/>
      <c r="AX35" s="128"/>
      <c r="AZ35" s="128"/>
    </row>
    <row r="36" customFormat="false" ht="12.75" hidden="false" customHeight="false" outlineLevel="0" collapsed="false">
      <c r="A36" s="145"/>
      <c r="B36" s="132" t="s">
        <v>198</v>
      </c>
      <c r="C36" s="132" t="s">
        <v>199</v>
      </c>
      <c r="D36" s="128"/>
      <c r="E36" s="128" t="s">
        <v>173</v>
      </c>
      <c r="F36" s="128"/>
      <c r="G36" s="128" t="s">
        <v>170</v>
      </c>
      <c r="H36" s="128"/>
      <c r="I36" s="128" t="s">
        <v>174</v>
      </c>
      <c r="J36" s="128"/>
      <c r="K36" s="133" t="n">
        <v>251225</v>
      </c>
      <c r="L36" s="128"/>
      <c r="M36" s="133" t="n">
        <v>146275</v>
      </c>
      <c r="N36" s="128"/>
      <c r="O36" s="133" t="n">
        <f aca="false">SUM(K36:N36)</f>
        <v>397500</v>
      </c>
      <c r="P36" s="128"/>
      <c r="Q36" s="96" t="n">
        <v>0</v>
      </c>
      <c r="S36" s="96" t="n">
        <f aca="false">39199.11+7409.74+34645.55+25948.82+25234.65</f>
        <v>132437.87</v>
      </c>
      <c r="AE36" s="96" t="n">
        <f aca="false">50969.53+50242.45+55890.53+62177.17+25831.04</f>
        <v>245110.72</v>
      </c>
      <c r="AG36" s="96" t="n">
        <f aca="false">49792.76+47659.96</f>
        <v>97452.72</v>
      </c>
      <c r="AI36" s="96" t="n">
        <f aca="false">28051.26-50166-800</f>
        <v>-22914.74</v>
      </c>
      <c r="AM36" s="96" t="n">
        <f aca="false">15603.41+1665</f>
        <v>17268.41</v>
      </c>
      <c r="AO36" s="96" t="n">
        <f aca="false">5054.93</f>
        <v>5054.93</v>
      </c>
      <c r="AQ36" s="96" t="n">
        <v>7051.9</v>
      </c>
      <c r="AS36" s="95" t="n">
        <f aca="false">SUM(P36:AR36)</f>
        <v>481461.81</v>
      </c>
      <c r="AT36" s="128"/>
      <c r="AU36" s="96" t="n">
        <f aca="false">452687-397500-600+20874+600+8571+849</f>
        <v>85481</v>
      </c>
      <c r="AV36" s="128"/>
      <c r="AW36" s="95" t="n">
        <f aca="false">IF(+O36-AS36+AU36&gt;0,O36-AS36+AU36,0)</f>
        <v>1519.19</v>
      </c>
      <c r="AX36" s="128"/>
      <c r="AY36" s="135" t="n">
        <f aca="false">+AW36+AS36</f>
        <v>482981</v>
      </c>
      <c r="AZ36" s="128"/>
      <c r="BA36" s="136" t="n">
        <f aca="false">O36-AS36-AW36</f>
        <v>-85481</v>
      </c>
      <c r="BC36" s="96"/>
    </row>
    <row r="37" customFormat="false" ht="12.75" hidden="false" customHeight="false" outlineLevel="0" collapsed="false">
      <c r="A37" s="145"/>
      <c r="B37" s="132" t="s">
        <v>200</v>
      </c>
      <c r="C37" s="132" t="s">
        <v>199</v>
      </c>
      <c r="D37" s="128"/>
      <c r="E37" s="128" t="s">
        <v>173</v>
      </c>
      <c r="F37" s="128"/>
      <c r="G37" s="128" t="s">
        <v>170</v>
      </c>
      <c r="H37" s="128"/>
      <c r="I37" s="128" t="s">
        <v>174</v>
      </c>
      <c r="J37" s="128"/>
      <c r="K37" s="133" t="n">
        <v>6500</v>
      </c>
      <c r="L37" s="128"/>
      <c r="M37" s="133" t="n">
        <v>5700</v>
      </c>
      <c r="N37" s="128"/>
      <c r="O37" s="133" t="n">
        <f aca="false">SUM(K37:N37)</f>
        <v>12200</v>
      </c>
      <c r="P37" s="128"/>
      <c r="Q37" s="96" t="n">
        <v>0</v>
      </c>
      <c r="S37" s="96" t="n">
        <v>0</v>
      </c>
      <c r="AS37" s="95" t="n">
        <f aca="false">SUM(P37:AR37)</f>
        <v>0</v>
      </c>
      <c r="AT37" s="128"/>
      <c r="AU37" s="96" t="n">
        <v>-12200</v>
      </c>
      <c r="AV37" s="128"/>
      <c r="AW37" s="95" t="n">
        <f aca="false">IF(+O37-AS37+AU37&gt;0,O37-AS37+AU37,0)</f>
        <v>0</v>
      </c>
      <c r="AX37" s="128"/>
      <c r="AY37" s="95" t="n">
        <f aca="false">+AW37+AS37</f>
        <v>0</v>
      </c>
      <c r="AZ37" s="128"/>
      <c r="BA37" s="136" t="n">
        <f aca="false">O37-AS37-AW37</f>
        <v>12200</v>
      </c>
    </row>
    <row r="38" customFormat="false" ht="12.75" hidden="false" customHeight="false" outlineLevel="0" collapsed="false">
      <c r="A38" s="145"/>
      <c r="B38" s="132" t="s">
        <v>201</v>
      </c>
      <c r="C38" s="132" t="s">
        <v>199</v>
      </c>
      <c r="D38" s="128"/>
      <c r="E38" s="128" t="s">
        <v>173</v>
      </c>
      <c r="F38" s="128"/>
      <c r="G38" s="128" t="s">
        <v>170</v>
      </c>
      <c r="H38" s="128"/>
      <c r="I38" s="128" t="s">
        <v>174</v>
      </c>
      <c r="J38" s="128"/>
      <c r="K38" s="133" t="n">
        <v>24500</v>
      </c>
      <c r="L38" s="128"/>
      <c r="M38" s="133" t="n">
        <v>0</v>
      </c>
      <c r="N38" s="128"/>
      <c r="O38" s="133" t="n">
        <f aca="false">SUM(K38:N38)</f>
        <v>24500</v>
      </c>
      <c r="P38" s="128"/>
      <c r="Q38" s="96" t="n">
        <v>0</v>
      </c>
      <c r="S38" s="96" t="n">
        <v>0</v>
      </c>
      <c r="AE38" s="96" t="n">
        <f aca="false">12545.79+1664.69+9495.5</f>
        <v>23705.98</v>
      </c>
      <c r="AI38" s="96" t="n">
        <v>157.26</v>
      </c>
      <c r="AM38" s="96" t="n">
        <v>-1665</v>
      </c>
      <c r="AS38" s="95" t="n">
        <f aca="false">SUM(P38:AR38)</f>
        <v>22198.24</v>
      </c>
      <c r="AT38" s="128"/>
      <c r="AU38" s="96" t="n">
        <f aca="false">47300-24500-25102</f>
        <v>-2302</v>
      </c>
      <c r="AV38" s="128"/>
      <c r="AW38" s="95" t="n">
        <f aca="false">IF(+O38-AS38+AU38&gt;0,O38-AS38+AU38,0)</f>
        <v>0</v>
      </c>
      <c r="AX38" s="128"/>
      <c r="AY38" s="95" t="n">
        <f aca="false">+AW38+AS38</f>
        <v>22198.24</v>
      </c>
      <c r="AZ38" s="128"/>
      <c r="BA38" s="136" t="n">
        <f aca="false">O38-AS38-AW38</f>
        <v>2301.76</v>
      </c>
    </row>
    <row r="39" customFormat="false" ht="12.75" hidden="false" customHeight="false" outlineLevel="0" collapsed="false">
      <c r="A39" s="145"/>
      <c r="B39" s="132" t="s">
        <v>202</v>
      </c>
      <c r="C39" s="132" t="s">
        <v>199</v>
      </c>
      <c r="D39" s="128"/>
      <c r="E39" s="128" t="s">
        <v>173</v>
      </c>
      <c r="F39" s="128"/>
      <c r="G39" s="128" t="s">
        <v>170</v>
      </c>
      <c r="H39" s="128"/>
      <c r="I39" s="128" t="s">
        <v>174</v>
      </c>
      <c r="J39" s="128"/>
      <c r="K39" s="133" t="n">
        <v>113050</v>
      </c>
      <c r="L39" s="128"/>
      <c r="M39" s="133" t="n">
        <v>2250</v>
      </c>
      <c r="N39" s="128"/>
      <c r="O39" s="133" t="n">
        <f aca="false">SUM(K39:N39)</f>
        <v>115300</v>
      </c>
      <c r="P39" s="128"/>
      <c r="Q39" s="96" t="n">
        <v>0</v>
      </c>
      <c r="S39" s="96" t="n">
        <f aca="false">6458.22+5928.72</f>
        <v>12386.94</v>
      </c>
      <c r="AE39" s="96" t="n">
        <f aca="false">1419.01+6010.81+3328.55+4712.46+4807.91</f>
        <v>20278.74</v>
      </c>
      <c r="AG39" s="96" t="n">
        <f aca="false">4428.44+23454.27</f>
        <v>27882.71</v>
      </c>
      <c r="AI39" s="96" t="n">
        <f aca="false">2435.94+50166+800</f>
        <v>53401.94</v>
      </c>
      <c r="AM39" s="96" t="n">
        <v>5500</v>
      </c>
      <c r="AO39" s="96" t="n">
        <v>37400.15</v>
      </c>
      <c r="AS39" s="95" t="n">
        <f aca="false">SUM(P39:AR39)</f>
        <v>156850.48</v>
      </c>
      <c r="AT39" s="128"/>
      <c r="AU39" s="96" t="n">
        <f aca="false">142000-115300</f>
        <v>26700</v>
      </c>
      <c r="AV39" s="128"/>
      <c r="AW39" s="95" t="n">
        <f aca="false">IF(+O39-AS39+AU39&gt;0,O39-AS39+AU39,0)</f>
        <v>0</v>
      </c>
      <c r="AX39" s="128"/>
      <c r="AY39" s="95" t="n">
        <f aca="false">+AW39+AS39</f>
        <v>156850.48</v>
      </c>
      <c r="AZ39" s="128"/>
      <c r="BA39" s="136" t="n">
        <f aca="false">O39-AS39-AW39</f>
        <v>-41550.48</v>
      </c>
    </row>
    <row r="40" customFormat="false" ht="12.75" hidden="false" customHeight="false" outlineLevel="0" collapsed="false">
      <c r="A40" s="145"/>
      <c r="B40" s="132" t="s">
        <v>203</v>
      </c>
      <c r="C40" s="132" t="s">
        <v>199</v>
      </c>
      <c r="D40" s="128"/>
      <c r="E40" s="128" t="s">
        <v>173</v>
      </c>
      <c r="F40" s="128"/>
      <c r="G40" s="128" t="s">
        <v>170</v>
      </c>
      <c r="H40" s="128"/>
      <c r="I40" s="128"/>
      <c r="J40" s="128"/>
      <c r="K40" s="138" t="n">
        <v>0</v>
      </c>
      <c r="L40" s="128"/>
      <c r="M40" s="138" t="n">
        <v>37551</v>
      </c>
      <c r="N40" s="128"/>
      <c r="O40" s="138" t="n">
        <f aca="false">SUM(K40:N40)</f>
        <v>37551</v>
      </c>
      <c r="P40" s="128"/>
      <c r="Q40" s="96" t="n">
        <v>0</v>
      </c>
      <c r="S40" s="96" t="n">
        <v>37550.69</v>
      </c>
      <c r="AE40" s="96" t="n">
        <v>35142.12</v>
      </c>
      <c r="AS40" s="95" t="n">
        <f aca="false">SUM(P40:AR40)</f>
        <v>72692.81</v>
      </c>
      <c r="AT40" s="128"/>
      <c r="AU40" s="96" t="n">
        <f aca="false">72693-37551</f>
        <v>35142</v>
      </c>
      <c r="AV40" s="128"/>
      <c r="AW40" s="95" t="n">
        <f aca="false">IF(+O40-AS40+AU40&gt;0,O40-AS40+AU40,0)</f>
        <v>0.190000000002328</v>
      </c>
      <c r="AX40" s="128"/>
      <c r="AY40" s="95" t="n">
        <f aca="false">+AW40+AS40</f>
        <v>72693</v>
      </c>
      <c r="AZ40" s="128"/>
      <c r="BA40" s="136" t="n">
        <f aca="false">O40-AS40-AW40</f>
        <v>-35142</v>
      </c>
    </row>
    <row r="41" customFormat="false" ht="12.75" hidden="false" customHeight="false" outlineLevel="0" collapsed="false">
      <c r="A41" s="148"/>
      <c r="B41" s="132" t="s">
        <v>204</v>
      </c>
      <c r="C41" s="132"/>
      <c r="D41" s="128"/>
      <c r="E41" s="128"/>
      <c r="F41" s="128"/>
      <c r="G41" s="128"/>
      <c r="H41" s="128"/>
      <c r="I41" s="128"/>
      <c r="J41" s="128"/>
      <c r="K41" s="24" t="n">
        <f aca="false">SUM(K36:K40)</f>
        <v>395275</v>
      </c>
      <c r="L41" s="128"/>
      <c r="M41" s="24" t="n">
        <f aca="false">SUM(M36:M40)</f>
        <v>191776</v>
      </c>
      <c r="N41" s="128"/>
      <c r="O41" s="24" t="n">
        <f aca="false">SUM(O36:O40)</f>
        <v>587051</v>
      </c>
      <c r="P41" s="128"/>
      <c r="Q41" s="154" t="n">
        <f aca="false">SUM(Q36:Q40)</f>
        <v>0</v>
      </c>
      <c r="S41" s="154" t="n">
        <f aca="false">SUM(S36:S40)</f>
        <v>182375.5</v>
      </c>
      <c r="U41" s="154" t="n">
        <f aca="false">SUM(U36:U40)</f>
        <v>0</v>
      </c>
      <c r="W41" s="154" t="n">
        <f aca="false">SUM(W36:W40)</f>
        <v>0</v>
      </c>
      <c r="Y41" s="154" t="n">
        <f aca="false">SUM(Y36:Y40)</f>
        <v>0</v>
      </c>
      <c r="AA41" s="154" t="n">
        <f aca="false">SUM(AA36:AA40)</f>
        <v>0</v>
      </c>
      <c r="AC41" s="154" t="n">
        <f aca="false">SUM(AC36:AC40)</f>
        <v>0</v>
      </c>
      <c r="AE41" s="154" t="n">
        <f aca="false">SUM(AE36:AE40)</f>
        <v>324237.56</v>
      </c>
      <c r="AF41" s="129"/>
      <c r="AG41" s="154" t="n">
        <f aca="false">SUM(AG36:AG40)</f>
        <v>125335.43</v>
      </c>
      <c r="AH41" s="129"/>
      <c r="AI41" s="154" t="n">
        <f aca="false">SUM(AI36:AI40)</f>
        <v>30644.46</v>
      </c>
      <c r="AJ41" s="129"/>
      <c r="AK41" s="154" t="n">
        <f aca="false">SUM(AK36:AK40)</f>
        <v>0</v>
      </c>
      <c r="AL41" s="129"/>
      <c r="AM41" s="154" t="n">
        <f aca="false">SUM(AM36:AM40)</f>
        <v>21103.41</v>
      </c>
      <c r="AN41" s="129"/>
      <c r="AO41" s="154" t="n">
        <f aca="false">SUM(AO36:AO40)</f>
        <v>42455.08</v>
      </c>
      <c r="AP41" s="129"/>
      <c r="AQ41" s="154" t="n">
        <f aca="false">SUM(AQ36:AQ40)</f>
        <v>7051.9</v>
      </c>
      <c r="AR41" s="129"/>
      <c r="AS41" s="155" t="n">
        <f aca="false">SUM(AS36:AS40)</f>
        <v>733203.34</v>
      </c>
      <c r="AT41" s="128"/>
      <c r="AU41" s="154" t="n">
        <f aca="false">SUM(AU36:AU40)</f>
        <v>132821</v>
      </c>
      <c r="AV41" s="128"/>
      <c r="AW41" s="155" t="n">
        <f aca="false">SUM(AW36:AW40)</f>
        <v>1519.38</v>
      </c>
      <c r="AX41" s="128"/>
      <c r="AY41" s="155" t="n">
        <f aca="false">SUM(AY36:AY40)</f>
        <v>734722.72</v>
      </c>
      <c r="AZ41" s="128"/>
      <c r="BA41" s="154" t="n">
        <f aca="false">SUM(BA36:BA40)</f>
        <v>-147671.72</v>
      </c>
    </row>
    <row r="42" customFormat="false" ht="12.75" hidden="false" customHeight="false" outlineLevel="0" collapsed="false">
      <c r="A42" s="145"/>
      <c r="B42" s="132"/>
      <c r="C42" s="132"/>
      <c r="D42" s="128"/>
      <c r="E42" s="128"/>
      <c r="F42" s="128"/>
      <c r="G42" s="128"/>
      <c r="H42" s="128"/>
      <c r="I42" s="128"/>
      <c r="J42" s="128"/>
      <c r="L42" s="128"/>
      <c r="N42" s="128"/>
      <c r="P42" s="128"/>
      <c r="AT42" s="128"/>
      <c r="AV42" s="128"/>
      <c r="AX42" s="128"/>
      <c r="AZ42" s="128"/>
    </row>
    <row r="43" customFormat="false" ht="12.75" hidden="false" customHeight="false" outlineLevel="0" collapsed="false">
      <c r="A43" s="145"/>
      <c r="B43" s="132"/>
      <c r="C43" s="132"/>
      <c r="D43" s="128"/>
      <c r="E43" s="128"/>
      <c r="F43" s="128"/>
      <c r="G43" s="128"/>
      <c r="H43" s="128"/>
      <c r="I43" s="128"/>
      <c r="J43" s="128"/>
      <c r="L43" s="128"/>
      <c r="N43" s="128"/>
      <c r="P43" s="128"/>
      <c r="AT43" s="128"/>
      <c r="AV43" s="128"/>
      <c r="AX43" s="128"/>
      <c r="AZ43" s="128"/>
    </row>
    <row r="44" customFormat="false" ht="12.75" hidden="false" customHeight="false" outlineLevel="0" collapsed="false">
      <c r="A44" s="152" t="s">
        <v>205</v>
      </c>
      <c r="B44" s="132"/>
      <c r="C44" s="132"/>
      <c r="D44" s="128"/>
      <c r="E44" s="128"/>
      <c r="F44" s="128"/>
      <c r="G44" s="128"/>
      <c r="H44" s="128"/>
      <c r="I44" s="128"/>
      <c r="J44" s="128"/>
      <c r="L44" s="128"/>
      <c r="N44" s="128"/>
      <c r="P44" s="128"/>
      <c r="AT44" s="128"/>
      <c r="AV44" s="128"/>
      <c r="AX44" s="128"/>
      <c r="AZ44" s="128"/>
    </row>
    <row r="45" customFormat="false" ht="12.75" hidden="false" customHeight="false" outlineLevel="0" collapsed="false">
      <c r="A45" s="152"/>
      <c r="B45" s="132" t="s">
        <v>206</v>
      </c>
      <c r="C45" s="132" t="s">
        <v>207</v>
      </c>
      <c r="D45" s="128"/>
      <c r="E45" s="128" t="s">
        <v>173</v>
      </c>
      <c r="F45" s="128"/>
      <c r="G45" s="128" t="s">
        <v>208</v>
      </c>
      <c r="H45" s="128"/>
      <c r="I45" s="128"/>
      <c r="J45" s="128"/>
      <c r="K45" s="133" t="n">
        <v>53528</v>
      </c>
      <c r="L45" s="128"/>
      <c r="M45" s="95" t="n">
        <v>0</v>
      </c>
      <c r="N45" s="128"/>
      <c r="O45" s="133" t="n">
        <f aca="false">SUM(K45:N45)</f>
        <v>53528</v>
      </c>
      <c r="P45" s="128"/>
      <c r="Q45" s="96" t="n">
        <v>0</v>
      </c>
      <c r="S45" s="96" t="n">
        <v>0</v>
      </c>
      <c r="AC45" s="96" t="n">
        <f aca="false">107.3+609.76+1957.32+553.52+171.68+37690.26+1519.66+7900.24+2370.07+14934.96+14934.96+343.48+10136.21+13602.68-14934.96</f>
        <v>91897.14</v>
      </c>
      <c r="AG45" s="96" t="n">
        <v>-91897</v>
      </c>
      <c r="AS45" s="95" t="n">
        <f aca="false">SUM(P45:AR45)</f>
        <v>0.14000000001397</v>
      </c>
      <c r="AT45" s="128"/>
      <c r="AU45" s="96" t="n">
        <f aca="false">160227-53528+6891+247-167365</f>
        <v>-53528</v>
      </c>
      <c r="AV45" s="128"/>
      <c r="AW45" s="95" t="n">
        <f aca="false">IF(+O45-AS45+AU45&gt;0,O45-AS45+AU45,0)</f>
        <v>0</v>
      </c>
      <c r="AX45" s="128"/>
      <c r="AY45" s="95" t="n">
        <f aca="false">+AW45+AS45</f>
        <v>0.14000000001397</v>
      </c>
      <c r="AZ45" s="128"/>
      <c r="BA45" s="95" t="n">
        <f aca="false">+O45-AY45</f>
        <v>53527.86</v>
      </c>
    </row>
    <row r="46" customFormat="false" ht="12.75" hidden="false" customHeight="false" outlineLevel="0" collapsed="false">
      <c r="A46" s="152"/>
      <c r="B46" s="132" t="s">
        <v>209</v>
      </c>
      <c r="C46" s="132"/>
      <c r="D46" s="128"/>
      <c r="E46" s="128" t="s">
        <v>173</v>
      </c>
      <c r="F46" s="128"/>
      <c r="G46" s="128" t="s">
        <v>208</v>
      </c>
      <c r="H46" s="128"/>
      <c r="I46" s="128"/>
      <c r="J46" s="128"/>
      <c r="K46" s="133" t="n">
        <v>1228835</v>
      </c>
      <c r="L46" s="128"/>
      <c r="M46" s="95" t="n">
        <v>0</v>
      </c>
      <c r="N46" s="128"/>
      <c r="O46" s="133" t="n">
        <f aca="false">SUM(K46:N46)</f>
        <v>1228835</v>
      </c>
      <c r="P46" s="128"/>
      <c r="Q46" s="96" t="n">
        <v>0</v>
      </c>
      <c r="S46" s="96" t="n">
        <f aca="false">82024</f>
        <v>82024</v>
      </c>
      <c r="U46" s="96" t="n">
        <f aca="false">133481.76+87112.24</f>
        <v>220594</v>
      </c>
      <c r="AA46" s="96" t="n">
        <f aca="false">274036.5+7977+100832.4+4050</f>
        <v>386895.9</v>
      </c>
      <c r="AC46" s="96" t="n">
        <f aca="false">34401+5220</f>
        <v>39621</v>
      </c>
      <c r="AE46" s="96" t="n">
        <v>149.25</v>
      </c>
      <c r="AG46" s="96" t="n">
        <f aca="false">11206.6+30448.5-770939</f>
        <v>-729283.9</v>
      </c>
      <c r="AS46" s="95" t="n">
        <f aca="false">SUM(P46:AR46)</f>
        <v>0.25</v>
      </c>
      <c r="AT46" s="128"/>
      <c r="AU46" s="96" t="n">
        <f aca="false">460192-1228835+7968-468160</f>
        <v>-1228835</v>
      </c>
      <c r="AV46" s="128"/>
      <c r="AW46" s="95" t="n">
        <f aca="false">IF(+O46-AS46+AU46&gt;0,O46-AS46+AU46,0)</f>
        <v>0</v>
      </c>
      <c r="AX46" s="128"/>
      <c r="AY46" s="156" t="n">
        <f aca="false">+AW46+AS46</f>
        <v>0.25</v>
      </c>
      <c r="AZ46" s="128"/>
      <c r="BA46" s="95" t="n">
        <f aca="false">+O46-AY46</f>
        <v>1228834.75</v>
      </c>
      <c r="BC46" s="157"/>
    </row>
    <row r="47" customFormat="false" ht="12.75" hidden="false" customHeight="false" outlineLevel="0" collapsed="false">
      <c r="A47" s="152"/>
      <c r="B47" s="132" t="s">
        <v>210</v>
      </c>
      <c r="C47" s="132"/>
      <c r="D47" s="128"/>
      <c r="E47" s="128" t="s">
        <v>173</v>
      </c>
      <c r="F47" s="128"/>
      <c r="G47" s="128" t="s">
        <v>208</v>
      </c>
      <c r="H47" s="128"/>
      <c r="I47" s="128"/>
      <c r="J47" s="128"/>
      <c r="K47" s="133" t="n">
        <v>18358</v>
      </c>
      <c r="L47" s="128"/>
      <c r="M47" s="95" t="n">
        <v>0</v>
      </c>
      <c r="N47" s="128"/>
      <c r="O47" s="133" t="n">
        <f aca="false">SUM(K47:N47)</f>
        <v>18358</v>
      </c>
      <c r="P47" s="128"/>
      <c r="Q47" s="96" t="n">
        <v>0</v>
      </c>
      <c r="S47" s="96" t="n">
        <v>0</v>
      </c>
      <c r="AC47" s="96" t="n">
        <f aca="false">6533+920</f>
        <v>7453</v>
      </c>
      <c r="AG47" s="96" t="n">
        <v>-7453</v>
      </c>
      <c r="AS47" s="95" t="n">
        <f aca="false">SUM(P47:AR47)</f>
        <v>0</v>
      </c>
      <c r="AT47" s="128"/>
      <c r="AU47" s="96" t="n">
        <f aca="false">1104+1154-20616</f>
        <v>-18358</v>
      </c>
      <c r="AV47" s="128"/>
      <c r="AW47" s="95" t="n">
        <f aca="false">IF(+O47-AS47+AU47&gt;0,O47-AS47+AU47,0)</f>
        <v>0</v>
      </c>
      <c r="AX47" s="128"/>
      <c r="AY47" s="95" t="n">
        <f aca="false">+AW47+AS47</f>
        <v>0</v>
      </c>
      <c r="AZ47" s="128"/>
      <c r="BA47" s="95" t="n">
        <f aca="false">+O47-AY47</f>
        <v>18358</v>
      </c>
    </row>
    <row r="48" customFormat="false" ht="12.75" hidden="false" customHeight="false" outlineLevel="0" collapsed="false">
      <c r="A48" s="152"/>
      <c r="B48" s="132" t="s">
        <v>211</v>
      </c>
      <c r="C48" s="132"/>
      <c r="D48" s="128"/>
      <c r="E48" s="128" t="s">
        <v>173</v>
      </c>
      <c r="F48" s="128"/>
      <c r="G48" s="128" t="s">
        <v>208</v>
      </c>
      <c r="H48" s="128"/>
      <c r="I48" s="128"/>
      <c r="J48" s="128"/>
      <c r="K48" s="133" t="n">
        <v>337106</v>
      </c>
      <c r="L48" s="128"/>
      <c r="M48" s="95" t="n">
        <v>0</v>
      </c>
      <c r="N48" s="128"/>
      <c r="O48" s="133" t="n">
        <f aca="false">SUM(K48:N48)</f>
        <v>337106</v>
      </c>
      <c r="P48" s="128"/>
      <c r="Q48" s="96" t="n">
        <v>0</v>
      </c>
      <c r="S48" s="96" t="n">
        <v>0</v>
      </c>
      <c r="U48" s="96" t="n">
        <v>53.62</v>
      </c>
      <c r="W48" s="96" t="n">
        <f aca="false">1665.8+90040.32</f>
        <v>91706.12</v>
      </c>
      <c r="Y48" s="96" t="n">
        <f aca="false">309600</f>
        <v>309600</v>
      </c>
      <c r="AC48" s="96" t="n">
        <f aca="false">36582+147+3060</f>
        <v>39789</v>
      </c>
      <c r="AG48" s="96" t="n">
        <v>-441149</v>
      </c>
      <c r="AS48" s="95" t="n">
        <f aca="false">SUM(P48:AR48)</f>
        <v>-0.260000000009313</v>
      </c>
      <c r="AT48" s="128"/>
      <c r="AU48" s="96" t="n">
        <f aca="false">249100-337106+942+676-250718</f>
        <v>-337106</v>
      </c>
      <c r="AV48" s="128"/>
      <c r="AW48" s="95" t="n">
        <f aca="false">O48-AS48+AU48</f>
        <v>0.260000000009313</v>
      </c>
      <c r="AX48" s="128"/>
      <c r="AY48" s="95" t="n">
        <f aca="false">+AW48+AS48</f>
        <v>0</v>
      </c>
      <c r="AZ48" s="128"/>
      <c r="BA48" s="95" t="n">
        <f aca="false">+O48-AY48</f>
        <v>337106</v>
      </c>
    </row>
    <row r="49" customFormat="false" ht="12.75" hidden="false" customHeight="false" outlineLevel="0" collapsed="false">
      <c r="A49" s="152"/>
      <c r="B49" s="132" t="s">
        <v>212</v>
      </c>
      <c r="C49" s="132"/>
      <c r="D49" s="128"/>
      <c r="E49" s="128" t="s">
        <v>173</v>
      </c>
      <c r="F49" s="128"/>
      <c r="G49" s="128" t="s">
        <v>208</v>
      </c>
      <c r="H49" s="128"/>
      <c r="I49" s="128"/>
      <c r="J49" s="128"/>
      <c r="K49" s="133" t="n">
        <v>95368</v>
      </c>
      <c r="L49" s="128"/>
      <c r="M49" s="95" t="n">
        <v>0</v>
      </c>
      <c r="N49" s="128"/>
      <c r="O49" s="133" t="n">
        <f aca="false">SUM(K49:N49)</f>
        <v>95368</v>
      </c>
      <c r="P49" s="128"/>
      <c r="Q49" s="96" t="n">
        <v>0</v>
      </c>
      <c r="S49" s="96" t="n">
        <v>0</v>
      </c>
      <c r="AS49" s="95" t="n">
        <f aca="false">SUM(P49:AR49)</f>
        <v>0</v>
      </c>
      <c r="AT49" s="128"/>
      <c r="AU49" s="96" t="n">
        <f aca="false">-95368</f>
        <v>-95368</v>
      </c>
      <c r="AV49" s="128"/>
      <c r="AW49" s="95" t="n">
        <f aca="false">IF(+O49-AS49+AU49&gt;0,O49-AS49+AU49,0)</f>
        <v>0</v>
      </c>
      <c r="AX49" s="128"/>
      <c r="AY49" s="96" t="n">
        <f aca="false">+AW49+AS49</f>
        <v>0</v>
      </c>
      <c r="AZ49" s="128"/>
      <c r="BA49" s="95" t="n">
        <f aca="false">+O49-AY49</f>
        <v>95368</v>
      </c>
    </row>
    <row r="50" customFormat="false" ht="12.75" hidden="false" customHeight="false" outlineLevel="0" collapsed="false">
      <c r="A50" s="152"/>
      <c r="B50" s="132" t="s">
        <v>213</v>
      </c>
      <c r="C50" s="132"/>
      <c r="D50" s="128"/>
      <c r="E50" s="128" t="s">
        <v>173</v>
      </c>
      <c r="F50" s="128"/>
      <c r="G50" s="128" t="s">
        <v>208</v>
      </c>
      <c r="H50" s="128"/>
      <c r="I50" s="128"/>
      <c r="J50" s="128"/>
      <c r="K50" s="133" t="n">
        <v>2765</v>
      </c>
      <c r="L50" s="128"/>
      <c r="M50" s="95" t="n">
        <v>0</v>
      </c>
      <c r="N50" s="128"/>
      <c r="O50" s="133" t="n">
        <f aca="false">SUM(K50:N50)</f>
        <v>2765</v>
      </c>
      <c r="P50" s="128"/>
      <c r="Q50" s="96" t="n">
        <v>0</v>
      </c>
      <c r="S50" s="96" t="n">
        <v>0</v>
      </c>
      <c r="U50" s="96" t="n">
        <v>0</v>
      </c>
      <c r="AA50" s="96" t="n">
        <v>66392</v>
      </c>
      <c r="AC50" s="96" t="n">
        <f aca="false">2600+14933+20.33+281+4834+361+15.1+315</f>
        <v>23359.43</v>
      </c>
      <c r="AE50" s="96" t="n">
        <v>4163</v>
      </c>
      <c r="AG50" s="96" t="n">
        <v>-93914</v>
      </c>
      <c r="AS50" s="95" t="n">
        <f aca="false">SUM(P50:AR50)</f>
        <v>0.429999999993015</v>
      </c>
      <c r="AT50" s="128"/>
      <c r="AU50" s="96" t="n">
        <f aca="false">73732-2765+6881+4743-85356</f>
        <v>-2765</v>
      </c>
      <c r="AV50" s="128"/>
      <c r="AW50" s="95" t="n">
        <f aca="false">IF(+O50-AS50+AU50&gt;0,O50-AS50+AU50,0)</f>
        <v>0</v>
      </c>
      <c r="AX50" s="128"/>
      <c r="AY50" s="156" t="n">
        <f aca="false">+AW50+AS50</f>
        <v>0.429999999993015</v>
      </c>
      <c r="AZ50" s="128"/>
      <c r="BA50" s="95" t="n">
        <f aca="false">+O50-AY50</f>
        <v>2764.57000000001</v>
      </c>
    </row>
    <row r="51" customFormat="false" ht="12.75" hidden="false" customHeight="false" outlineLevel="0" collapsed="false">
      <c r="A51" s="152"/>
      <c r="B51" s="132" t="s">
        <v>214</v>
      </c>
      <c r="C51" s="132"/>
      <c r="D51" s="128"/>
      <c r="E51" s="128" t="s">
        <v>173</v>
      </c>
      <c r="F51" s="128"/>
      <c r="G51" s="128" t="s">
        <v>208</v>
      </c>
      <c r="H51" s="128"/>
      <c r="I51" s="128"/>
      <c r="J51" s="128"/>
      <c r="K51" s="133" t="n">
        <v>0</v>
      </c>
      <c r="L51" s="128"/>
      <c r="M51" s="95" t="n">
        <v>0</v>
      </c>
      <c r="N51" s="128"/>
      <c r="O51" s="133" t="n">
        <f aca="false">SUM(K51:N51)</f>
        <v>0</v>
      </c>
      <c r="P51" s="128"/>
      <c r="Q51" s="96" t="n">
        <v>0</v>
      </c>
      <c r="S51" s="96" t="n">
        <v>0</v>
      </c>
      <c r="U51" s="96" t="n">
        <v>0</v>
      </c>
      <c r="AC51" s="96" t="n">
        <f aca="false">84.08+136.44+310.14</f>
        <v>530.66</v>
      </c>
      <c r="AG51" s="96" t="n">
        <v>-531</v>
      </c>
      <c r="AS51" s="95" t="n">
        <f aca="false">SUM(P51:AR51)</f>
        <v>-0.340000000000032</v>
      </c>
      <c r="AT51" s="128"/>
      <c r="AU51" s="96" t="n">
        <f aca="false">920+2896+500+156-428-4044</f>
        <v>0</v>
      </c>
      <c r="AV51" s="128"/>
      <c r="AW51" s="95" t="n">
        <f aca="false">IF(+O51-AS51+AU51&gt;0,O51-AS51+AU51,0)</f>
        <v>0.340000000000032</v>
      </c>
      <c r="AX51" s="128"/>
      <c r="AY51" s="95" t="n">
        <f aca="false">+AW51+AS51</f>
        <v>0</v>
      </c>
      <c r="AZ51" s="128"/>
      <c r="BA51" s="95" t="n">
        <f aca="false">+O51-AY51</f>
        <v>0</v>
      </c>
    </row>
    <row r="52" customFormat="false" ht="12.75" hidden="false" customHeight="false" outlineLevel="0" collapsed="false">
      <c r="A52" s="152"/>
      <c r="B52" s="132" t="s">
        <v>215</v>
      </c>
      <c r="C52" s="132"/>
      <c r="D52" s="128"/>
      <c r="E52" s="128" t="s">
        <v>173</v>
      </c>
      <c r="F52" s="128"/>
      <c r="G52" s="128" t="s">
        <v>208</v>
      </c>
      <c r="H52" s="128"/>
      <c r="I52" s="128"/>
      <c r="J52" s="128"/>
      <c r="K52" s="133" t="n">
        <v>188829</v>
      </c>
      <c r="L52" s="128"/>
      <c r="M52" s="95" t="n">
        <v>0</v>
      </c>
      <c r="N52" s="128"/>
      <c r="O52" s="133" t="n">
        <f aca="false">SUM(K52:N52)</f>
        <v>188829</v>
      </c>
      <c r="P52" s="128"/>
      <c r="Q52" s="96" t="n">
        <v>0</v>
      </c>
      <c r="S52" s="96" t="n">
        <v>0</v>
      </c>
      <c r="Y52" s="96" t="n">
        <v>56700</v>
      </c>
      <c r="AE52" s="96" t="n">
        <f aca="false">24027+56064+64073</f>
        <v>144164</v>
      </c>
      <c r="AG52" s="96" t="n">
        <v>-200864</v>
      </c>
      <c r="AS52" s="95" t="n">
        <f aca="false">SUM(P52:AR52)</f>
        <v>0</v>
      </c>
      <c r="AT52" s="128"/>
      <c r="AU52" s="96" t="n">
        <f aca="false">-13696-10000-165133</f>
        <v>-188829</v>
      </c>
      <c r="AV52" s="128"/>
      <c r="AW52" s="95" t="n">
        <f aca="false">IF(+O52-AS52+AU52&gt;0,O52-AS52+AU52,0)</f>
        <v>0</v>
      </c>
      <c r="AX52" s="128"/>
      <c r="AY52" s="136" t="n">
        <f aca="false">+AW52+AS52</f>
        <v>0</v>
      </c>
      <c r="AZ52" s="128"/>
      <c r="BA52" s="95" t="n">
        <f aca="false">+O52-AY52</f>
        <v>188829</v>
      </c>
    </row>
    <row r="53" customFormat="false" ht="12.75" hidden="false" customHeight="false" outlineLevel="0" collapsed="false">
      <c r="A53" s="152"/>
      <c r="B53" s="132" t="s">
        <v>216</v>
      </c>
      <c r="C53" s="132"/>
      <c r="D53" s="128"/>
      <c r="E53" s="128" t="s">
        <v>173</v>
      </c>
      <c r="F53" s="128"/>
      <c r="G53" s="128" t="s">
        <v>208</v>
      </c>
      <c r="H53" s="128"/>
      <c r="I53" s="128"/>
      <c r="J53" s="128"/>
      <c r="K53" s="133" t="n">
        <v>44266</v>
      </c>
      <c r="L53" s="128"/>
      <c r="M53" s="95" t="n">
        <v>0</v>
      </c>
      <c r="N53" s="128"/>
      <c r="O53" s="133" t="n">
        <f aca="false">SUM(K53:N53)</f>
        <v>44266</v>
      </c>
      <c r="P53" s="128"/>
      <c r="Q53" s="96" t="n">
        <v>0</v>
      </c>
      <c r="S53" s="96" t="n">
        <v>0</v>
      </c>
      <c r="AS53" s="95" t="n">
        <f aca="false">SUM(P53:AR53)</f>
        <v>0</v>
      </c>
      <c r="AT53" s="128"/>
      <c r="AU53" s="96" t="n">
        <f aca="false">38712-44266-38712</f>
        <v>-44266</v>
      </c>
      <c r="AV53" s="128"/>
      <c r="AW53" s="95" t="n">
        <f aca="false">IF(+O53-AS53+AU53&gt;0,O53-AS53+AU53,0)</f>
        <v>0</v>
      </c>
      <c r="AX53" s="128"/>
      <c r="AY53" s="95" t="n">
        <f aca="false">+AW53+AS53</f>
        <v>0</v>
      </c>
      <c r="AZ53" s="128"/>
      <c r="BA53" s="95" t="n">
        <f aca="false">+O53-AY53</f>
        <v>44266</v>
      </c>
    </row>
    <row r="54" customFormat="false" ht="12.75" hidden="false" customHeight="false" outlineLevel="0" collapsed="false">
      <c r="A54" s="152"/>
      <c r="B54" s="132" t="s">
        <v>217</v>
      </c>
      <c r="C54" s="132"/>
      <c r="D54" s="128"/>
      <c r="E54" s="128" t="s">
        <v>173</v>
      </c>
      <c r="F54" s="128"/>
      <c r="G54" s="128" t="s">
        <v>208</v>
      </c>
      <c r="H54" s="128"/>
      <c r="I54" s="128"/>
      <c r="J54" s="128"/>
      <c r="K54" s="133" t="n">
        <v>63897</v>
      </c>
      <c r="L54" s="128"/>
      <c r="M54" s="95" t="n">
        <v>0</v>
      </c>
      <c r="N54" s="128"/>
      <c r="O54" s="133" t="n">
        <f aca="false">SUM(K54:N54)</f>
        <v>63897</v>
      </c>
      <c r="P54" s="128"/>
      <c r="Q54" s="96" t="n">
        <v>0</v>
      </c>
      <c r="S54" s="96" t="n">
        <v>0</v>
      </c>
      <c r="AS54" s="95" t="n">
        <f aca="false">SUM(P54:AR54)</f>
        <v>0</v>
      </c>
      <c r="AT54" s="128"/>
      <c r="AU54" s="96" t="n">
        <f aca="false">16002-63897+115+64-16181</f>
        <v>-63897</v>
      </c>
      <c r="AV54" s="128"/>
      <c r="AW54" s="95" t="n">
        <f aca="false">IF(+O54-AS54+AU54&gt;0,O54-AS54+AU54,0)</f>
        <v>0</v>
      </c>
      <c r="AX54" s="128"/>
      <c r="AY54" s="95" t="n">
        <f aca="false">+AW54+AS54</f>
        <v>0</v>
      </c>
      <c r="AZ54" s="128"/>
      <c r="BA54" s="95" t="n">
        <f aca="false">+O54-AY54</f>
        <v>63897</v>
      </c>
    </row>
    <row r="55" customFormat="false" ht="12.75" hidden="false" customHeight="false" outlineLevel="0" collapsed="false">
      <c r="A55" s="152"/>
      <c r="B55" s="132" t="s">
        <v>218</v>
      </c>
      <c r="C55" s="132"/>
      <c r="D55" s="128"/>
      <c r="E55" s="128" t="s">
        <v>173</v>
      </c>
      <c r="F55" s="128"/>
      <c r="G55" s="128" t="s">
        <v>208</v>
      </c>
      <c r="H55" s="128"/>
      <c r="I55" s="128"/>
      <c r="J55" s="128"/>
      <c r="K55" s="133" t="n">
        <v>61269</v>
      </c>
      <c r="L55" s="128"/>
      <c r="M55" s="95" t="n">
        <v>0</v>
      </c>
      <c r="N55" s="128"/>
      <c r="O55" s="133" t="n">
        <f aca="false">SUM(K55:N55)</f>
        <v>61269</v>
      </c>
      <c r="P55" s="128"/>
      <c r="Q55" s="96" t="n">
        <v>0</v>
      </c>
      <c r="S55" s="96" t="n">
        <v>0</v>
      </c>
      <c r="Y55" s="96" t="n">
        <f aca="false">1540.63+329.79</f>
        <v>1870.42</v>
      </c>
      <c r="AA55" s="96" t="n">
        <v>0</v>
      </c>
      <c r="AG55" s="96" t="n">
        <v>-1870</v>
      </c>
      <c r="AS55" s="95" t="n">
        <f aca="false">SUM(P55:AR55)</f>
        <v>0.420000000000073</v>
      </c>
      <c r="AT55" s="128"/>
      <c r="AU55" s="96" t="n">
        <f aca="false">3672+5970+647-71558</f>
        <v>-61269</v>
      </c>
      <c r="AV55" s="128"/>
      <c r="AW55" s="95" t="n">
        <f aca="false">IF(+O55-AS55+AU55&gt;0,O55-AS55+AU55,0)</f>
        <v>0</v>
      </c>
      <c r="AX55" s="128"/>
      <c r="AY55" s="95" t="n">
        <f aca="false">+AW55+AS55</f>
        <v>0.420000000000073</v>
      </c>
      <c r="AZ55" s="128"/>
      <c r="BA55" s="95" t="n">
        <f aca="false">+O55-AY55</f>
        <v>61268.58</v>
      </c>
    </row>
    <row r="56" customFormat="false" ht="12.75" hidden="false" customHeight="false" outlineLevel="0" collapsed="false">
      <c r="A56" s="152"/>
      <c r="B56" s="132" t="s">
        <v>219</v>
      </c>
      <c r="C56" s="132"/>
      <c r="D56" s="128"/>
      <c r="E56" s="128" t="s">
        <v>173</v>
      </c>
      <c r="F56" s="128"/>
      <c r="G56" s="128" t="s">
        <v>208</v>
      </c>
      <c r="H56" s="128"/>
      <c r="I56" s="128"/>
      <c r="J56" s="128"/>
      <c r="K56" s="133" t="n">
        <v>424721</v>
      </c>
      <c r="L56" s="128"/>
      <c r="M56" s="95" t="n">
        <v>0</v>
      </c>
      <c r="N56" s="128"/>
      <c r="O56" s="133" t="n">
        <f aca="false">SUM(K56:N56)</f>
        <v>424721</v>
      </c>
      <c r="P56" s="128"/>
      <c r="Q56" s="96" t="n">
        <v>0</v>
      </c>
      <c r="S56" s="96" t="n">
        <v>0</v>
      </c>
      <c r="AC56" s="96" t="n">
        <f aca="false">42687.75</f>
        <v>42687.75</v>
      </c>
      <c r="AG56" s="96" t="n">
        <v>-42688</v>
      </c>
      <c r="AS56" s="95" t="n">
        <f aca="false">SUM(P56:AR56)</f>
        <v>-0.25</v>
      </c>
      <c r="AT56" s="128"/>
      <c r="AU56" s="96" t="n">
        <f aca="false">238467-424721-12000-25000-3375+494-198586</f>
        <v>-424721</v>
      </c>
      <c r="AV56" s="128"/>
      <c r="AW56" s="95" t="n">
        <f aca="false">IF(+O56-AS56+AU56&gt;0,O56-AS56+AU56,0)</f>
        <v>0.25</v>
      </c>
      <c r="AX56" s="128"/>
      <c r="AY56" s="95" t="n">
        <f aca="false">+AW56+AS56</f>
        <v>0</v>
      </c>
      <c r="AZ56" s="128"/>
      <c r="BA56" s="95" t="n">
        <f aca="false">+O56-AY56</f>
        <v>424721</v>
      </c>
    </row>
    <row r="57" customFormat="false" ht="12.75" hidden="false" customHeight="false" outlineLevel="0" collapsed="false">
      <c r="A57" s="152"/>
      <c r="B57" s="132" t="s">
        <v>220</v>
      </c>
      <c r="C57" s="132"/>
      <c r="D57" s="128"/>
      <c r="E57" s="128" t="s">
        <v>173</v>
      </c>
      <c r="F57" s="128"/>
      <c r="G57" s="128" t="s">
        <v>208</v>
      </c>
      <c r="H57" s="128"/>
      <c r="I57" s="128"/>
      <c r="J57" s="128"/>
      <c r="K57" s="133" t="n">
        <v>65690</v>
      </c>
      <c r="L57" s="128"/>
      <c r="M57" s="95" t="n">
        <v>0</v>
      </c>
      <c r="N57" s="128"/>
      <c r="O57" s="133" t="n">
        <f aca="false">SUM(K57:N57)</f>
        <v>65690</v>
      </c>
      <c r="P57" s="128"/>
      <c r="Q57" s="96" t="n">
        <v>0</v>
      </c>
      <c r="S57" s="96" t="n">
        <v>0</v>
      </c>
      <c r="AC57" s="96" t="n">
        <f aca="false">370+9558.54+102.52</f>
        <v>10031.06</v>
      </c>
      <c r="AG57" s="96" t="n">
        <v>-10031</v>
      </c>
      <c r="AS57" s="95" t="n">
        <f aca="false">SUM(P57:AR57)</f>
        <v>0.0600000000013097</v>
      </c>
      <c r="AT57" s="128"/>
      <c r="AU57" s="96" t="n">
        <f aca="false">-21954+771-44507</f>
        <v>-65690</v>
      </c>
      <c r="AV57" s="128"/>
      <c r="AW57" s="95" t="n">
        <f aca="false">IF(+O57-AS57+AU57&gt;0,O57-AS57+AU57,0)</f>
        <v>0</v>
      </c>
      <c r="AX57" s="128"/>
      <c r="AY57" s="95" t="n">
        <f aca="false">+AW57+AS57</f>
        <v>0.0600000000013097</v>
      </c>
      <c r="AZ57" s="128"/>
      <c r="BA57" s="95" t="n">
        <f aca="false">+O57-AY57</f>
        <v>65689.94</v>
      </c>
    </row>
    <row r="58" customFormat="false" ht="12.75" hidden="false" customHeight="false" outlineLevel="0" collapsed="false">
      <c r="A58" s="152"/>
      <c r="B58" s="132" t="s">
        <v>221</v>
      </c>
      <c r="C58" s="132"/>
      <c r="D58" s="128"/>
      <c r="E58" s="128" t="s">
        <v>173</v>
      </c>
      <c r="F58" s="128"/>
      <c r="G58" s="128" t="s">
        <v>208</v>
      </c>
      <c r="H58" s="128"/>
      <c r="I58" s="128"/>
      <c r="J58" s="128"/>
      <c r="K58" s="133" t="n">
        <v>3447600</v>
      </c>
      <c r="L58" s="128"/>
      <c r="M58" s="95" t="n">
        <v>0</v>
      </c>
      <c r="N58" s="128"/>
      <c r="O58" s="133" t="n">
        <f aca="false">SUM(K58:N58)</f>
        <v>3447600</v>
      </c>
      <c r="P58" s="128"/>
      <c r="Q58" s="96" t="n">
        <v>1136784</v>
      </c>
      <c r="S58" s="96" t="n">
        <v>-123504</v>
      </c>
      <c r="U58" s="96" t="n">
        <f aca="false">422200+78593.2+5736+1210</f>
        <v>507739.2</v>
      </c>
      <c r="W58" s="96" t="n">
        <f aca="false">168880+506640</f>
        <v>675520</v>
      </c>
      <c r="Y58" s="96" t="n">
        <f aca="false">422200+506640</f>
        <v>928840</v>
      </c>
      <c r="AC58" s="96" t="n">
        <v>50000</v>
      </c>
      <c r="AG58" s="96" t="n">
        <v>-3175379</v>
      </c>
      <c r="AS58" s="95" t="n">
        <f aca="false">SUM(P58:AR58)</f>
        <v>0.200000000186265</v>
      </c>
      <c r="AT58" s="128"/>
      <c r="AU58" s="96" t="n">
        <f aca="false">3625675-3447600+70597-3696272</f>
        <v>-3447600</v>
      </c>
      <c r="AV58" s="128"/>
      <c r="AW58" s="95" t="n">
        <f aca="false">IF(+O58-AS58+AU58&gt;0,O58-AS58+AU58,0)</f>
        <v>0</v>
      </c>
      <c r="AX58" s="128"/>
      <c r="AY58" s="95" t="n">
        <f aca="false">+AW58+AS58</f>
        <v>0.200000000186265</v>
      </c>
      <c r="AZ58" s="128"/>
      <c r="BA58" s="95" t="n">
        <f aca="false">+O58-AY58</f>
        <v>3447599.8</v>
      </c>
    </row>
    <row r="59" customFormat="false" ht="12.75" hidden="false" customHeight="false" outlineLevel="0" collapsed="false">
      <c r="A59" s="152"/>
      <c r="B59" s="132" t="s">
        <v>222</v>
      </c>
      <c r="C59" s="132"/>
      <c r="D59" s="128"/>
      <c r="E59" s="128" t="s">
        <v>173</v>
      </c>
      <c r="F59" s="128"/>
      <c r="G59" s="128" t="s">
        <v>208</v>
      </c>
      <c r="H59" s="128"/>
      <c r="I59" s="128"/>
      <c r="J59" s="128"/>
      <c r="K59" s="133" t="n">
        <v>137799</v>
      </c>
      <c r="L59" s="128"/>
      <c r="M59" s="95" t="n">
        <v>0</v>
      </c>
      <c r="N59" s="128"/>
      <c r="O59" s="133" t="n">
        <f aca="false">SUM(K59:N59)</f>
        <v>137799</v>
      </c>
      <c r="P59" s="128"/>
      <c r="Q59" s="96" t="n">
        <v>0</v>
      </c>
      <c r="S59" s="96" t="n">
        <v>0</v>
      </c>
      <c r="AC59" s="96" t="n">
        <f aca="false">149.96+227.71+170605.8</f>
        <v>170983.47</v>
      </c>
      <c r="AE59" s="96" t="n">
        <f aca="false">10563.6+5286.52+3570</f>
        <v>19420.12</v>
      </c>
      <c r="AG59" s="96" t="n">
        <v>-190404</v>
      </c>
      <c r="AS59" s="95" t="n">
        <f aca="false">SUM(P59:AR59)</f>
        <v>-0.410000000003492</v>
      </c>
      <c r="AT59" s="128"/>
      <c r="AU59" s="96" t="n">
        <f aca="false">218613-137799-3077+5000-220536</f>
        <v>-137799</v>
      </c>
      <c r="AV59" s="128"/>
      <c r="AW59" s="95" t="n">
        <f aca="false">IF(+O59-AS59+AU59&gt;0,O59-AS59+AU59,0)</f>
        <v>0.410000000003492</v>
      </c>
      <c r="AX59" s="128"/>
      <c r="AY59" s="95" t="n">
        <f aca="false">+AW59+AS59</f>
        <v>0</v>
      </c>
      <c r="AZ59" s="128"/>
      <c r="BA59" s="95" t="n">
        <f aca="false">+O59-AY59</f>
        <v>137799</v>
      </c>
    </row>
    <row r="60" customFormat="false" ht="12.75" hidden="false" customHeight="false" outlineLevel="0" collapsed="false">
      <c r="A60" s="152"/>
      <c r="B60" s="132" t="s">
        <v>223</v>
      </c>
      <c r="C60" s="132"/>
      <c r="D60" s="128"/>
      <c r="E60" s="128" t="s">
        <v>173</v>
      </c>
      <c r="F60" s="128"/>
      <c r="G60" s="128" t="s">
        <v>208</v>
      </c>
      <c r="H60" s="128"/>
      <c r="I60" s="128"/>
      <c r="J60" s="128"/>
      <c r="K60" s="133" t="n">
        <v>8023</v>
      </c>
      <c r="L60" s="128"/>
      <c r="M60" s="95" t="n">
        <v>0</v>
      </c>
      <c r="N60" s="128"/>
      <c r="O60" s="133" t="n">
        <f aca="false">SUM(K60:N60)</f>
        <v>8023</v>
      </c>
      <c r="P60" s="128"/>
      <c r="Q60" s="96" t="n">
        <v>0</v>
      </c>
      <c r="S60" s="96" t="n">
        <v>0</v>
      </c>
      <c r="AS60" s="95" t="n">
        <f aca="false">SUM(P60:AR60)</f>
        <v>0</v>
      </c>
      <c r="AT60" s="128"/>
      <c r="AU60" s="96" t="n">
        <v>-8023</v>
      </c>
      <c r="AV60" s="128"/>
      <c r="AW60" s="95" t="n">
        <f aca="false">IF(+O60-AS60+AU60&gt;0,O60-AS60+AU60,0)</f>
        <v>0</v>
      </c>
      <c r="AX60" s="128"/>
      <c r="AY60" s="95" t="n">
        <f aca="false">+AW60+AS60</f>
        <v>0</v>
      </c>
      <c r="AZ60" s="128"/>
      <c r="BA60" s="95" t="n">
        <f aca="false">+O60-AY60</f>
        <v>8023</v>
      </c>
    </row>
    <row r="61" customFormat="false" ht="12.75" hidden="false" customHeight="false" outlineLevel="0" collapsed="false">
      <c r="A61" s="152"/>
      <c r="B61" s="132" t="s">
        <v>224</v>
      </c>
      <c r="C61" s="132"/>
      <c r="D61" s="128"/>
      <c r="E61" s="128" t="s">
        <v>173</v>
      </c>
      <c r="F61" s="128"/>
      <c r="G61" s="128" t="s">
        <v>208</v>
      </c>
      <c r="H61" s="128"/>
      <c r="I61" s="128"/>
      <c r="J61" s="128"/>
      <c r="K61" s="133" t="n">
        <v>16989</v>
      </c>
      <c r="L61" s="128"/>
      <c r="M61" s="95" t="n">
        <v>0</v>
      </c>
      <c r="N61" s="128"/>
      <c r="O61" s="133" t="n">
        <f aca="false">SUM(K61:N61)</f>
        <v>16989</v>
      </c>
      <c r="P61" s="128"/>
      <c r="Q61" s="96" t="n">
        <v>0</v>
      </c>
      <c r="S61" s="96" t="n">
        <v>25612.65</v>
      </c>
      <c r="AC61" s="96" t="n">
        <f aca="false">1784.65+10978+60376+29545.22</f>
        <v>102683.87</v>
      </c>
      <c r="AE61" s="96" t="n">
        <f aca="false">4142+1100.81+7901.14+278</f>
        <v>13421.95</v>
      </c>
      <c r="AG61" s="96" t="n">
        <f aca="false">127450+2141.8-271310</f>
        <v>-141718.2</v>
      </c>
      <c r="AS61" s="95" t="n">
        <f aca="false">SUM(P61:AR61)</f>
        <v>0.269999999989523</v>
      </c>
      <c r="AT61" s="128"/>
      <c r="AU61" s="96" t="n">
        <f aca="false">29420-16989+187642+1029+530-218621</f>
        <v>-16989</v>
      </c>
      <c r="AV61" s="128"/>
      <c r="AW61" s="95" t="n">
        <f aca="false">IF(+O61-AS61+AU61&gt;0,O61-AS61+AU61,0)</f>
        <v>0</v>
      </c>
      <c r="AX61" s="128"/>
      <c r="AY61" s="95" t="n">
        <f aca="false">+AW61+AS61</f>
        <v>0.269999999989523</v>
      </c>
      <c r="AZ61" s="128"/>
      <c r="BA61" s="95" t="n">
        <f aca="false">+O61-AY61</f>
        <v>16988.73</v>
      </c>
    </row>
    <row r="62" customFormat="false" ht="12.75" hidden="false" customHeight="false" outlineLevel="0" collapsed="false">
      <c r="A62" s="152"/>
      <c r="B62" s="132" t="s">
        <v>225</v>
      </c>
      <c r="C62" s="132"/>
      <c r="D62" s="128"/>
      <c r="E62" s="128" t="s">
        <v>173</v>
      </c>
      <c r="F62" s="128"/>
      <c r="G62" s="128" t="s">
        <v>208</v>
      </c>
      <c r="H62" s="128"/>
      <c r="I62" s="128"/>
      <c r="J62" s="128"/>
      <c r="K62" s="133" t="n">
        <v>549000</v>
      </c>
      <c r="L62" s="128"/>
      <c r="M62" s="95" t="n">
        <v>0</v>
      </c>
      <c r="N62" s="128"/>
      <c r="O62" s="133" t="n">
        <f aca="false">SUM(K62:N62)</f>
        <v>549000</v>
      </c>
      <c r="P62" s="128"/>
      <c r="Q62" s="96" t="n">
        <v>0</v>
      </c>
      <c r="S62" s="96" t="n">
        <v>0</v>
      </c>
      <c r="Y62" s="96" t="n">
        <f aca="false">3445.76+1946.85+2696.02+225+4865+96184+2988.05</f>
        <v>112350.68</v>
      </c>
      <c r="AC62" s="96" t="n">
        <f aca="false">795.1+358.13+1125.31</f>
        <v>2278.54</v>
      </c>
      <c r="AG62" s="96" t="n">
        <v>-114629</v>
      </c>
      <c r="AS62" s="95" t="n">
        <f aca="false">SUM(P62:AR62)</f>
        <v>0.220000000001164</v>
      </c>
      <c r="AT62" s="128"/>
      <c r="AU62" s="96" t="n">
        <f aca="false">-222153-18659-54152-254036</f>
        <v>-549000</v>
      </c>
      <c r="AV62" s="128"/>
      <c r="AW62" s="95" t="n">
        <f aca="false">IF(+O62-AS62+AU62&gt;0,O62-AS62+AU62,0)</f>
        <v>0</v>
      </c>
      <c r="AX62" s="128"/>
      <c r="AY62" s="95" t="n">
        <f aca="false">+AW62+AS62</f>
        <v>0.220000000001164</v>
      </c>
      <c r="AZ62" s="128"/>
      <c r="BA62" s="95" t="n">
        <f aca="false">+O62-AY62</f>
        <v>548999.78</v>
      </c>
    </row>
    <row r="63" customFormat="false" ht="12.75" hidden="false" customHeight="false" outlineLevel="0" collapsed="false">
      <c r="A63" s="152"/>
      <c r="B63" s="132" t="s">
        <v>226</v>
      </c>
      <c r="C63" s="132"/>
      <c r="D63" s="128"/>
      <c r="E63" s="128" t="s">
        <v>173</v>
      </c>
      <c r="F63" s="128"/>
      <c r="G63" s="128" t="s">
        <v>208</v>
      </c>
      <c r="H63" s="128"/>
      <c r="I63" s="128"/>
      <c r="J63" s="128"/>
      <c r="K63" s="133" t="n">
        <v>134000</v>
      </c>
      <c r="L63" s="128"/>
      <c r="M63" s="95" t="n">
        <v>0</v>
      </c>
      <c r="N63" s="128"/>
      <c r="O63" s="133" t="n">
        <f aca="false">SUM(K63:N63)</f>
        <v>134000</v>
      </c>
      <c r="P63" s="128"/>
      <c r="Q63" s="96" t="n">
        <v>18058</v>
      </c>
      <c r="S63" s="96" t="n">
        <v>-18058</v>
      </c>
      <c r="Y63" s="96" t="n">
        <v>21067.2</v>
      </c>
      <c r="AC63" s="96" t="n">
        <v>21067.2</v>
      </c>
      <c r="AG63" s="96" t="n">
        <v>-42134</v>
      </c>
      <c r="AS63" s="95" t="n">
        <f aca="false">SUM(P63:AR63)</f>
        <v>0.400000000001455</v>
      </c>
      <c r="AT63" s="128"/>
      <c r="AU63" s="96" t="n">
        <f aca="false">60192-134000-36192+8624+4217-369841</f>
        <v>-467000</v>
      </c>
      <c r="AV63" s="128"/>
      <c r="AW63" s="95" t="n">
        <f aca="false">IF(+O63-AS63+AU63&gt;0,O63-AS63+AU63,0)</f>
        <v>0</v>
      </c>
      <c r="AX63" s="128"/>
      <c r="AY63" s="95" t="n">
        <f aca="false">+AW63+AS63</f>
        <v>0.400000000001455</v>
      </c>
      <c r="AZ63" s="128"/>
      <c r="BA63" s="95" t="n">
        <f aca="false">+O63-AY63</f>
        <v>133999.6</v>
      </c>
    </row>
    <row r="64" customFormat="false" ht="12.75" hidden="false" customHeight="false" outlineLevel="0" collapsed="false">
      <c r="A64" s="152"/>
      <c r="B64" s="132" t="s">
        <v>227</v>
      </c>
      <c r="C64" s="132"/>
      <c r="D64" s="128"/>
      <c r="E64" s="128" t="s">
        <v>173</v>
      </c>
      <c r="F64" s="128"/>
      <c r="G64" s="128" t="s">
        <v>208</v>
      </c>
      <c r="H64" s="128"/>
      <c r="I64" s="128"/>
      <c r="J64" s="128"/>
      <c r="K64" s="133" t="n">
        <v>0</v>
      </c>
      <c r="L64" s="128"/>
      <c r="M64" s="95" t="n">
        <v>0</v>
      </c>
      <c r="N64" s="128"/>
      <c r="O64" s="133" t="n">
        <f aca="false">SUM(K64:N64)</f>
        <v>0</v>
      </c>
      <c r="P64" s="128"/>
      <c r="Q64" s="96" t="n">
        <f aca="false">18057.6-18057.6</f>
        <v>0</v>
      </c>
      <c r="S64" s="96" t="n">
        <f aca="false">18057.6-18057.6</f>
        <v>0</v>
      </c>
      <c r="AS64" s="95" t="n">
        <f aca="false">SUM(P64:AR64)</f>
        <v>0</v>
      </c>
      <c r="AT64" s="128"/>
      <c r="AU64" s="96" t="n">
        <f aca="false">121500-121500</f>
        <v>0</v>
      </c>
      <c r="AV64" s="128"/>
      <c r="AW64" s="95" t="n">
        <f aca="false">IF(+O64-AS64+AU64&gt;0,O64-AS64+AU64,0)</f>
        <v>0</v>
      </c>
      <c r="AX64" s="128"/>
      <c r="AY64" s="136" t="n">
        <f aca="false">+AW64+AS64</f>
        <v>0</v>
      </c>
      <c r="AZ64" s="128"/>
      <c r="BA64" s="95" t="n">
        <f aca="false">+O64-AY64</f>
        <v>0</v>
      </c>
    </row>
    <row r="65" customFormat="false" ht="12.75" hidden="false" customHeight="false" outlineLevel="0" collapsed="false">
      <c r="A65" s="152"/>
      <c r="B65" s="132" t="s">
        <v>228</v>
      </c>
      <c r="C65" s="132"/>
      <c r="D65" s="128"/>
      <c r="E65" s="128" t="s">
        <v>173</v>
      </c>
      <c r="F65" s="128"/>
      <c r="G65" s="128" t="s">
        <v>208</v>
      </c>
      <c r="H65" s="128"/>
      <c r="I65" s="128"/>
      <c r="J65" s="128"/>
      <c r="K65" s="133" t="n">
        <v>389130</v>
      </c>
      <c r="L65" s="128"/>
      <c r="M65" s="95" t="n">
        <v>0</v>
      </c>
      <c r="N65" s="128"/>
      <c r="O65" s="133" t="n">
        <f aca="false">SUM(K65:N65)</f>
        <v>389130</v>
      </c>
      <c r="P65" s="128"/>
      <c r="Q65" s="96" t="n">
        <v>0</v>
      </c>
      <c r="S65" s="96" t="n">
        <f aca="false">89820.8+33682.8+18057.6</f>
        <v>141561.2</v>
      </c>
      <c r="AA65" s="96" t="n">
        <f aca="false">62864.1</f>
        <v>62864.1</v>
      </c>
      <c r="AG65" s="96" t="n">
        <v>-204425</v>
      </c>
      <c r="AS65" s="95" t="n">
        <f aca="false">SUM(P65:AR65)</f>
        <v>0.300000000017462</v>
      </c>
      <c r="AT65" s="128"/>
      <c r="AU65" s="96" t="n">
        <f aca="false">494932-389130-157245-69998+66676-334365</f>
        <v>-389130</v>
      </c>
      <c r="AV65" s="128"/>
      <c r="AW65" s="95" t="n">
        <f aca="false">IF(+O65-AS65+AU65&gt;0,O65-AS65+AU65,0)</f>
        <v>0</v>
      </c>
      <c r="AX65" s="128"/>
      <c r="AY65" s="95" t="n">
        <f aca="false">+AW65+AS65</f>
        <v>0.300000000017462</v>
      </c>
      <c r="AZ65" s="128"/>
      <c r="BA65" s="95" t="n">
        <f aca="false">+O65-AY65</f>
        <v>389129.7</v>
      </c>
    </row>
    <row r="66" customFormat="false" ht="12.75" hidden="false" customHeight="false" outlineLevel="0" collapsed="false">
      <c r="A66" s="152"/>
      <c r="B66" s="132" t="s">
        <v>229</v>
      </c>
      <c r="C66" s="132"/>
      <c r="D66" s="128"/>
      <c r="E66" s="128" t="s">
        <v>173</v>
      </c>
      <c r="F66" s="128"/>
      <c r="G66" s="128" t="s">
        <v>208</v>
      </c>
      <c r="H66" s="128"/>
      <c r="I66" s="128"/>
      <c r="J66" s="128"/>
      <c r="K66" s="133" t="n">
        <v>23596</v>
      </c>
      <c r="L66" s="128"/>
      <c r="M66" s="140" t="n">
        <v>0</v>
      </c>
      <c r="N66" s="128"/>
      <c r="O66" s="138" t="n">
        <f aca="false">SUM(K66:N66)</f>
        <v>23596</v>
      </c>
      <c r="P66" s="128"/>
      <c r="Q66" s="96" t="n">
        <v>0</v>
      </c>
      <c r="S66" s="96" t="n">
        <v>0</v>
      </c>
      <c r="AS66" s="95" t="n">
        <f aca="false">SUM(P66:AR66)</f>
        <v>0</v>
      </c>
      <c r="AT66" s="128"/>
      <c r="AU66" s="96" t="n">
        <v>-23596</v>
      </c>
      <c r="AV66" s="128"/>
      <c r="AW66" s="95" t="n">
        <f aca="false">IF(+O66-AS66+AU66&gt;0,O66-AS66+AU66,0)</f>
        <v>0</v>
      </c>
      <c r="AX66" s="128"/>
      <c r="AY66" s="136" t="n">
        <f aca="false">+AW66+AS66</f>
        <v>0</v>
      </c>
      <c r="AZ66" s="128"/>
      <c r="BA66" s="95" t="n">
        <f aca="false">+O66-AY66</f>
        <v>23596</v>
      </c>
    </row>
    <row r="67" customFormat="false" ht="12.75" hidden="false" customHeight="false" outlineLevel="0" collapsed="false">
      <c r="A67" s="148"/>
      <c r="B67" s="132" t="s">
        <v>230</v>
      </c>
      <c r="C67" s="132"/>
      <c r="D67" s="128"/>
      <c r="E67" s="128"/>
      <c r="F67" s="128"/>
      <c r="G67" s="128"/>
      <c r="H67" s="128"/>
      <c r="I67" s="128"/>
      <c r="J67" s="128"/>
      <c r="K67" s="155" t="n">
        <f aca="false">SUM(K45:K66)</f>
        <v>7290769</v>
      </c>
      <c r="L67" s="128"/>
      <c r="M67" s="24" t="n">
        <f aca="false">SUM(M45:M66)</f>
        <v>0</v>
      </c>
      <c r="N67" s="128"/>
      <c r="O67" s="24" t="n">
        <f aca="false">SUM(O45:O66)</f>
        <v>7290769</v>
      </c>
      <c r="P67" s="128"/>
      <c r="Q67" s="154" t="n">
        <f aca="false">SUM(Q45:Q66)</f>
        <v>1154842</v>
      </c>
      <c r="S67" s="154" t="n">
        <f aca="false">SUM(S45:S66)</f>
        <v>107635.85</v>
      </c>
      <c r="U67" s="154" t="n">
        <f aca="false">SUM(U45:U66)</f>
        <v>728386.82</v>
      </c>
      <c r="W67" s="154" t="n">
        <f aca="false">SUM(W45:W66)</f>
        <v>767226.12</v>
      </c>
      <c r="Y67" s="154" t="n">
        <f aca="false">SUM(Y45:Y66)</f>
        <v>1430428.3</v>
      </c>
      <c r="AA67" s="154" t="n">
        <f aca="false">SUM(AA45:AA66)</f>
        <v>516152</v>
      </c>
      <c r="AC67" s="154" t="n">
        <f aca="false">SUM(AC45:AC66)</f>
        <v>602382.12</v>
      </c>
      <c r="AE67" s="154" t="n">
        <f aca="false">SUM(AE45:AE66)</f>
        <v>181318.32</v>
      </c>
      <c r="AF67" s="129"/>
      <c r="AG67" s="154" t="n">
        <f aca="false">SUM(AG45:AG66)</f>
        <v>-5488370.1</v>
      </c>
      <c r="AH67" s="129"/>
      <c r="AI67" s="154" t="n">
        <f aca="false">SUM(AI45:AI66)</f>
        <v>0</v>
      </c>
      <c r="AJ67" s="129"/>
      <c r="AK67" s="154" t="n">
        <f aca="false">SUM(AK45:AK66)</f>
        <v>0</v>
      </c>
      <c r="AL67" s="129"/>
      <c r="AM67" s="154" t="n">
        <f aca="false">SUM(AM45:AM66)</f>
        <v>0</v>
      </c>
      <c r="AN67" s="129"/>
      <c r="AO67" s="154" t="n">
        <f aca="false">SUM(AO45:AO66)</f>
        <v>0</v>
      </c>
      <c r="AP67" s="129"/>
      <c r="AQ67" s="154" t="n">
        <f aca="false">SUM(AQ45:AQ66)</f>
        <v>0</v>
      </c>
      <c r="AR67" s="129"/>
      <c r="AS67" s="155" t="n">
        <f aca="false">SUM(AS45:AS66)</f>
        <v>1.4300000001914</v>
      </c>
      <c r="AT67" s="128"/>
      <c r="AU67" s="154" t="n">
        <f aca="false">SUM(AU45:AU66)</f>
        <v>-7623769</v>
      </c>
      <c r="AV67" s="128"/>
      <c r="AW67" s="154" t="n">
        <f aca="false">SUM(AW45:AW66)</f>
        <v>1.26000000001284</v>
      </c>
      <c r="AX67" s="128"/>
      <c r="AY67" s="154" t="n">
        <f aca="false">SUM(AY45:AY66)</f>
        <v>2.69000000020424</v>
      </c>
      <c r="AZ67" s="128"/>
      <c r="BA67" s="154" t="n">
        <f aca="false">+O67-AY67</f>
        <v>7290766.31</v>
      </c>
    </row>
    <row r="68" customFormat="false" ht="12.75" hidden="false" customHeight="false" outlineLevel="0" collapsed="false">
      <c r="A68" s="145"/>
      <c r="B68" s="132"/>
      <c r="C68" s="132"/>
      <c r="D68" s="128"/>
      <c r="E68" s="128"/>
      <c r="F68" s="128"/>
      <c r="G68" s="128"/>
      <c r="H68" s="128"/>
      <c r="I68" s="128"/>
      <c r="J68" s="128"/>
      <c r="L68" s="128"/>
      <c r="N68" s="128"/>
      <c r="P68" s="128"/>
      <c r="AT68" s="128"/>
      <c r="AV68" s="128"/>
      <c r="AX68" s="128"/>
      <c r="AZ68" s="128"/>
    </row>
    <row r="69" customFormat="false" ht="12.75" hidden="false" customHeight="false" outlineLevel="0" collapsed="false">
      <c r="A69" s="152" t="s">
        <v>231</v>
      </c>
      <c r="B69" s="132"/>
      <c r="C69" s="132"/>
      <c r="D69" s="128"/>
      <c r="E69" s="128"/>
      <c r="F69" s="128"/>
      <c r="G69" s="128"/>
      <c r="H69" s="128"/>
      <c r="I69" s="128"/>
      <c r="J69" s="128"/>
      <c r="L69" s="128"/>
      <c r="N69" s="128"/>
      <c r="P69" s="128"/>
      <c r="AT69" s="128"/>
      <c r="AV69" s="128"/>
      <c r="AX69" s="128"/>
      <c r="AZ69" s="128"/>
    </row>
    <row r="70" customFormat="false" ht="12.75" hidden="false" customHeight="false" outlineLevel="0" collapsed="false">
      <c r="A70" s="145"/>
      <c r="B70" s="132" t="s">
        <v>232</v>
      </c>
      <c r="C70" s="132" t="s">
        <v>207</v>
      </c>
      <c r="D70" s="128"/>
      <c r="E70" s="128" t="s">
        <v>173</v>
      </c>
      <c r="F70" s="128"/>
      <c r="G70" s="128" t="s">
        <v>208</v>
      </c>
      <c r="H70" s="128"/>
      <c r="I70" s="128" t="s">
        <v>174</v>
      </c>
      <c r="J70" s="128"/>
      <c r="K70" s="133" t="n">
        <v>215657</v>
      </c>
      <c r="L70" s="128"/>
      <c r="M70" s="133" t="n">
        <v>0</v>
      </c>
      <c r="N70" s="128"/>
      <c r="O70" s="133" t="n">
        <f aca="false">SUM(K70:N70)</f>
        <v>215657</v>
      </c>
      <c r="P70" s="128"/>
      <c r="Q70" s="96" t="n">
        <v>0</v>
      </c>
      <c r="S70" s="96" t="n">
        <v>0</v>
      </c>
      <c r="U70" s="96" t="n">
        <v>260283</v>
      </c>
      <c r="W70" s="96" t="n">
        <v>-69761</v>
      </c>
      <c r="AC70" s="96" t="n">
        <v>0</v>
      </c>
      <c r="AE70" s="96" t="n">
        <v>-2237</v>
      </c>
      <c r="AG70" s="96" t="n">
        <v>0</v>
      </c>
      <c r="AS70" s="95" t="n">
        <f aca="false">SUM(P70:AR70)</f>
        <v>188285</v>
      </c>
      <c r="AT70" s="128"/>
      <c r="AU70" s="96" t="n">
        <f aca="false">191106-215657+1585-4405-1</f>
        <v>-27372</v>
      </c>
      <c r="AV70" s="128"/>
      <c r="AW70" s="95" t="n">
        <f aca="false">+O70-AS70+AU70</f>
        <v>0</v>
      </c>
      <c r="AX70" s="128"/>
      <c r="AY70" s="95" t="n">
        <f aca="false">+AW70+AS70</f>
        <v>188285</v>
      </c>
      <c r="AZ70" s="158"/>
      <c r="BA70" s="95" t="n">
        <f aca="false">+O70-AY70</f>
        <v>27372</v>
      </c>
    </row>
    <row r="71" customFormat="false" ht="12.75" hidden="false" customHeight="false" outlineLevel="0" collapsed="false">
      <c r="A71" s="145"/>
      <c r="B71" s="132" t="s">
        <v>233</v>
      </c>
      <c r="C71" s="132"/>
      <c r="D71" s="128"/>
      <c r="E71" s="128"/>
      <c r="F71" s="128"/>
      <c r="G71" s="128" t="s">
        <v>208</v>
      </c>
      <c r="H71" s="128"/>
      <c r="I71" s="128"/>
      <c r="J71" s="128"/>
      <c r="K71" s="133" t="n">
        <v>728097</v>
      </c>
      <c r="L71" s="128"/>
      <c r="M71" s="133" t="n">
        <v>0</v>
      </c>
      <c r="N71" s="128"/>
      <c r="O71" s="133" t="n">
        <f aca="false">SUM(K71:N71)</f>
        <v>728097</v>
      </c>
      <c r="P71" s="128"/>
      <c r="Q71" s="96" t="n">
        <v>0</v>
      </c>
      <c r="S71" s="96" t="n">
        <v>0</v>
      </c>
      <c r="U71" s="96" t="n">
        <v>225000</v>
      </c>
      <c r="W71" s="96" t="n">
        <v>97000</v>
      </c>
      <c r="Y71" s="96" t="n">
        <v>22906</v>
      </c>
      <c r="AC71" s="96" t="n">
        <v>2634</v>
      </c>
      <c r="AE71" s="96" t="n">
        <v>3790</v>
      </c>
      <c r="AG71" s="96" t="n">
        <f aca="false">18813+74949</f>
        <v>93762</v>
      </c>
      <c r="AI71" s="96" t="n">
        <v>115343</v>
      </c>
      <c r="AM71" s="96" t="n">
        <v>26637</v>
      </c>
      <c r="AS71" s="95" t="n">
        <f aca="false">SUM(P71:AR71)</f>
        <v>587072</v>
      </c>
      <c r="AT71" s="128"/>
      <c r="AU71" s="96" t="n">
        <f aca="false">941599-728097+3994-182896-11700-80000-68967-14958</f>
        <v>-141025</v>
      </c>
      <c r="AV71" s="128"/>
      <c r="AW71" s="95" t="n">
        <f aca="false">IF(+O71-AS71+AU71&gt;0,O71-AS71+AU71,0)</f>
        <v>0</v>
      </c>
      <c r="AX71" s="128"/>
      <c r="AY71" s="95" t="n">
        <f aca="false">+AW71+AS71</f>
        <v>587072</v>
      </c>
      <c r="AZ71" s="158"/>
      <c r="BA71" s="95" t="n">
        <f aca="false">+O71-AY71</f>
        <v>141025</v>
      </c>
    </row>
    <row r="72" customFormat="false" ht="12.75" hidden="false" customHeight="false" outlineLevel="0" collapsed="false">
      <c r="A72" s="145"/>
      <c r="B72" s="132" t="s">
        <v>234</v>
      </c>
      <c r="C72" s="132"/>
      <c r="D72" s="128"/>
      <c r="E72" s="128"/>
      <c r="F72" s="128"/>
      <c r="G72" s="128" t="s">
        <v>208</v>
      </c>
      <c r="H72" s="128"/>
      <c r="I72" s="128"/>
      <c r="J72" s="128"/>
      <c r="K72" s="133" t="n">
        <v>216167</v>
      </c>
      <c r="L72" s="128"/>
      <c r="M72" s="133" t="n">
        <v>0</v>
      </c>
      <c r="N72" s="128"/>
      <c r="O72" s="133" t="n">
        <f aca="false">SUM(K72:N72)</f>
        <v>216167</v>
      </c>
      <c r="P72" s="128"/>
      <c r="Q72" s="96" t="n">
        <v>0</v>
      </c>
      <c r="S72" s="96" t="n">
        <v>0</v>
      </c>
      <c r="U72" s="96" t="n">
        <v>130466</v>
      </c>
      <c r="W72" s="96" t="n">
        <v>69885</v>
      </c>
      <c r="Y72" s="96" t="n">
        <f aca="false">61460+32382</f>
        <v>93842</v>
      </c>
      <c r="AC72" s="96" t="n">
        <v>111933</v>
      </c>
      <c r="AE72" s="96" t="n">
        <v>38279</v>
      </c>
      <c r="AG72" s="96" t="n">
        <f aca="false">79744+55073</f>
        <v>134817</v>
      </c>
      <c r="AI72" s="96" t="n">
        <v>47964</v>
      </c>
      <c r="AM72" s="96" t="n">
        <v>37098</v>
      </c>
      <c r="AS72" s="95" t="n">
        <f aca="false">SUM(P72:AR72)</f>
        <v>664284</v>
      </c>
      <c r="AT72" s="128"/>
      <c r="AU72" s="96" t="n">
        <f aca="false">576387-294193+78026-21233+35797+8524+32773</f>
        <v>416081</v>
      </c>
      <c r="AV72" s="128"/>
      <c r="AW72" s="95" t="n">
        <f aca="false">IF(+O72-AS72+AU72&gt;0,O72-AS72+AU72,0)</f>
        <v>0</v>
      </c>
      <c r="AX72" s="128"/>
      <c r="AY72" s="95" t="n">
        <f aca="false">+AW72+AS72</f>
        <v>664284</v>
      </c>
      <c r="AZ72" s="128"/>
      <c r="BA72" s="95" t="n">
        <f aca="false">+O72-AY72</f>
        <v>-448117</v>
      </c>
    </row>
    <row r="73" customFormat="false" ht="12.75" hidden="false" customHeight="false" outlineLevel="0" collapsed="false">
      <c r="A73" s="145"/>
      <c r="B73" s="132" t="s">
        <v>235</v>
      </c>
      <c r="C73" s="132"/>
      <c r="D73" s="128"/>
      <c r="E73" s="128"/>
      <c r="F73" s="128"/>
      <c r="G73" s="128" t="s">
        <v>208</v>
      </c>
      <c r="H73" s="128"/>
      <c r="I73" s="128"/>
      <c r="J73" s="128"/>
      <c r="K73" s="133" t="n">
        <v>365324</v>
      </c>
      <c r="L73" s="128"/>
      <c r="M73" s="133" t="n">
        <v>0</v>
      </c>
      <c r="N73" s="128"/>
      <c r="O73" s="133" t="n">
        <f aca="false">SUM(K73:N73)</f>
        <v>365324</v>
      </c>
      <c r="P73" s="128"/>
      <c r="Q73" s="96" t="n">
        <v>0</v>
      </c>
      <c r="S73" s="96" t="n">
        <v>0</v>
      </c>
      <c r="U73" s="96" t="n">
        <v>6887</v>
      </c>
      <c r="W73" s="96" t="n">
        <v>24435</v>
      </c>
      <c r="Y73" s="96" t="n">
        <f aca="false">78658+49291</f>
        <v>127949</v>
      </c>
      <c r="AC73" s="96" t="n">
        <v>87618</v>
      </c>
      <c r="AE73" s="96" t="n">
        <f aca="false">94201</f>
        <v>94201</v>
      </c>
      <c r="AG73" s="96" t="n">
        <f aca="false">58847+10881</f>
        <v>69728</v>
      </c>
      <c r="AI73" s="96" t="n">
        <f aca="false">142833+1389-141928</f>
        <v>2294</v>
      </c>
      <c r="AK73" s="96" t="n">
        <v>129</v>
      </c>
      <c r="AS73" s="95" t="n">
        <f aca="false">SUM(P73:AR73)</f>
        <v>413241</v>
      </c>
      <c r="AT73" s="128"/>
      <c r="AU73" s="96" t="n">
        <f aca="false">465834-365324-32814-15423+2234-6829+110</f>
        <v>47788</v>
      </c>
      <c r="AV73" s="128"/>
      <c r="AW73" s="95" t="n">
        <f aca="false">IF(+O73-AS73+AU73&gt;0,O73-AS73+AU73,0)</f>
        <v>0</v>
      </c>
      <c r="AX73" s="128"/>
      <c r="AY73" s="136" t="n">
        <f aca="false">+AW73+AS73</f>
        <v>413241</v>
      </c>
      <c r="AZ73" s="128"/>
      <c r="BA73" s="95" t="n">
        <f aca="false">+O73-AY73</f>
        <v>-47917</v>
      </c>
    </row>
    <row r="74" customFormat="false" ht="12.75" hidden="false" customHeight="false" outlineLevel="0" collapsed="false">
      <c r="A74" s="145"/>
      <c r="B74" s="132" t="s">
        <v>236</v>
      </c>
      <c r="C74" s="132"/>
      <c r="D74" s="128"/>
      <c r="E74" s="128"/>
      <c r="F74" s="128"/>
      <c r="G74" s="128" t="s">
        <v>208</v>
      </c>
      <c r="H74" s="128"/>
      <c r="I74" s="128"/>
      <c r="J74" s="128"/>
      <c r="K74" s="133" t="n">
        <v>1364088</v>
      </c>
      <c r="L74" s="128"/>
      <c r="M74" s="133" t="n">
        <v>0</v>
      </c>
      <c r="N74" s="128"/>
      <c r="O74" s="133" t="n">
        <f aca="false">SUM(K74:N74)</f>
        <v>1364088</v>
      </c>
      <c r="P74" s="128"/>
      <c r="Q74" s="96" t="n">
        <v>0</v>
      </c>
      <c r="S74" s="96" t="n">
        <v>0</v>
      </c>
      <c r="U74" s="96" t="n">
        <v>410522</v>
      </c>
      <c r="W74" s="96" t="n">
        <v>226458</v>
      </c>
      <c r="Y74" s="96" t="n">
        <f aca="false">106159+68700</f>
        <v>174859</v>
      </c>
      <c r="AC74" s="96" t="n">
        <v>119588</v>
      </c>
      <c r="AE74" s="96" t="n">
        <v>84286</v>
      </c>
      <c r="AG74" s="96" t="n">
        <f aca="false">66124+57205-53</f>
        <v>123276</v>
      </c>
      <c r="AI74" s="96" t="n">
        <f aca="false">53+23769</f>
        <v>23822</v>
      </c>
      <c r="AK74" s="96" t="n">
        <v>1295</v>
      </c>
      <c r="AM74" s="96" t="n">
        <v>4108</v>
      </c>
      <c r="AO74" s="96" t="n">
        <v>1842</v>
      </c>
      <c r="AS74" s="95" t="n">
        <f aca="false">SUM(P74:AR74)</f>
        <v>1170056</v>
      </c>
      <c r="AT74" s="128"/>
      <c r="AU74" s="96" t="n">
        <f aca="false">1156402-1364088+6490-21647+5350+18290-1842</f>
        <v>-201045</v>
      </c>
      <c r="AV74" s="128"/>
      <c r="AW74" s="136" t="n">
        <f aca="false">IF(+O74-AS74+AU74&gt;0,O74-AS74+AU74,0)</f>
        <v>0</v>
      </c>
      <c r="AX74" s="128"/>
      <c r="AY74" s="95" t="n">
        <f aca="false">+AW74+AS74</f>
        <v>1170056</v>
      </c>
      <c r="AZ74" s="128"/>
      <c r="BA74" s="95" t="n">
        <f aca="false">+O74-AY74</f>
        <v>194032</v>
      </c>
    </row>
    <row r="75" customFormat="false" ht="12.75" hidden="false" customHeight="false" outlineLevel="0" collapsed="false">
      <c r="A75" s="145"/>
      <c r="B75" s="132" t="s">
        <v>237</v>
      </c>
      <c r="C75" s="132"/>
      <c r="D75" s="128"/>
      <c r="E75" s="128"/>
      <c r="F75" s="128"/>
      <c r="G75" s="128" t="s">
        <v>208</v>
      </c>
      <c r="H75" s="128"/>
      <c r="I75" s="128"/>
      <c r="J75" s="128"/>
      <c r="K75" s="133" t="n">
        <v>75872</v>
      </c>
      <c r="L75" s="128"/>
      <c r="M75" s="133" t="n">
        <v>0</v>
      </c>
      <c r="N75" s="128"/>
      <c r="O75" s="133" t="n">
        <f aca="false">SUM(K75:N75)</f>
        <v>75872</v>
      </c>
      <c r="P75" s="128"/>
      <c r="Q75" s="96" t="n">
        <v>0</v>
      </c>
      <c r="S75" s="96" t="n">
        <v>0</v>
      </c>
      <c r="U75" s="96" t="n">
        <v>0</v>
      </c>
      <c r="Y75" s="96" t="n">
        <f aca="false">7314+292</f>
        <v>7606</v>
      </c>
      <c r="AE75" s="96" t="n">
        <v>12593</v>
      </c>
      <c r="AG75" s="96" t="n">
        <f aca="false">8670+11856</f>
        <v>20526</v>
      </c>
      <c r="AI75" s="96" t="n">
        <v>2412</v>
      </c>
      <c r="AS75" s="95" t="n">
        <f aca="false">SUM(P75:AR75)</f>
        <v>43137</v>
      </c>
      <c r="AT75" s="128"/>
      <c r="AU75" s="96" t="n">
        <f aca="false">1900+3400-13020-25015</f>
        <v>-32735</v>
      </c>
      <c r="AV75" s="128"/>
      <c r="AW75" s="95" t="n">
        <f aca="false">IF(+O75-AS75+AU75&gt;0,O75-AS75+AU75,0)</f>
        <v>0</v>
      </c>
      <c r="AX75" s="128"/>
      <c r="AY75" s="95" t="n">
        <f aca="false">+AW75+AS75</f>
        <v>43137</v>
      </c>
      <c r="AZ75" s="128"/>
      <c r="BA75" s="95" t="n">
        <f aca="false">+O75-AY75</f>
        <v>32735</v>
      </c>
    </row>
    <row r="76" customFormat="false" ht="12.75" hidden="false" customHeight="false" outlineLevel="0" collapsed="false">
      <c r="A76" s="145"/>
      <c r="B76" s="132" t="s">
        <v>238</v>
      </c>
      <c r="C76" s="132"/>
      <c r="D76" s="128"/>
      <c r="E76" s="128"/>
      <c r="F76" s="128"/>
      <c r="G76" s="128" t="s">
        <v>208</v>
      </c>
      <c r="H76" s="128"/>
      <c r="I76" s="128"/>
      <c r="J76" s="128"/>
      <c r="K76" s="133" t="n">
        <v>50931</v>
      </c>
      <c r="L76" s="128"/>
      <c r="M76" s="133" t="n">
        <v>0</v>
      </c>
      <c r="N76" s="128"/>
      <c r="O76" s="133" t="n">
        <f aca="false">SUM(K76:N76)</f>
        <v>50931</v>
      </c>
      <c r="P76" s="128"/>
      <c r="Q76" s="96" t="n">
        <v>0</v>
      </c>
      <c r="S76" s="96" t="n">
        <v>0</v>
      </c>
      <c r="Y76" s="96" t="n">
        <v>617</v>
      </c>
      <c r="AC76" s="96" t="n">
        <v>2982</v>
      </c>
      <c r="AE76" s="96" t="n">
        <f aca="false">9983+3945</f>
        <v>13928</v>
      </c>
      <c r="AG76" s="96" t="n">
        <f aca="false">3209+78127</f>
        <v>81336</v>
      </c>
      <c r="AS76" s="95" t="n">
        <f aca="false">SUM(P76:AR76)</f>
        <v>98863</v>
      </c>
      <c r="AT76" s="128"/>
      <c r="AU76" s="96" t="n">
        <f aca="false">77010-50931-1781+19184+505</f>
        <v>43987</v>
      </c>
      <c r="AV76" s="128"/>
      <c r="AW76" s="95" t="n">
        <f aca="false">IF(+O76-AS76+AU76&gt;0,O76-AS76+AU76,0)</f>
        <v>0</v>
      </c>
      <c r="AX76" s="128"/>
      <c r="AY76" s="136" t="n">
        <f aca="false">+AW76+AS76</f>
        <v>98863</v>
      </c>
      <c r="AZ76" s="128"/>
      <c r="BA76" s="95" t="n">
        <f aca="false">+O76-AY76</f>
        <v>-47932</v>
      </c>
    </row>
    <row r="77" customFormat="false" ht="12.75" hidden="false" customHeight="false" outlineLevel="0" collapsed="false">
      <c r="A77" s="145"/>
      <c r="B77" s="132" t="s">
        <v>239</v>
      </c>
      <c r="C77" s="132"/>
      <c r="D77" s="128"/>
      <c r="E77" s="128"/>
      <c r="F77" s="128"/>
      <c r="G77" s="128" t="s">
        <v>208</v>
      </c>
      <c r="H77" s="128"/>
      <c r="I77" s="128"/>
      <c r="J77" s="128"/>
      <c r="K77" s="133" t="n">
        <v>19817</v>
      </c>
      <c r="L77" s="128"/>
      <c r="M77" s="133" t="n">
        <v>0</v>
      </c>
      <c r="N77" s="128"/>
      <c r="O77" s="133" t="n">
        <f aca="false">SUM(K77:N77)</f>
        <v>19817</v>
      </c>
      <c r="P77" s="128"/>
      <c r="Q77" s="96" t="n">
        <v>0</v>
      </c>
      <c r="S77" s="96" t="n">
        <v>0</v>
      </c>
      <c r="AC77" s="96" t="n">
        <v>47192</v>
      </c>
      <c r="AG77" s="96" t="n">
        <f aca="false">359+705</f>
        <v>1064</v>
      </c>
      <c r="AO77" s="96" t="n">
        <v>575</v>
      </c>
      <c r="AS77" s="95" t="n">
        <f aca="false">SUM(P77:AR77)</f>
        <v>48831</v>
      </c>
      <c r="AT77" s="128"/>
      <c r="AU77" s="96" t="n">
        <f aca="false">48154-19817+102+575</f>
        <v>29014</v>
      </c>
      <c r="AV77" s="128"/>
      <c r="AW77" s="95" t="n">
        <f aca="false">IF(+O77-AS77+AU77&gt;0,O77-AS77+AU77,0)</f>
        <v>0</v>
      </c>
      <c r="AX77" s="128"/>
      <c r="AY77" s="95" t="n">
        <f aca="false">+AW77+AS77</f>
        <v>48831</v>
      </c>
      <c r="AZ77" s="128"/>
      <c r="BA77" s="95" t="n">
        <f aca="false">+O77-AY77</f>
        <v>-29014</v>
      </c>
    </row>
    <row r="78" customFormat="false" ht="12.75" hidden="false" customHeight="false" outlineLevel="0" collapsed="false">
      <c r="A78" s="145"/>
      <c r="B78" s="132" t="s">
        <v>240</v>
      </c>
      <c r="C78" s="132"/>
      <c r="D78" s="128"/>
      <c r="E78" s="128"/>
      <c r="F78" s="128"/>
      <c r="G78" s="128" t="s">
        <v>208</v>
      </c>
      <c r="H78" s="128"/>
      <c r="I78" s="128"/>
      <c r="J78" s="128"/>
      <c r="K78" s="133" t="n">
        <v>262088</v>
      </c>
      <c r="L78" s="128"/>
      <c r="M78" s="133" t="n">
        <v>0</v>
      </c>
      <c r="N78" s="128"/>
      <c r="O78" s="133" t="n">
        <f aca="false">SUM(K78:N78)</f>
        <v>262088</v>
      </c>
      <c r="P78" s="128"/>
      <c r="Q78" s="96" t="n">
        <v>0</v>
      </c>
      <c r="S78" s="96" t="n">
        <v>0</v>
      </c>
      <c r="Y78" s="96" t="n">
        <v>25522</v>
      </c>
      <c r="AC78" s="96" t="n">
        <v>103810</v>
      </c>
      <c r="AE78" s="96" t="n">
        <v>54933</v>
      </c>
      <c r="AG78" s="96" t="n">
        <f aca="false">57989+87643</f>
        <v>145632</v>
      </c>
      <c r="AI78" s="96" t="n">
        <v>3170</v>
      </c>
      <c r="AK78" s="96" t="n">
        <v>873</v>
      </c>
      <c r="AS78" s="95" t="n">
        <f aca="false">SUM(P78:AR78)</f>
        <v>333940</v>
      </c>
      <c r="AT78" s="128"/>
      <c r="AU78" s="96" t="n">
        <f aca="false">323912-262088+5985+6945-2902</f>
        <v>71852</v>
      </c>
      <c r="AV78" s="128"/>
      <c r="AW78" s="95" t="n">
        <f aca="false">IF(+O78-AS78+AU78&gt;0,O78-AS78+AU78,0)</f>
        <v>0</v>
      </c>
      <c r="AX78" s="128"/>
      <c r="AY78" s="95" t="n">
        <f aca="false">+AW78+AS78</f>
        <v>333940</v>
      </c>
      <c r="AZ78" s="128"/>
      <c r="BA78" s="95" t="n">
        <f aca="false">+O78-AY78</f>
        <v>-71852</v>
      </c>
    </row>
    <row r="79" customFormat="false" ht="12.75" hidden="false" customHeight="false" outlineLevel="0" collapsed="false">
      <c r="A79" s="145"/>
      <c r="B79" s="132" t="s">
        <v>241</v>
      </c>
      <c r="C79" s="132"/>
      <c r="D79" s="128"/>
      <c r="E79" s="128"/>
      <c r="F79" s="128"/>
      <c r="G79" s="128" t="s">
        <v>208</v>
      </c>
      <c r="H79" s="128"/>
      <c r="I79" s="128"/>
      <c r="J79" s="128"/>
      <c r="K79" s="133"/>
      <c r="L79" s="128"/>
      <c r="M79" s="133"/>
      <c r="N79" s="128"/>
      <c r="O79" s="133"/>
      <c r="P79" s="128"/>
      <c r="AT79" s="128"/>
      <c r="AU79" s="96" t="n">
        <v>0</v>
      </c>
      <c r="AV79" s="128"/>
      <c r="AW79" s="95" t="n">
        <f aca="false">IF(+O79-AS79+AU79&gt;0,O79-AS79+AU79,0)</f>
        <v>0</v>
      </c>
      <c r="AX79" s="128"/>
      <c r="AY79" s="95" t="n">
        <f aca="false">+AW79+AS79</f>
        <v>0</v>
      </c>
      <c r="AZ79" s="128"/>
      <c r="BA79" s="95" t="n">
        <f aca="false">+O79-AY79</f>
        <v>0</v>
      </c>
    </row>
    <row r="80" customFormat="false" ht="12.75" hidden="false" customHeight="false" outlineLevel="0" collapsed="false">
      <c r="A80" s="145"/>
      <c r="B80" s="132" t="s">
        <v>242</v>
      </c>
      <c r="C80" s="132"/>
      <c r="D80" s="128"/>
      <c r="E80" s="128"/>
      <c r="F80" s="128"/>
      <c r="G80" s="128" t="s">
        <v>208</v>
      </c>
      <c r="H80" s="128"/>
      <c r="I80" s="128"/>
      <c r="J80" s="128"/>
      <c r="K80" s="133" t="n">
        <v>187673</v>
      </c>
      <c r="L80" s="128"/>
      <c r="M80" s="133" t="n">
        <v>0</v>
      </c>
      <c r="N80" s="128"/>
      <c r="O80" s="133" t="n">
        <f aca="false">SUM(K80:N80)</f>
        <v>187673</v>
      </c>
      <c r="P80" s="128"/>
      <c r="Q80" s="96" t="n">
        <v>0</v>
      </c>
      <c r="S80" s="96" t="n">
        <v>0</v>
      </c>
      <c r="Y80" s="96" t="n">
        <v>2816</v>
      </c>
      <c r="AC80" s="96" t="n">
        <f aca="false">1835+17520+301.28+1336+20148.3</f>
        <v>41140.58</v>
      </c>
      <c r="AE80" s="96" t="n">
        <v>199342</v>
      </c>
      <c r="AG80" s="96" t="n">
        <f aca="false">102067+122725-142833+91897</f>
        <v>173856</v>
      </c>
      <c r="AI80" s="96" t="n">
        <f aca="false">11644+16810</f>
        <v>28454</v>
      </c>
      <c r="AO80" s="96" t="n">
        <v>1865</v>
      </c>
      <c r="AS80" s="95" t="n">
        <f aca="false">SUM(P80:AR80)</f>
        <v>447473.58</v>
      </c>
      <c r="AT80" s="128"/>
      <c r="AU80" s="96" t="n">
        <f aca="false">254350-187673+26013+4723+866+940+167365+463-9111+1865</f>
        <v>259801</v>
      </c>
      <c r="AV80" s="128"/>
      <c r="AW80" s="95" t="n">
        <f aca="false">IF(+O80-AS80+AU80&gt;0,O80-AS80+AU80,0)</f>
        <v>0.419999999983702</v>
      </c>
      <c r="AX80" s="128"/>
      <c r="AY80" s="135" t="n">
        <f aca="false">+AW80+AS80</f>
        <v>447474</v>
      </c>
      <c r="AZ80" s="128"/>
      <c r="BA80" s="95" t="n">
        <f aca="false">+O80-AY80</f>
        <v>-259801</v>
      </c>
    </row>
    <row r="81" customFormat="false" ht="12.75" hidden="false" customHeight="false" outlineLevel="0" collapsed="false">
      <c r="A81" s="145"/>
      <c r="B81" s="132" t="s">
        <v>243</v>
      </c>
      <c r="C81" s="132"/>
      <c r="D81" s="128"/>
      <c r="E81" s="128"/>
      <c r="F81" s="128"/>
      <c r="G81" s="128" t="s">
        <v>208</v>
      </c>
      <c r="H81" s="128"/>
      <c r="I81" s="128"/>
      <c r="J81" s="128"/>
      <c r="K81" s="133" t="n">
        <v>0</v>
      </c>
      <c r="L81" s="128"/>
      <c r="M81" s="133" t="n">
        <v>0</v>
      </c>
      <c r="N81" s="128"/>
      <c r="O81" s="133" t="n">
        <f aca="false">SUM(K81:N81)</f>
        <v>0</v>
      </c>
      <c r="P81" s="128"/>
      <c r="Q81" s="96" t="n">
        <v>0</v>
      </c>
      <c r="S81" s="96" t="n">
        <v>0</v>
      </c>
      <c r="AG81" s="96" t="n">
        <v>0</v>
      </c>
      <c r="AS81" s="95" t="n">
        <f aca="false">SUM(P81:AR81)</f>
        <v>0</v>
      </c>
      <c r="AT81" s="128"/>
      <c r="AU81" s="96" t="n">
        <f aca="false">4500+7000+4000-15500</f>
        <v>0</v>
      </c>
      <c r="AV81" s="128"/>
      <c r="AW81" s="95" t="n">
        <f aca="false">IF(+O81-AS81+AU81&gt;0,O81-AS81+AU81,0)</f>
        <v>0</v>
      </c>
      <c r="AX81" s="128"/>
      <c r="AY81" s="95" t="n">
        <f aca="false">+AW81+AS81</f>
        <v>0</v>
      </c>
      <c r="AZ81" s="128"/>
      <c r="BA81" s="95" t="n">
        <f aca="false">+O81-AY81</f>
        <v>0</v>
      </c>
    </row>
    <row r="82" customFormat="false" ht="12.75" hidden="false" customHeight="false" outlineLevel="0" collapsed="false">
      <c r="A82" s="145"/>
      <c r="B82" s="132" t="s">
        <v>244</v>
      </c>
      <c r="C82" s="132"/>
      <c r="D82" s="128"/>
      <c r="E82" s="128"/>
      <c r="F82" s="128"/>
      <c r="G82" s="128" t="s">
        <v>208</v>
      </c>
      <c r="H82" s="128"/>
      <c r="I82" s="128"/>
      <c r="J82" s="128"/>
      <c r="K82" s="133" t="n">
        <v>148167</v>
      </c>
      <c r="L82" s="128"/>
      <c r="M82" s="133" t="n">
        <v>0</v>
      </c>
      <c r="N82" s="128"/>
      <c r="O82" s="133" t="n">
        <f aca="false">SUM(K82:N82)</f>
        <v>148167</v>
      </c>
      <c r="P82" s="128"/>
      <c r="Q82" s="96" t="n">
        <v>0</v>
      </c>
      <c r="S82" s="96" t="n">
        <v>0</v>
      </c>
      <c r="Y82" s="96" t="n">
        <v>1230</v>
      </c>
      <c r="AC82" s="96" t="n">
        <v>19155</v>
      </c>
      <c r="AE82" s="96" t="n">
        <v>75682</v>
      </c>
      <c r="AG82" s="96" t="n">
        <f aca="false">193309+10890</f>
        <v>204199</v>
      </c>
      <c r="AK82" s="96" t="n">
        <v>194</v>
      </c>
      <c r="AS82" s="95" t="n">
        <f aca="false">SUM(P82:AR82)</f>
        <v>300460</v>
      </c>
      <c r="AT82" s="128"/>
      <c r="AU82" s="96" t="n">
        <f aca="false">264308-148167-5008+42719-1700-53</f>
        <v>152099</v>
      </c>
      <c r="AV82" s="128"/>
      <c r="AW82" s="95" t="n">
        <f aca="false">IF(+O82-AS82+AU82&gt;0,O82-AS82+AU82,0)</f>
        <v>0</v>
      </c>
      <c r="AX82" s="128"/>
      <c r="AY82" s="95" t="n">
        <f aca="false">+AW82+AS82</f>
        <v>300460</v>
      </c>
      <c r="AZ82" s="128"/>
      <c r="BA82" s="95" t="n">
        <f aca="false">+O82-AY82</f>
        <v>-152293</v>
      </c>
    </row>
    <row r="83" customFormat="false" ht="12.75" hidden="false" customHeight="false" outlineLevel="0" collapsed="false">
      <c r="A83" s="145"/>
      <c r="B83" s="132" t="s">
        <v>245</v>
      </c>
      <c r="C83" s="132"/>
      <c r="D83" s="128"/>
      <c r="E83" s="128"/>
      <c r="F83" s="128"/>
      <c r="G83" s="128" t="s">
        <v>208</v>
      </c>
      <c r="H83" s="128"/>
      <c r="I83" s="128"/>
      <c r="J83" s="128"/>
      <c r="K83" s="133"/>
      <c r="L83" s="128"/>
      <c r="M83" s="133"/>
      <c r="N83" s="128"/>
      <c r="O83" s="133"/>
      <c r="P83" s="128"/>
      <c r="AT83" s="128"/>
      <c r="AU83" s="96" t="n">
        <v>0</v>
      </c>
      <c r="AV83" s="128"/>
      <c r="AW83" s="95" t="n">
        <f aca="false">IF(+O83-AS83+AU83&gt;0,O83-AS83+AU83,0)</f>
        <v>0</v>
      </c>
      <c r="AX83" s="128"/>
      <c r="AY83" s="95" t="n">
        <f aca="false">+AW83+AS83</f>
        <v>0</v>
      </c>
      <c r="AZ83" s="128"/>
      <c r="BA83" s="95" t="n">
        <f aca="false">+O83-AY83</f>
        <v>0</v>
      </c>
    </row>
    <row r="84" customFormat="false" ht="12.75" hidden="false" customHeight="false" outlineLevel="0" collapsed="false">
      <c r="A84" s="145"/>
      <c r="B84" s="132" t="s">
        <v>242</v>
      </c>
      <c r="C84" s="132"/>
      <c r="D84" s="128"/>
      <c r="E84" s="128"/>
      <c r="F84" s="128"/>
      <c r="G84" s="128" t="s">
        <v>208</v>
      </c>
      <c r="H84" s="128"/>
      <c r="I84" s="128"/>
      <c r="J84" s="128"/>
      <c r="K84" s="133" t="n">
        <v>516773</v>
      </c>
      <c r="L84" s="128"/>
      <c r="M84" s="133" t="n">
        <v>0</v>
      </c>
      <c r="N84" s="128"/>
      <c r="O84" s="133" t="n">
        <f aca="false">SUM(K84:N84)</f>
        <v>516773</v>
      </c>
      <c r="P84" s="128"/>
      <c r="Q84" s="96" t="n">
        <v>0</v>
      </c>
      <c r="S84" s="96" t="n">
        <v>0</v>
      </c>
      <c r="U84" s="96" t="n">
        <v>0</v>
      </c>
      <c r="W84" s="96" t="n">
        <v>6361</v>
      </c>
      <c r="Y84" s="96" t="n">
        <v>2837</v>
      </c>
      <c r="AA84" s="96" t="n">
        <f aca="false">19400+360.72+730.45+23599+61916.06+127011.64+871.5+800+13265.71+35667.88+91.6+3428.19+7716.8+241+499.4+17418.24+3493.92+837.78+12701.85+6912.36</f>
        <v>336964.1</v>
      </c>
      <c r="AC84" s="96" t="n">
        <f aca="false">12229+2882.21+4622.25+2277.82+11622.63+542+1297.2+11247.85+4375+40079.82+122.5+957.67+836.81+2682</f>
        <v>95774.76</v>
      </c>
      <c r="AE84" s="96" t="n">
        <f aca="false">6628.25+37805.6+6817.19+3707.2+29109+610.4+6541.7</f>
        <v>91219.34</v>
      </c>
      <c r="AG84" s="96" t="n">
        <f aca="false">44546+164819+651.58+770939+7453+441149+93914+531+200864</f>
        <v>1724866.58</v>
      </c>
      <c r="AI84" s="96" t="n">
        <f aca="false">41855+99.33+1412.26+1254.09+15291+13038.52+12931.52+640+408</f>
        <v>86929.72</v>
      </c>
      <c r="AK84" s="96" t="n">
        <v>56730</v>
      </c>
      <c r="AM84" s="96" t="n">
        <v>13514</v>
      </c>
      <c r="AO84" s="96" t="n">
        <v>-1375</v>
      </c>
      <c r="AS84" s="95" t="n">
        <f aca="false">SUM(P84:AR84)</f>
        <v>2413821.5</v>
      </c>
      <c r="AT84" s="128"/>
      <c r="AU84" s="96" t="n">
        <f aca="false">538290-516773+79110+19604-3216+7934+468160-20616+250718+85356+4044+165133+38712+16181+1+76+268+965-1375</f>
        <v>1132572</v>
      </c>
      <c r="AV84" s="128"/>
      <c r="AW84" s="136" t="n">
        <f aca="false">IF(+O84-AS84+AU84&gt;0,O84-AS84+AU84,0)</f>
        <v>0</v>
      </c>
      <c r="AX84" s="128"/>
      <c r="AY84" s="136" t="n">
        <f aca="false">+AW84+AS84</f>
        <v>2413821.5</v>
      </c>
      <c r="AZ84" s="128"/>
      <c r="BA84" s="95" t="n">
        <f aca="false">+O84-AY84</f>
        <v>-1897048.5</v>
      </c>
    </row>
    <row r="85" customFormat="false" ht="12.75" hidden="false" customHeight="false" outlineLevel="0" collapsed="false">
      <c r="A85" s="145"/>
      <c r="B85" s="132" t="s">
        <v>243</v>
      </c>
      <c r="C85" s="132"/>
      <c r="D85" s="128"/>
      <c r="E85" s="128"/>
      <c r="F85" s="128"/>
      <c r="G85" s="128" t="s">
        <v>208</v>
      </c>
      <c r="H85" s="128"/>
      <c r="I85" s="128"/>
      <c r="J85" s="128"/>
      <c r="K85" s="133" t="n">
        <v>119562</v>
      </c>
      <c r="L85" s="128"/>
      <c r="M85" s="133" t="n">
        <v>0</v>
      </c>
      <c r="N85" s="128"/>
      <c r="O85" s="133" t="n">
        <f aca="false">SUM(K85:N85)</f>
        <v>119562</v>
      </c>
      <c r="P85" s="128"/>
      <c r="Q85" s="96" t="n">
        <v>0</v>
      </c>
      <c r="S85" s="96" t="n">
        <v>0</v>
      </c>
      <c r="AG85" s="96" t="n">
        <v>0</v>
      </c>
      <c r="AS85" s="95" t="n">
        <f aca="false">SUM(P85:AR85)</f>
        <v>0</v>
      </c>
      <c r="AT85" s="128"/>
      <c r="AU85" s="96" t="n">
        <f aca="false">-33473+32000+5496-16186-107399</f>
        <v>-119562</v>
      </c>
      <c r="AV85" s="128"/>
      <c r="AW85" s="95" t="n">
        <f aca="false">IF(+O85-AS85+AU85&gt;0,O85-AS85+AU85,0)</f>
        <v>0</v>
      </c>
      <c r="AX85" s="128"/>
      <c r="AY85" s="135" t="n">
        <f aca="false">+AW85+AS85</f>
        <v>0</v>
      </c>
      <c r="AZ85" s="128"/>
      <c r="BA85" s="95" t="n">
        <f aca="false">+O85-AY85</f>
        <v>119562</v>
      </c>
    </row>
    <row r="86" customFormat="false" ht="12.75" hidden="false" customHeight="false" outlineLevel="0" collapsed="false">
      <c r="A86" s="145"/>
      <c r="B86" s="132" t="s">
        <v>244</v>
      </c>
      <c r="C86" s="132"/>
      <c r="D86" s="128"/>
      <c r="E86" s="128"/>
      <c r="F86" s="128"/>
      <c r="G86" s="128" t="s">
        <v>208</v>
      </c>
      <c r="H86" s="128"/>
      <c r="I86" s="128"/>
      <c r="J86" s="128"/>
      <c r="K86" s="133" t="n">
        <v>546363</v>
      </c>
      <c r="L86" s="128"/>
      <c r="M86" s="133" t="n">
        <v>0</v>
      </c>
      <c r="N86" s="128"/>
      <c r="O86" s="133" t="n">
        <f aca="false">SUM(K86:N86)</f>
        <v>546363</v>
      </c>
      <c r="P86" s="128"/>
      <c r="Q86" s="96" t="n">
        <v>0</v>
      </c>
      <c r="S86" s="96" t="n">
        <v>0</v>
      </c>
      <c r="U86" s="96" t="n">
        <v>0</v>
      </c>
      <c r="Y86" s="96" t="n">
        <v>3598</v>
      </c>
      <c r="AC86" s="96" t="n">
        <v>66600</v>
      </c>
      <c r="AE86" s="96" t="n">
        <v>226484</v>
      </c>
      <c r="AG86" s="96" t="n">
        <f aca="false">433597+133738</f>
        <v>567335</v>
      </c>
      <c r="AI86" s="96" t="n">
        <v>192691</v>
      </c>
      <c r="AS86" s="95" t="n">
        <f aca="false">SUM(P86:AR86)</f>
        <v>1056708</v>
      </c>
      <c r="AT86" s="128"/>
      <c r="AU86" s="96" t="n">
        <f aca="false">673192-546363+170783+33483+43023+136227</f>
        <v>510345</v>
      </c>
      <c r="AV86" s="128"/>
      <c r="AW86" s="95" t="n">
        <f aca="false">IF(+O86-AS86+AU86&gt;0,O86-AS86+AU86,0)</f>
        <v>0</v>
      </c>
      <c r="AX86" s="128"/>
      <c r="AY86" s="135" t="n">
        <f aca="false">+AW86+AS86</f>
        <v>1056708</v>
      </c>
      <c r="AZ86" s="128"/>
      <c r="BA86" s="95" t="n">
        <f aca="false">+O86-AY86</f>
        <v>-510345</v>
      </c>
    </row>
    <row r="87" customFormat="false" ht="12.75" hidden="false" customHeight="false" outlineLevel="0" collapsed="false">
      <c r="A87" s="145"/>
      <c r="B87" s="132" t="s">
        <v>246</v>
      </c>
      <c r="C87" s="132"/>
      <c r="D87" s="128"/>
      <c r="E87" s="128"/>
      <c r="F87" s="128"/>
      <c r="G87" s="128" t="s">
        <v>208</v>
      </c>
      <c r="H87" s="128"/>
      <c r="I87" s="128"/>
      <c r="J87" s="128"/>
      <c r="K87" s="133" t="n">
        <v>189969</v>
      </c>
      <c r="L87" s="128"/>
      <c r="M87" s="133" t="n">
        <v>0</v>
      </c>
      <c r="N87" s="128"/>
      <c r="O87" s="133" t="n">
        <f aca="false">SUM(K87:N87)</f>
        <v>189969</v>
      </c>
      <c r="P87" s="128"/>
      <c r="Q87" s="96" t="n">
        <v>0</v>
      </c>
      <c r="S87" s="96" t="n">
        <v>0</v>
      </c>
      <c r="AC87" s="96" t="n">
        <f aca="false">2981+42435.36+50117.76+1230.78+1047.37+4514.6+4222.34+159.88+719.47+4514.6</f>
        <v>111943.16</v>
      </c>
      <c r="AE87" s="96" t="n">
        <v>56074</v>
      </c>
      <c r="AG87" s="96" t="n">
        <f aca="false">89801+69487+1870+42688+10031</f>
        <v>213877</v>
      </c>
      <c r="AI87" s="96" t="n">
        <v>22635</v>
      </c>
      <c r="AM87" s="96" t="n">
        <v>6187</v>
      </c>
      <c r="AO87" s="96" t="n">
        <v>4440</v>
      </c>
      <c r="AS87" s="95" t="n">
        <f aca="false">SUM(P87:AR87)</f>
        <v>415156.16</v>
      </c>
      <c r="AT87" s="128"/>
      <c r="AU87" s="96" t="n">
        <f aca="false">-5507+57245-3993-21374+71558+198586+44507+19020-20-139275+4440</f>
        <v>225187</v>
      </c>
      <c r="AV87" s="128"/>
      <c r="AW87" s="95" t="n">
        <f aca="false">IF(+O87-AS87+AU87&gt;0,O87-AS87+AU87,0)</f>
        <v>0</v>
      </c>
      <c r="AX87" s="128"/>
      <c r="AY87" s="135" t="n">
        <f aca="false">+AW87+AS87</f>
        <v>415156.16</v>
      </c>
      <c r="AZ87" s="128"/>
      <c r="BA87" s="95" t="n">
        <f aca="false">+O87-AY87</f>
        <v>-225187.16</v>
      </c>
    </row>
    <row r="88" customFormat="false" ht="12.75" hidden="false" customHeight="false" outlineLevel="0" collapsed="false">
      <c r="A88" s="145"/>
      <c r="B88" s="132" t="s">
        <v>247</v>
      </c>
      <c r="C88" s="132"/>
      <c r="D88" s="128"/>
      <c r="E88" s="128"/>
      <c r="F88" s="128"/>
      <c r="G88" s="128" t="s">
        <v>208</v>
      </c>
      <c r="H88" s="128"/>
      <c r="I88" s="128"/>
      <c r="J88" s="128"/>
      <c r="K88" s="133" t="n">
        <v>447894</v>
      </c>
      <c r="L88" s="128"/>
      <c r="M88" s="133" t="n">
        <v>0</v>
      </c>
      <c r="N88" s="128"/>
      <c r="O88" s="133" t="n">
        <f aca="false">SUM(K88:N88)</f>
        <v>447894</v>
      </c>
      <c r="P88" s="128"/>
      <c r="Q88" s="96" t="n">
        <v>0</v>
      </c>
      <c r="S88" s="96" t="n">
        <v>0</v>
      </c>
      <c r="AG88" s="96" t="n">
        <f aca="false">46674+28312.2</f>
        <v>74986.2</v>
      </c>
      <c r="AI88" s="96" t="n">
        <f aca="false">366768-71075</f>
        <v>295693</v>
      </c>
      <c r="AK88" s="96" t="n">
        <v>-55315</v>
      </c>
      <c r="AM88" s="96" t="n">
        <v>12549</v>
      </c>
      <c r="AS88" s="95" t="n">
        <f aca="false">SUM(P88:AR88)</f>
        <v>327913.2</v>
      </c>
      <c r="AT88" s="128"/>
      <c r="AU88" s="96" t="n">
        <f aca="false">406493-447894-30809-34000+28995-71075</f>
        <v>-148290</v>
      </c>
      <c r="AV88" s="128"/>
      <c r="AW88" s="95" t="n">
        <f aca="false">IF(+O88-AS88+AU88&gt;0,O88-AS88+AU88,0)</f>
        <v>0</v>
      </c>
      <c r="AX88" s="128"/>
      <c r="AY88" s="136" t="n">
        <f aca="false">+AW88+AS88</f>
        <v>327913.2</v>
      </c>
      <c r="AZ88" s="128"/>
      <c r="BA88" s="95" t="n">
        <f aca="false">+O88-AY88</f>
        <v>119980.8</v>
      </c>
    </row>
    <row r="89" customFormat="false" ht="12.75" hidden="false" customHeight="false" outlineLevel="0" collapsed="false">
      <c r="A89" s="145"/>
      <c r="B89" s="132" t="s">
        <v>248</v>
      </c>
      <c r="C89" s="132"/>
      <c r="D89" s="128"/>
      <c r="E89" s="128"/>
      <c r="F89" s="128"/>
      <c r="G89" s="128" t="s">
        <v>208</v>
      </c>
      <c r="H89" s="128"/>
      <c r="I89" s="128"/>
      <c r="J89" s="128"/>
      <c r="K89" s="133" t="n">
        <v>160658</v>
      </c>
      <c r="L89" s="128"/>
      <c r="M89" s="133" t="n">
        <v>0</v>
      </c>
      <c r="N89" s="128"/>
      <c r="O89" s="133" t="n">
        <f aca="false">SUM(K89:N89)</f>
        <v>160658</v>
      </c>
      <c r="P89" s="128"/>
      <c r="Q89" s="96" t="n">
        <v>0</v>
      </c>
      <c r="S89" s="96" t="n">
        <v>0</v>
      </c>
      <c r="AI89" s="96" t="n">
        <v>54000</v>
      </c>
      <c r="AM89" s="96" t="n">
        <v>201988</v>
      </c>
      <c r="AO89" s="96" t="n">
        <v>7500</v>
      </c>
      <c r="AS89" s="95" t="n">
        <f aca="false">SUM(P89:AR89)</f>
        <v>263488</v>
      </c>
      <c r="AT89" s="128"/>
      <c r="AU89" s="96" t="n">
        <f aca="false">167000-40000-23670-8000+7500</f>
        <v>102830</v>
      </c>
      <c r="AV89" s="128"/>
      <c r="AW89" s="95" t="n">
        <f aca="false">IF(+O89-AS89+AU89&gt;0,O89-AS89+AU89,0)</f>
        <v>0</v>
      </c>
      <c r="AX89" s="128"/>
      <c r="AY89" s="95" t="n">
        <f aca="false">+AW89+AS89</f>
        <v>263488</v>
      </c>
      <c r="AZ89" s="128"/>
      <c r="BA89" s="95" t="n">
        <f aca="false">+O89-AY89</f>
        <v>-102830</v>
      </c>
    </row>
    <row r="90" customFormat="false" ht="12.75" hidden="false" customHeight="false" outlineLevel="0" collapsed="false">
      <c r="A90" s="145"/>
      <c r="B90" s="132" t="s">
        <v>249</v>
      </c>
      <c r="C90" s="132"/>
      <c r="D90" s="128"/>
      <c r="E90" s="128"/>
      <c r="F90" s="128"/>
      <c r="G90" s="128" t="s">
        <v>208</v>
      </c>
      <c r="H90" s="128"/>
      <c r="I90" s="128"/>
      <c r="J90" s="128"/>
      <c r="K90" s="133" t="n">
        <v>184852</v>
      </c>
      <c r="L90" s="128"/>
      <c r="M90" s="133" t="n">
        <v>0</v>
      </c>
      <c r="N90" s="128"/>
      <c r="O90" s="133" t="n">
        <f aca="false">SUM(K90:N90)</f>
        <v>184852</v>
      </c>
      <c r="P90" s="128"/>
      <c r="Q90" s="96" t="n">
        <v>0</v>
      </c>
      <c r="S90" s="96" t="n">
        <v>0</v>
      </c>
      <c r="U90" s="96" t="n">
        <v>0</v>
      </c>
      <c r="W90" s="96" t="n">
        <v>990</v>
      </c>
      <c r="Y90" s="96" t="n">
        <v>24155</v>
      </c>
      <c r="AC90" s="96" t="n">
        <v>61326</v>
      </c>
      <c r="AE90" s="96" t="n">
        <v>74313</v>
      </c>
      <c r="AG90" s="96" t="n">
        <f aca="false">24225+562-1853+3175379</f>
        <v>3198313</v>
      </c>
      <c r="AI90" s="96" t="n">
        <v>1853</v>
      </c>
      <c r="AK90" s="96" t="n">
        <v>568639.67</v>
      </c>
      <c r="AO90" s="96" t="n">
        <v>-18</v>
      </c>
      <c r="AS90" s="95" t="n">
        <f aca="false">SUM(P90:AR90)</f>
        <v>3929571.67</v>
      </c>
      <c r="AT90" s="128"/>
      <c r="AU90" s="96" t="n">
        <f aca="false">180090-184852+3173+455+3696372-100-18</f>
        <v>3695120</v>
      </c>
      <c r="AV90" s="128"/>
      <c r="AW90" s="136" t="n">
        <f aca="false">IF(+O90-AS90+AU90&gt;0,O90-AS90+AU90,0)</f>
        <v>0</v>
      </c>
      <c r="AX90" s="128"/>
      <c r="AY90" s="135" t="n">
        <f aca="false">+AW90+AS90</f>
        <v>3929571.67</v>
      </c>
      <c r="AZ90" s="128"/>
      <c r="BA90" s="95" t="n">
        <f aca="false">+O90-AY90</f>
        <v>-3744719.67</v>
      </c>
    </row>
    <row r="91" customFormat="false" ht="12.75" hidden="false" customHeight="false" outlineLevel="0" collapsed="false">
      <c r="A91" s="145"/>
      <c r="B91" s="132" t="s">
        <v>250</v>
      </c>
      <c r="C91" s="132"/>
      <c r="D91" s="128"/>
      <c r="E91" s="128"/>
      <c r="F91" s="128"/>
      <c r="G91" s="128" t="s">
        <v>208</v>
      </c>
      <c r="H91" s="128"/>
      <c r="I91" s="128"/>
      <c r="J91" s="128"/>
      <c r="K91" s="133" t="n">
        <v>2065720</v>
      </c>
      <c r="L91" s="128"/>
      <c r="M91" s="133" t="n">
        <v>0</v>
      </c>
      <c r="N91" s="153"/>
      <c r="O91" s="133" t="n">
        <f aca="false">SUM(K91:N91)</f>
        <v>2065720</v>
      </c>
      <c r="P91" s="128"/>
      <c r="Q91" s="96" t="n">
        <v>0</v>
      </c>
      <c r="S91" s="96" t="n">
        <v>0</v>
      </c>
      <c r="U91" s="96" t="n">
        <f aca="false">3980+386</f>
        <v>4366</v>
      </c>
      <c r="W91" s="96" t="n">
        <v>9118</v>
      </c>
      <c r="Y91" s="96" t="n">
        <f aca="false">69183+258150+805</f>
        <v>328138</v>
      </c>
      <c r="AC91" s="96" t="n">
        <f aca="false">150356+85375.5+27444+37720.8+14114.88+1615.6+9761.17+1271.06+2920.32+1264.5+25516.1</f>
        <v>357359.93</v>
      </c>
      <c r="AE91" s="96" t="n">
        <f aca="false">62000+389601</f>
        <v>451601</v>
      </c>
      <c r="AG91" s="96" t="n">
        <f aca="false">756211+106330+5676+9931.05+555.4+43.61+864+24191+190404+271310+114629+42134+204425</f>
        <v>1726704.06</v>
      </c>
      <c r="AI91" s="96" t="n">
        <v>461180</v>
      </c>
      <c r="AK91" s="96" t="n">
        <v>119422</v>
      </c>
      <c r="AM91" s="96" t="n">
        <v>5572</v>
      </c>
      <c r="AO91" s="96" t="n">
        <v>21654</v>
      </c>
      <c r="AS91" s="95" t="n">
        <f aca="false">SUM(P91:AR91)</f>
        <v>3485114.99</v>
      </c>
      <c r="AT91" s="128"/>
      <c r="AU91" s="96" t="n">
        <f aca="false">2012139-2065720-92000+54858+42061+123096+971+59988+3081-100000+138344+26421+96919+220536+218621+254036+36841+334365+10000-5000-4089+4089-892+94+20900</f>
        <v>1389659</v>
      </c>
      <c r="AV91" s="128"/>
      <c r="AW91" s="136" t="n">
        <f aca="false">IF(+O91-AS91+AU91&gt;0,O91-AS91+AU91,0)</f>
        <v>0</v>
      </c>
      <c r="AX91" s="128"/>
      <c r="AY91" s="135" t="n">
        <f aca="false">+AW91+AS91</f>
        <v>3485114.99</v>
      </c>
      <c r="AZ91" s="128"/>
      <c r="BA91" s="95" t="n">
        <f aca="false">+O91-AY91</f>
        <v>-1419394.99</v>
      </c>
      <c r="BC91" s="157" t="s">
        <v>251</v>
      </c>
    </row>
    <row r="92" customFormat="false" ht="12.75" hidden="false" customHeight="false" outlineLevel="0" collapsed="false">
      <c r="A92" s="145"/>
      <c r="B92" s="132" t="s">
        <v>252</v>
      </c>
      <c r="C92" s="132"/>
      <c r="D92" s="128"/>
      <c r="E92" s="128"/>
      <c r="F92" s="128"/>
      <c r="G92" s="128" t="s">
        <v>208</v>
      </c>
      <c r="H92" s="128"/>
      <c r="I92" s="128"/>
      <c r="J92" s="128"/>
      <c r="K92" s="138" t="n">
        <v>3895281</v>
      </c>
      <c r="L92" s="128"/>
      <c r="M92" s="133" t="n">
        <v>3307345</v>
      </c>
      <c r="N92" s="153"/>
      <c r="O92" s="133" t="n">
        <f aca="false">SUM(K92:N92)</f>
        <v>7202626</v>
      </c>
      <c r="P92" s="128"/>
      <c r="Q92" s="96" t="n">
        <v>0</v>
      </c>
      <c r="S92" s="96" t="n">
        <f aca="false">96186+57141</f>
        <v>153327</v>
      </c>
      <c r="U92" s="96" t="n">
        <f aca="false">76188+76188</f>
        <v>152376</v>
      </c>
      <c r="W92" s="96" t="n">
        <f aca="false">15285+38094+43251</f>
        <v>96630</v>
      </c>
      <c r="Y92" s="96" t="n">
        <f aca="false">1203+775461+1584</f>
        <v>778248</v>
      </c>
      <c r="AA92" s="96" t="n">
        <f aca="false">32176+10055+111745+185992+6380+12066+7230+14324.31+47632+7167+20399+11703+5943+8384+13402+10392+16538+11531+62.09+10113.05+19494.53+6000+27.5+288.2+59612+123</f>
        <v>628779.68</v>
      </c>
      <c r="AC92" s="96" t="n">
        <f aca="false">1449202+706.25+718.5+3358.8+5420+2700.75+14174.5+5220+398.68+4253+874.5+1330.75+953.58+1129.66+136.44+24.16+64.5+24707.01+299.04+1839.04+297.46+627.98+1179.49+3233.73+21272.22+2400+272.6+200+1373.6+186.49+220+8233.2+983.75+77000+58440</f>
        <v>1693431.68</v>
      </c>
      <c r="AE92" s="96" t="n">
        <f aca="false">38635.08+19276.2+818.75+6170+719.75+1557.52+32503.01+5409.5+845+905.27+118.25+1057.68+8700.9+845+883+1330.76+2053.2+4073.49+12693.6+537.2+6486+1492409+3560.66+370.1+300.15+13050+1164.68+700.81+292.93+53000+1392.8+1261.1</f>
        <v>1713121.39</v>
      </c>
      <c r="AG92" s="96" t="n">
        <f aca="false">1514+732868+240.1+100+748.65+909.19+8610+10977+2238.7+34400+783.95+12720+199.1+439.75+313.5+1401+57.82+12523.2+1963+72+437.4+1329.08+650</f>
        <v>825495.44</v>
      </c>
      <c r="AI92" s="96" t="n">
        <f aca="false">900+108596+141928+71075+796.71</f>
        <v>323295.71</v>
      </c>
      <c r="AK92" s="96" t="n">
        <v>-63445</v>
      </c>
      <c r="AM92" s="96" t="n">
        <v>71376</v>
      </c>
      <c r="AO92" s="96" t="n">
        <v>6922</v>
      </c>
      <c r="AS92" s="95" t="n">
        <f aca="false">SUM(P92:AR92)</f>
        <v>6379557.9</v>
      </c>
      <c r="AT92" s="128"/>
      <c r="AU92" s="96" t="n">
        <f aca="false">7742040-7202626-274000+1184+48511-14251-1130849+6922</f>
        <v>-823069</v>
      </c>
      <c r="AV92" s="128"/>
      <c r="AW92" s="95" t="n">
        <f aca="false">IF(+O92-AS92+AU92&gt;0,O92-AS92+AU92,0)</f>
        <v>0</v>
      </c>
      <c r="AX92" s="128"/>
      <c r="AY92" s="95" t="n">
        <f aca="false">+AW92+AS92</f>
        <v>6379557.9</v>
      </c>
      <c r="AZ92" s="128"/>
      <c r="BA92" s="95" t="n">
        <f aca="false">+O92-AY92</f>
        <v>823068.100000001</v>
      </c>
    </row>
    <row r="93" customFormat="false" ht="12.75" hidden="false" customHeight="false" outlineLevel="0" collapsed="false">
      <c r="A93" s="145"/>
      <c r="B93" s="132" t="s">
        <v>253</v>
      </c>
      <c r="C93" s="132"/>
      <c r="D93" s="128"/>
      <c r="E93" s="128"/>
      <c r="F93" s="128"/>
      <c r="G93" s="128"/>
      <c r="H93" s="128"/>
      <c r="I93" s="128"/>
      <c r="J93" s="128"/>
      <c r="K93" s="133"/>
      <c r="L93" s="128"/>
      <c r="M93" s="138"/>
      <c r="N93" s="159"/>
      <c r="O93" s="138"/>
      <c r="P93" s="128"/>
      <c r="AK93" s="96" t="n">
        <f aca="false">1066.02+555.4+684.6+61.4+18956.2+1420+2047.2+1800-555.4+172.9+416.75</f>
        <v>26625.07</v>
      </c>
      <c r="AM93" s="96" t="n">
        <f aca="false">278.28+778.75+52686.02-2956.73+1408.46+122+1273.5</f>
        <v>53590.28</v>
      </c>
      <c r="AO93" s="96" t="n">
        <f aca="false">35259.75+1200+1057.63+10187.17</f>
        <v>47704.55</v>
      </c>
      <c r="AS93" s="95" t="n">
        <f aca="false">SUM(P93:AR93)</f>
        <v>127919.9</v>
      </c>
      <c r="AT93" s="128"/>
      <c r="AU93" s="96" t="n">
        <v>0</v>
      </c>
      <c r="AV93" s="128"/>
      <c r="AW93" s="95" t="n">
        <f aca="false">IF(+O93-AS93+AU93&gt;0,O93-AS93+AU93,0)</f>
        <v>0</v>
      </c>
      <c r="AX93" s="128"/>
      <c r="AY93" s="95" t="n">
        <f aca="false">+AW93+AS93</f>
        <v>127919.9</v>
      </c>
      <c r="AZ93" s="128"/>
      <c r="BA93" s="95" t="n">
        <f aca="false">+O93-AY93</f>
        <v>-127919.9</v>
      </c>
    </row>
    <row r="94" customFormat="false" ht="12.75" hidden="false" customHeight="false" outlineLevel="0" collapsed="false">
      <c r="A94" s="148"/>
      <c r="B94" s="132" t="s">
        <v>254</v>
      </c>
      <c r="C94" s="132"/>
      <c r="D94" s="128"/>
      <c r="E94" s="128"/>
      <c r="F94" s="128"/>
      <c r="G94" s="128"/>
      <c r="H94" s="128"/>
      <c r="I94" s="128"/>
      <c r="J94" s="128"/>
      <c r="K94" s="24" t="n">
        <f aca="false">SUM(K70:K92)</f>
        <v>11760953</v>
      </c>
      <c r="L94" s="128"/>
      <c r="M94" s="24" t="n">
        <f aca="false">SUM(M70:M92)</f>
        <v>3307345</v>
      </c>
      <c r="N94" s="128"/>
      <c r="O94" s="24" t="n">
        <f aca="false">SUM(O70:O92)</f>
        <v>15068298</v>
      </c>
      <c r="P94" s="128"/>
      <c r="Q94" s="154" t="n">
        <f aca="false">SUM(Q70:Q93)</f>
        <v>0</v>
      </c>
      <c r="R94" s="154"/>
      <c r="S94" s="154" t="n">
        <f aca="false">SUM(S70:S93)</f>
        <v>153327</v>
      </c>
      <c r="T94" s="154"/>
      <c r="U94" s="154" t="n">
        <f aca="false">SUM(U70:U93)</f>
        <v>1189900</v>
      </c>
      <c r="V94" s="154"/>
      <c r="W94" s="154" t="n">
        <f aca="false">SUM(W70:W93)</f>
        <v>461116</v>
      </c>
      <c r="X94" s="154"/>
      <c r="Y94" s="154" t="n">
        <f aca="false">SUM(Y70:Y93)</f>
        <v>1594323</v>
      </c>
      <c r="Z94" s="154"/>
      <c r="AA94" s="154" t="n">
        <f aca="false">SUM(AA70:AA93)</f>
        <v>965743.78</v>
      </c>
      <c r="AB94" s="154"/>
      <c r="AC94" s="154" t="n">
        <f aca="false">SUM(AC70:AC93)</f>
        <v>2922488.11</v>
      </c>
      <c r="AD94" s="154"/>
      <c r="AE94" s="154" t="n">
        <f aca="false">SUM(AE70:AE93)</f>
        <v>3187609.73</v>
      </c>
      <c r="AF94" s="154"/>
      <c r="AG94" s="154" t="n">
        <f aca="false">SUM(AG70:AG93)</f>
        <v>9379773.28</v>
      </c>
      <c r="AH94" s="154"/>
      <c r="AI94" s="154" t="n">
        <f aca="false">SUM(AI70:AI93)</f>
        <v>1661736.43</v>
      </c>
      <c r="AJ94" s="154"/>
      <c r="AK94" s="154" t="n">
        <f aca="false">SUM(AK70:AK93)</f>
        <v>655147.74</v>
      </c>
      <c r="AL94" s="129"/>
      <c r="AM94" s="154" t="n">
        <f aca="false">SUM(AM70:AM93)</f>
        <v>432619.28</v>
      </c>
      <c r="AN94" s="129"/>
      <c r="AO94" s="154" t="n">
        <f aca="false">SUM(AO70:AO93)</f>
        <v>91109.55</v>
      </c>
      <c r="AP94" s="129"/>
      <c r="AQ94" s="154" t="n">
        <f aca="false">SUM(AQ70:AQ93)</f>
        <v>0</v>
      </c>
      <c r="AR94" s="129"/>
      <c r="AS94" s="155" t="n">
        <f aca="false">SUM(AS70:AS93)</f>
        <v>22694893.9</v>
      </c>
      <c r="AT94" s="128"/>
      <c r="AU94" s="154" t="n">
        <f aca="false">SUM(AU70:AU93)</f>
        <v>6583237</v>
      </c>
      <c r="AV94" s="128"/>
      <c r="AW94" s="155" t="n">
        <f aca="false">SUM(AW70:AW93)</f>
        <v>0.419999999983702</v>
      </c>
      <c r="AX94" s="128"/>
      <c r="AY94" s="155" t="n">
        <f aca="false">SUM(AY70:AY93)</f>
        <v>22694894.32</v>
      </c>
      <c r="AZ94" s="128"/>
      <c r="BA94" s="154" t="n">
        <f aca="false">SUM(BA70:BA93)</f>
        <v>-7626596.32</v>
      </c>
    </row>
    <row r="95" customFormat="false" ht="12.75" hidden="false" customHeight="false" outlineLevel="0" collapsed="false">
      <c r="A95" s="145"/>
      <c r="B95" s="132"/>
      <c r="C95" s="132"/>
      <c r="D95" s="128"/>
      <c r="E95" s="128"/>
      <c r="F95" s="128"/>
      <c r="G95" s="128"/>
      <c r="H95" s="128"/>
      <c r="I95" s="128"/>
      <c r="J95" s="128"/>
      <c r="L95" s="128"/>
      <c r="N95" s="128"/>
      <c r="P95" s="128"/>
      <c r="AT95" s="128"/>
      <c r="AV95" s="128"/>
      <c r="AX95" s="128"/>
      <c r="AZ95" s="128"/>
    </row>
    <row r="96" customFormat="false" ht="12.75" hidden="false" customHeight="false" outlineLevel="0" collapsed="false">
      <c r="A96" s="152" t="s">
        <v>255</v>
      </c>
      <c r="B96" s="132"/>
      <c r="C96" s="132"/>
      <c r="D96" s="128"/>
      <c r="E96" s="128"/>
      <c r="F96" s="128"/>
      <c r="G96" s="128"/>
      <c r="H96" s="128"/>
      <c r="I96" s="128"/>
      <c r="J96" s="128"/>
      <c r="L96" s="128"/>
      <c r="N96" s="128"/>
      <c r="P96" s="128"/>
      <c r="AT96" s="128"/>
      <c r="AV96" s="128"/>
      <c r="AX96" s="128"/>
      <c r="AZ96" s="128"/>
    </row>
    <row r="97" customFormat="false" ht="12.75" hidden="false" customHeight="false" outlineLevel="0" collapsed="false">
      <c r="A97" s="152"/>
      <c r="B97" s="132" t="s">
        <v>256</v>
      </c>
      <c r="C97" s="132" t="s">
        <v>207</v>
      </c>
      <c r="D97" s="128"/>
      <c r="E97" s="128" t="s">
        <v>173</v>
      </c>
      <c r="F97" s="128"/>
      <c r="G97" s="128" t="s">
        <v>208</v>
      </c>
      <c r="H97" s="128"/>
      <c r="I97" s="128" t="s">
        <v>174</v>
      </c>
      <c r="J97" s="128"/>
      <c r="K97" s="133" t="n">
        <v>561095</v>
      </c>
      <c r="L97" s="128"/>
      <c r="M97" s="133" t="n">
        <v>0</v>
      </c>
      <c r="N97" s="128"/>
      <c r="O97" s="133" t="n">
        <f aca="false">SUM(K97:N97)</f>
        <v>561095</v>
      </c>
      <c r="P97" s="128"/>
      <c r="Q97" s="96" t="n">
        <v>0</v>
      </c>
      <c r="S97" s="96" t="n">
        <v>0</v>
      </c>
      <c r="U97" s="96" t="n">
        <v>122479</v>
      </c>
      <c r="W97" s="96" t="n">
        <v>32686</v>
      </c>
      <c r="Y97" s="96" t="n">
        <v>37074</v>
      </c>
      <c r="AC97" s="96" t="n">
        <v>54446</v>
      </c>
      <c r="AE97" s="96" t="n">
        <f aca="false">135.69+45189</f>
        <v>45324.69</v>
      </c>
      <c r="AG97" s="96" t="n">
        <f aca="false">35945+10909</f>
        <v>46854</v>
      </c>
      <c r="AI97" s="96" t="n">
        <v>2052</v>
      </c>
      <c r="AM97" s="96" t="n">
        <v>231</v>
      </c>
      <c r="AS97" s="95" t="n">
        <f aca="false">SUM(P97:AR97)</f>
        <v>341146.69</v>
      </c>
      <c r="AT97" s="128"/>
      <c r="AU97" s="96" t="n">
        <f aca="false">320853-561095+95622-7568-7492-19784-21665-18819-213000</f>
        <v>-432948</v>
      </c>
      <c r="AV97" s="128"/>
      <c r="AW97" s="136" t="n">
        <f aca="false">IF(+O97-AS97+AU97&gt;0,O97-AS97+AU97,0)+822996</f>
        <v>822996</v>
      </c>
      <c r="AX97" s="128"/>
      <c r="AY97" s="95" t="n">
        <f aca="false">+AW97+AS97</f>
        <v>1164142.69</v>
      </c>
      <c r="AZ97" s="128"/>
      <c r="BA97" s="95" t="n">
        <f aca="false">+O97-AY97</f>
        <v>-603047.69</v>
      </c>
    </row>
    <row r="98" customFormat="false" ht="12.75" hidden="false" customHeight="false" outlineLevel="0" collapsed="false">
      <c r="A98" s="152"/>
      <c r="B98" s="132" t="s">
        <v>257</v>
      </c>
      <c r="C98" s="132"/>
      <c r="D98" s="128"/>
      <c r="E98" s="128"/>
      <c r="F98" s="128"/>
      <c r="G98" s="128" t="s">
        <v>208</v>
      </c>
      <c r="H98" s="128"/>
      <c r="I98" s="128"/>
      <c r="J98" s="128"/>
      <c r="K98" s="133" t="n">
        <v>69206</v>
      </c>
      <c r="L98" s="128"/>
      <c r="M98" s="133" t="n">
        <v>0</v>
      </c>
      <c r="N98" s="128"/>
      <c r="O98" s="133" t="n">
        <f aca="false">SUM(K98:N98)</f>
        <v>69206</v>
      </c>
      <c r="P98" s="128"/>
      <c r="Q98" s="96" t="n">
        <v>0</v>
      </c>
      <c r="S98" s="96" t="n">
        <v>0</v>
      </c>
      <c r="U98" s="96" t="n">
        <v>6806</v>
      </c>
      <c r="W98" s="96" t="n">
        <v>6554</v>
      </c>
      <c r="Y98" s="96" t="n">
        <v>24343</v>
      </c>
      <c r="AE98" s="96" t="n">
        <v>27624</v>
      </c>
      <c r="AG98" s="96" t="n">
        <f aca="false">5210+2290</f>
        <v>7500</v>
      </c>
      <c r="AI98" s="96" t="n">
        <v>12600</v>
      </c>
      <c r="AK98" s="96" t="n">
        <v>152</v>
      </c>
      <c r="AS98" s="95" t="n">
        <f aca="false">SUM(P98:AR98)</f>
        <v>85579</v>
      </c>
      <c r="AT98" s="128"/>
      <c r="AU98" s="96" t="n">
        <f aca="false">66389-69206+9238+10739+5845+27093-33725</f>
        <v>16373</v>
      </c>
      <c r="AV98" s="128"/>
      <c r="AW98" s="95" t="n">
        <f aca="false">IF(+O98-AS98+AU98&gt;0,O98-AS98+AU98,0)</f>
        <v>0</v>
      </c>
      <c r="AX98" s="128"/>
      <c r="AY98" s="95" t="n">
        <f aca="false">+AW98+AS98</f>
        <v>85579</v>
      </c>
      <c r="AZ98" s="128"/>
      <c r="BA98" s="95" t="n">
        <f aca="false">+O98-AY98</f>
        <v>-16373</v>
      </c>
    </row>
    <row r="99" customFormat="false" ht="12.75" hidden="false" customHeight="false" outlineLevel="0" collapsed="false">
      <c r="A99" s="152"/>
      <c r="B99" s="132" t="s">
        <v>258</v>
      </c>
      <c r="C99" s="132"/>
      <c r="D99" s="128"/>
      <c r="E99" s="128"/>
      <c r="F99" s="128"/>
      <c r="G99" s="128" t="s">
        <v>208</v>
      </c>
      <c r="H99" s="128"/>
      <c r="I99" s="128"/>
      <c r="J99" s="128"/>
      <c r="K99" s="133" t="n">
        <v>887183</v>
      </c>
      <c r="L99" s="128"/>
      <c r="M99" s="133" t="n">
        <v>0</v>
      </c>
      <c r="N99" s="128"/>
      <c r="O99" s="133" t="n">
        <f aca="false">SUM(K99:N99)</f>
        <v>887183</v>
      </c>
      <c r="P99" s="128"/>
      <c r="Q99" s="96" t="n">
        <v>0</v>
      </c>
      <c r="S99" s="96" t="n">
        <v>0</v>
      </c>
      <c r="U99" s="96" t="n">
        <v>34493</v>
      </c>
      <c r="W99" s="96" t="n">
        <v>107452</v>
      </c>
      <c r="Y99" s="96" t="n">
        <f aca="false">9446+58480</f>
        <v>67926</v>
      </c>
      <c r="AC99" s="96" t="n">
        <v>135400</v>
      </c>
      <c r="AE99" s="96" t="n">
        <v>197804</v>
      </c>
      <c r="AG99" s="96" t="n">
        <f aca="false">141803+145619</f>
        <v>287422</v>
      </c>
      <c r="AI99" s="96" t="n">
        <v>227079</v>
      </c>
      <c r="AK99" s="96" t="n">
        <v>22112</v>
      </c>
      <c r="AM99" s="96" t="n">
        <v>45004</v>
      </c>
      <c r="AO99" s="96" t="n">
        <v>14298</v>
      </c>
      <c r="AS99" s="95" t="n">
        <f aca="false">SUM(P99:AR99)</f>
        <v>1138990</v>
      </c>
      <c r="AT99" s="128"/>
      <c r="AU99" s="96" t="n">
        <f aca="false">895158-887183+28245+56579+90195+64738+29700-39923+14298</f>
        <v>251807</v>
      </c>
      <c r="AV99" s="128"/>
      <c r="AW99" s="95" t="n">
        <f aca="false">IF(+O99-AS99+AU99&gt;0,O99-AS99+AU99,0)</f>
        <v>0</v>
      </c>
      <c r="AX99" s="128"/>
      <c r="AY99" s="95" t="n">
        <f aca="false">+AW99+AS99</f>
        <v>1138990</v>
      </c>
      <c r="AZ99" s="128"/>
      <c r="BA99" s="95" t="n">
        <f aca="false">+O99-AY99</f>
        <v>-251807</v>
      </c>
    </row>
    <row r="100" customFormat="false" ht="12.75" hidden="false" customHeight="false" outlineLevel="0" collapsed="false">
      <c r="A100" s="152"/>
      <c r="B100" s="132" t="s">
        <v>259</v>
      </c>
      <c r="C100" s="132"/>
      <c r="D100" s="128"/>
      <c r="E100" s="128" t="s">
        <v>173</v>
      </c>
      <c r="F100" s="128"/>
      <c r="G100" s="128" t="s">
        <v>208</v>
      </c>
      <c r="H100" s="128"/>
      <c r="I100" s="128" t="s">
        <v>174</v>
      </c>
      <c r="J100" s="128"/>
      <c r="K100" s="133" t="n">
        <f aca="false">3827456+1412082+1237930</f>
        <v>6477468</v>
      </c>
      <c r="L100" s="128"/>
      <c r="M100" s="133" t="n">
        <v>0</v>
      </c>
      <c r="N100" s="128"/>
      <c r="O100" s="133" t="n">
        <f aca="false">SUM(K100:N100)</f>
        <v>6477468</v>
      </c>
      <c r="P100" s="128"/>
      <c r="Q100" s="96" t="n">
        <v>0</v>
      </c>
      <c r="S100" s="96" t="n">
        <v>0</v>
      </c>
      <c r="U100" s="96" t="n">
        <v>910946</v>
      </c>
      <c r="W100" s="96" t="n">
        <v>398385</v>
      </c>
      <c r="Y100" s="96" t="n">
        <f aca="false">291888+426759</f>
        <v>718647</v>
      </c>
      <c r="AC100" s="96" t="n">
        <v>505070</v>
      </c>
      <c r="AE100" s="96" t="n">
        <v>767510</v>
      </c>
      <c r="AG100" s="96" t="n">
        <f aca="false">846131+755968-1512675</f>
        <v>89424</v>
      </c>
      <c r="AI100" s="96" t="n">
        <f aca="false">1512675+420392</f>
        <v>1933067</v>
      </c>
      <c r="AS100" s="95" t="n">
        <f aca="false">SUM(P100:AR100)</f>
        <v>5323049</v>
      </c>
      <c r="AT100" s="128"/>
      <c r="AU100" s="96" t="n">
        <f aca="false">3037385-3827456+361966+68081-76645+99613+294303-172526+32783+20320-6208-986035</f>
        <v>-1154419</v>
      </c>
      <c r="AV100" s="128"/>
      <c r="AW100" s="95" t="n">
        <f aca="false">IF(+O100-AS100+AU100&gt;0,O100-AS100+AU100,0)</f>
        <v>0</v>
      </c>
      <c r="AX100" s="128"/>
      <c r="AY100" s="95" t="n">
        <f aca="false">+AW100+AS100</f>
        <v>5323049</v>
      </c>
      <c r="AZ100" s="128"/>
      <c r="BA100" s="95" t="n">
        <f aca="false">+O100-AY100</f>
        <v>1154419</v>
      </c>
    </row>
    <row r="101" customFormat="false" ht="12.75" hidden="false" customHeight="false" outlineLevel="0" collapsed="false">
      <c r="A101" s="152"/>
      <c r="B101" s="132" t="s">
        <v>260</v>
      </c>
      <c r="C101" s="132"/>
      <c r="D101" s="128"/>
      <c r="E101" s="128"/>
      <c r="F101" s="128"/>
      <c r="G101" s="128"/>
      <c r="H101" s="128"/>
      <c r="I101" s="128"/>
      <c r="J101" s="128"/>
      <c r="K101" s="138" t="n">
        <v>815943</v>
      </c>
      <c r="L101" s="128"/>
      <c r="M101" s="138" t="n">
        <v>0</v>
      </c>
      <c r="N101" s="128"/>
      <c r="O101" s="138" t="n">
        <f aca="false">SUM(K101:N101)</f>
        <v>815943</v>
      </c>
      <c r="P101" s="128"/>
      <c r="Q101" s="96" t="n">
        <v>0</v>
      </c>
      <c r="S101" s="96" t="n">
        <v>0</v>
      </c>
      <c r="U101" s="96" t="n">
        <v>11418</v>
      </c>
      <c r="W101" s="96" t="n">
        <v>60048</v>
      </c>
      <c r="Y101" s="96" t="n">
        <f aca="false">4612+45989+3582+6093-11418</f>
        <v>48858</v>
      </c>
      <c r="AC101" s="96" t="n">
        <v>120993</v>
      </c>
      <c r="AE101" s="96" t="n">
        <v>220735</v>
      </c>
      <c r="AG101" s="96" t="n">
        <f aca="false">440188+351293-467208</f>
        <v>324273</v>
      </c>
      <c r="AI101" s="96" t="n">
        <f aca="false">467208+133908</f>
        <v>601116</v>
      </c>
      <c r="AK101" s="96" t="n">
        <v>299255</v>
      </c>
      <c r="AM101" s="96" t="n">
        <v>284632</v>
      </c>
      <c r="AO101" s="96" t="n">
        <v>177738</v>
      </c>
      <c r="AS101" s="95" t="n">
        <f aca="false">SUM(P101:AR101)</f>
        <v>2149066</v>
      </c>
      <c r="AT101" s="128"/>
      <c r="AU101" s="96" t="n">
        <f aca="false">747249-815943+39078-2-20884+794766+399529-11342+9723-42261</f>
        <v>1099913</v>
      </c>
      <c r="AV101" s="128"/>
      <c r="AW101" s="136" t="n">
        <f aca="false">IF(+O101-AS101+AU101&gt;0,O101-AS101+AU101,0)</f>
        <v>0</v>
      </c>
      <c r="AX101" s="128"/>
      <c r="AY101" s="160" t="n">
        <f aca="false">+AW101+AS101</f>
        <v>2149066</v>
      </c>
      <c r="AZ101" s="128"/>
      <c r="BA101" s="95" t="n">
        <f aca="false">+O101-AY101</f>
        <v>-1333123</v>
      </c>
    </row>
    <row r="102" customFormat="false" ht="12.75" hidden="false" customHeight="false" outlineLevel="0" collapsed="false">
      <c r="A102" s="148"/>
      <c r="B102" s="132" t="s">
        <v>261</v>
      </c>
      <c r="C102" s="132"/>
      <c r="D102" s="128"/>
      <c r="E102" s="128"/>
      <c r="F102" s="128"/>
      <c r="G102" s="128"/>
      <c r="H102" s="128"/>
      <c r="I102" s="128"/>
      <c r="J102" s="128"/>
      <c r="K102" s="24" t="n">
        <f aca="false">SUM(K97:K101)</f>
        <v>8810895</v>
      </c>
      <c r="L102" s="128"/>
      <c r="M102" s="24" t="n">
        <f aca="false">SUM(M97:M101)</f>
        <v>0</v>
      </c>
      <c r="N102" s="128"/>
      <c r="O102" s="24" t="n">
        <f aca="false">SUM(O97:O101)</f>
        <v>8810895</v>
      </c>
      <c r="P102" s="128"/>
      <c r="Q102" s="154" t="n">
        <f aca="false">SUM(Q97:Q101)</f>
        <v>0</v>
      </c>
      <c r="S102" s="154" t="n">
        <f aca="false">SUM(S97:S101)</f>
        <v>0</v>
      </c>
      <c r="U102" s="154" t="n">
        <f aca="false">SUM(U97:U101)</f>
        <v>1086142</v>
      </c>
      <c r="W102" s="154" t="n">
        <f aca="false">SUM(W97:W101)</f>
        <v>605125</v>
      </c>
      <c r="Y102" s="154" t="n">
        <f aca="false">SUM(Y97:Y101)</f>
        <v>896848</v>
      </c>
      <c r="AA102" s="154" t="n">
        <f aca="false">SUM(AA97:AA101)</f>
        <v>0</v>
      </c>
      <c r="AC102" s="154" t="n">
        <f aca="false">SUM(AC97:AC101)</f>
        <v>815909</v>
      </c>
      <c r="AE102" s="154" t="n">
        <f aca="false">SUM(AE97:AE101)</f>
        <v>1258997.69</v>
      </c>
      <c r="AF102" s="129"/>
      <c r="AG102" s="154" t="n">
        <f aca="false">SUM(AG97:AG101)</f>
        <v>755473</v>
      </c>
      <c r="AH102" s="129"/>
      <c r="AI102" s="154" t="n">
        <f aca="false">SUM(AI97:AI101)</f>
        <v>2775914</v>
      </c>
      <c r="AJ102" s="129"/>
      <c r="AK102" s="154" t="n">
        <f aca="false">SUM(AK97:AK101)</f>
        <v>321519</v>
      </c>
      <c r="AL102" s="129"/>
      <c r="AM102" s="154" t="n">
        <f aca="false">SUM(AM97:AM101)</f>
        <v>329867</v>
      </c>
      <c r="AN102" s="129"/>
      <c r="AO102" s="154" t="n">
        <f aca="false">SUM(AO97:AO101)</f>
        <v>192036</v>
      </c>
      <c r="AP102" s="129"/>
      <c r="AQ102" s="154" t="n">
        <f aca="false">SUM(AQ97:AQ101)</f>
        <v>0</v>
      </c>
      <c r="AR102" s="129"/>
      <c r="AS102" s="155" t="n">
        <f aca="false">SUM(AS97:AS101)</f>
        <v>9037830.69</v>
      </c>
      <c r="AT102" s="128"/>
      <c r="AU102" s="154" t="n">
        <f aca="false">SUM(AU97:AU101)</f>
        <v>-219274</v>
      </c>
      <c r="AV102" s="128"/>
      <c r="AW102" s="155" t="n">
        <f aca="false">SUM(AW97:AW101)</f>
        <v>822996</v>
      </c>
      <c r="AX102" s="128"/>
      <c r="AY102" s="24" t="n">
        <f aca="false">SUM(AY97:AY101)</f>
        <v>9860826.69</v>
      </c>
      <c r="AZ102" s="128"/>
      <c r="BA102" s="154" t="n">
        <f aca="false">SUM(BA97:BA101)</f>
        <v>-1049931.69</v>
      </c>
    </row>
    <row r="103" customFormat="false" ht="12.75" hidden="false" customHeight="false" outlineLevel="0" collapsed="false">
      <c r="A103" s="161" t="s">
        <v>262</v>
      </c>
      <c r="B103" s="132"/>
      <c r="C103" s="132"/>
      <c r="D103" s="128"/>
      <c r="E103" s="128"/>
      <c r="F103" s="128"/>
      <c r="G103" s="128"/>
      <c r="H103" s="128"/>
      <c r="I103" s="128"/>
      <c r="J103" s="128"/>
      <c r="K103" s="24"/>
      <c r="L103" s="128"/>
      <c r="M103" s="24"/>
      <c r="N103" s="128"/>
      <c r="O103" s="24"/>
      <c r="P103" s="128"/>
      <c r="Q103" s="129"/>
      <c r="S103" s="129"/>
      <c r="U103" s="129"/>
      <c r="W103" s="129"/>
      <c r="Y103" s="129"/>
      <c r="AA103" s="129"/>
      <c r="AC103" s="129"/>
      <c r="AE103" s="129"/>
      <c r="AF103" s="129"/>
      <c r="AG103" s="129"/>
      <c r="AH103" s="129"/>
      <c r="AI103" s="129"/>
      <c r="AJ103" s="129"/>
      <c r="AK103" s="129"/>
      <c r="AL103" s="129"/>
      <c r="AM103" s="129"/>
      <c r="AN103" s="129"/>
      <c r="AO103" s="129"/>
      <c r="AP103" s="129"/>
      <c r="AQ103" s="129"/>
      <c r="AR103" s="129"/>
      <c r="AS103" s="24" t="n">
        <v>0</v>
      </c>
      <c r="AT103" s="128"/>
      <c r="AU103" s="162" t="n">
        <v>284000</v>
      </c>
      <c r="AV103" s="128"/>
      <c r="AW103" s="162" t="n">
        <v>284000</v>
      </c>
      <c r="AX103" s="128"/>
      <c r="AY103" s="24" t="n">
        <f aca="false">+AW103+AS103</f>
        <v>284000</v>
      </c>
      <c r="AZ103" s="128"/>
      <c r="BA103" s="95" t="n">
        <f aca="false">+O103-AY103</f>
        <v>-284000</v>
      </c>
    </row>
    <row r="104" customFormat="false" ht="12.75" hidden="false" customHeight="false" outlineLevel="0" collapsed="false">
      <c r="A104" s="152" t="s">
        <v>263</v>
      </c>
      <c r="B104" s="132"/>
      <c r="C104" s="132" t="s">
        <v>207</v>
      </c>
      <c r="D104" s="128"/>
      <c r="E104" s="128" t="s">
        <v>173</v>
      </c>
      <c r="F104" s="128"/>
      <c r="G104" s="128" t="s">
        <v>208</v>
      </c>
      <c r="H104" s="128"/>
      <c r="I104" s="128" t="s">
        <v>174</v>
      </c>
      <c r="J104" s="128"/>
      <c r="K104" s="163" t="n">
        <v>726500</v>
      </c>
      <c r="L104" s="128"/>
      <c r="M104" s="163" t="n">
        <v>0</v>
      </c>
      <c r="N104" s="128"/>
      <c r="O104" s="163" t="n">
        <f aca="false">SUM(K104:N104)</f>
        <v>726500</v>
      </c>
      <c r="P104" s="128"/>
      <c r="Q104" s="129" t="n">
        <v>0</v>
      </c>
      <c r="S104" s="129" t="n">
        <v>0</v>
      </c>
      <c r="U104" s="129" t="n">
        <v>38226</v>
      </c>
      <c r="W104" s="129" t="n">
        <v>17728</v>
      </c>
      <c r="Y104" s="129" t="n">
        <f aca="false">2546023.1-2501005-205.52</f>
        <v>44812.5800000001</v>
      </c>
      <c r="AA104" s="129"/>
      <c r="AC104" s="129" t="n">
        <v>54996</v>
      </c>
      <c r="AE104" s="129" t="n">
        <v>73759</v>
      </c>
      <c r="AF104" s="129"/>
      <c r="AG104" s="129" t="n">
        <f aca="false">62190+53711</f>
        <v>115901</v>
      </c>
      <c r="AH104" s="129"/>
      <c r="AI104" s="129" t="n">
        <v>40490</v>
      </c>
      <c r="AJ104" s="129"/>
      <c r="AK104" s="129" t="n">
        <v>6865</v>
      </c>
      <c r="AL104" s="129"/>
      <c r="AM104" s="129" t="n">
        <v>12760</v>
      </c>
      <c r="AN104" s="129"/>
      <c r="AO104" s="129" t="n">
        <f aca="false">1251.54+2986.4</f>
        <v>4237.94</v>
      </c>
      <c r="AP104" s="129"/>
      <c r="AQ104" s="129"/>
      <c r="AR104" s="129"/>
      <c r="AS104" s="95" t="n">
        <f aca="false">SUM(P104:AR104)</f>
        <v>409775.52</v>
      </c>
      <c r="AT104" s="128"/>
      <c r="AU104" s="129" t="n">
        <f aca="false">4238</f>
        <v>4238</v>
      </c>
      <c r="AV104" s="128"/>
      <c r="AW104" s="136" t="n">
        <f aca="false">IF(+O104-AS104+AU104&gt;0,O104-AS104+AU104,0)-320962</f>
        <v>0.479999999923166</v>
      </c>
      <c r="AX104" s="128"/>
      <c r="AY104" s="95" t="n">
        <f aca="false">+AW104+AS104</f>
        <v>409776</v>
      </c>
      <c r="AZ104" s="128"/>
      <c r="BA104" s="95" t="n">
        <f aca="false">+O104-AY104</f>
        <v>316724</v>
      </c>
    </row>
    <row r="105" customFormat="false" ht="12.75" hidden="false" customHeight="false" outlineLevel="0" collapsed="false">
      <c r="A105" s="152"/>
      <c r="B105" s="132"/>
      <c r="C105" s="132"/>
      <c r="D105" s="128"/>
      <c r="E105" s="128"/>
      <c r="F105" s="128"/>
      <c r="G105" s="128"/>
      <c r="H105" s="128"/>
      <c r="I105" s="128"/>
      <c r="J105" s="128"/>
      <c r="L105" s="128"/>
      <c r="N105" s="128"/>
      <c r="P105" s="128"/>
      <c r="AT105" s="128"/>
      <c r="AV105" s="128"/>
      <c r="AX105" s="128"/>
      <c r="AZ105" s="128"/>
    </row>
    <row r="106" customFormat="false" ht="12.75" hidden="false" customHeight="false" outlineLevel="0" collapsed="false">
      <c r="A106" s="152" t="s">
        <v>264</v>
      </c>
      <c r="B106" s="128"/>
      <c r="C106" s="132" t="s">
        <v>207</v>
      </c>
      <c r="D106" s="128"/>
      <c r="E106" s="128" t="s">
        <v>173</v>
      </c>
      <c r="F106" s="128"/>
      <c r="G106" s="128" t="s">
        <v>208</v>
      </c>
      <c r="H106" s="128"/>
      <c r="I106" s="128" t="s">
        <v>174</v>
      </c>
      <c r="J106" s="128"/>
      <c r="K106" s="163" t="n">
        <f aca="false">K104+K102+K94+K67</f>
        <v>28589117</v>
      </c>
      <c r="L106" s="128"/>
      <c r="M106" s="163" t="n">
        <f aca="false">M104+M102+M94+M67</f>
        <v>3307345</v>
      </c>
      <c r="N106" s="128"/>
      <c r="O106" s="163" t="n">
        <f aca="false">O104+O102+O94+O67</f>
        <v>31896462</v>
      </c>
      <c r="P106" s="128"/>
      <c r="Q106" s="129" t="n">
        <f aca="false">Q104+Q102+Q94+Q67</f>
        <v>1154842</v>
      </c>
      <c r="S106" s="129" t="n">
        <f aca="false">S104+S102+S94+S67</f>
        <v>260962.85</v>
      </c>
      <c r="U106" s="129" t="n">
        <f aca="false">U104+U102+U94+U67</f>
        <v>3042654.82</v>
      </c>
      <c r="W106" s="129" t="n">
        <f aca="false">W104+W102+W94+W67</f>
        <v>1851195.12</v>
      </c>
      <c r="Y106" s="129" t="n">
        <f aca="false">Y104+Y102+Y94+Y67</f>
        <v>3966411.88</v>
      </c>
      <c r="AA106" s="129" t="n">
        <f aca="false">AA104+AA102+AA94+AA67</f>
        <v>1481895.78</v>
      </c>
      <c r="AC106" s="129" t="n">
        <f aca="false">AC104+AC102+AC94+AC67</f>
        <v>4395775.23</v>
      </c>
      <c r="AE106" s="129" t="n">
        <f aca="false">AE104+AE102+AE94+AE67</f>
        <v>4701684.74</v>
      </c>
      <c r="AF106" s="129"/>
      <c r="AG106" s="129" t="n">
        <f aca="false">AG104+AG102+AG94+AG67</f>
        <v>4762777.18</v>
      </c>
      <c r="AH106" s="129"/>
      <c r="AI106" s="129" t="n">
        <f aca="false">AI104+AI102+AI94+AI67</f>
        <v>4478140.43</v>
      </c>
      <c r="AJ106" s="129"/>
      <c r="AK106" s="129" t="n">
        <f aca="false">AK104+AK102+AK94+AK67</f>
        <v>983531.74</v>
      </c>
      <c r="AL106" s="129"/>
      <c r="AM106" s="129" t="n">
        <f aca="false">AM104+AM102+AM94+AM67</f>
        <v>775246.28</v>
      </c>
      <c r="AN106" s="129"/>
      <c r="AO106" s="129" t="n">
        <f aca="false">AO104+AO102+AO94+AO67</f>
        <v>287383.49</v>
      </c>
      <c r="AP106" s="129"/>
      <c r="AQ106" s="129" t="n">
        <f aca="false">AQ104+AQ102+AQ94+AQ67</f>
        <v>0</v>
      </c>
      <c r="AR106" s="129"/>
      <c r="AS106" s="24" t="n">
        <f aca="false">AS104+AS102+AS94+AS67</f>
        <v>32142501.54</v>
      </c>
      <c r="AT106" s="128"/>
      <c r="AU106" s="129" t="n">
        <f aca="false">AU104+AU102+AU94+AU67</f>
        <v>-1255568</v>
      </c>
      <c r="AV106" s="128"/>
      <c r="AW106" s="24" t="n">
        <f aca="false">AW104+AW102+AW94+AW67+AW103</f>
        <v>1106998.16</v>
      </c>
      <c r="AX106" s="128"/>
      <c r="AY106" s="24" t="n">
        <f aca="false">+AW106+AS106</f>
        <v>33249499.7</v>
      </c>
      <c r="AZ106" s="128"/>
      <c r="BA106" s="129" t="n">
        <f aca="false">+O106-AY106</f>
        <v>-1353037.7</v>
      </c>
    </row>
    <row r="107" customFormat="false" ht="12.75" hidden="false" customHeight="false" outlineLevel="0" collapsed="false">
      <c r="A107" s="152"/>
      <c r="B107" s="132"/>
      <c r="C107" s="132"/>
      <c r="D107" s="128"/>
      <c r="E107" s="128"/>
      <c r="F107" s="128"/>
      <c r="G107" s="128"/>
      <c r="H107" s="128"/>
      <c r="I107" s="128"/>
      <c r="J107" s="128"/>
      <c r="K107" s="163"/>
      <c r="L107" s="128"/>
      <c r="M107" s="163"/>
      <c r="N107" s="128"/>
      <c r="O107" s="163"/>
      <c r="P107" s="128"/>
      <c r="Q107" s="129"/>
      <c r="S107" s="129"/>
      <c r="U107" s="129"/>
      <c r="W107" s="129"/>
      <c r="Y107" s="129"/>
      <c r="AA107" s="129"/>
      <c r="AC107" s="129"/>
      <c r="AE107" s="129"/>
      <c r="AF107" s="129"/>
      <c r="AG107" s="129"/>
      <c r="AH107" s="129"/>
      <c r="AI107" s="129"/>
      <c r="AJ107" s="129"/>
      <c r="AK107" s="129"/>
      <c r="AL107" s="129"/>
      <c r="AM107" s="129"/>
      <c r="AN107" s="129"/>
      <c r="AO107" s="129"/>
      <c r="AP107" s="129"/>
      <c r="AQ107" s="129"/>
      <c r="AR107" s="129"/>
      <c r="AS107" s="24"/>
      <c r="AT107" s="128"/>
      <c r="AU107" s="129"/>
      <c r="AV107" s="128"/>
      <c r="AW107" s="24"/>
      <c r="AX107" s="128"/>
      <c r="AY107" s="24"/>
      <c r="AZ107" s="128"/>
      <c r="BA107" s="24"/>
    </row>
    <row r="108" customFormat="false" ht="12.75" hidden="false" customHeight="false" outlineLevel="0" collapsed="false">
      <c r="A108" s="148"/>
      <c r="B108" s="132"/>
      <c r="C108" s="132"/>
      <c r="D108" s="128"/>
      <c r="E108" s="128"/>
      <c r="F108" s="128"/>
      <c r="G108" s="128"/>
      <c r="H108" s="128"/>
      <c r="I108" s="128"/>
      <c r="J108" s="128"/>
      <c r="K108" s="24"/>
      <c r="L108" s="128"/>
      <c r="M108" s="24"/>
      <c r="N108" s="128"/>
      <c r="O108" s="24"/>
      <c r="P108" s="128"/>
      <c r="Q108" s="129"/>
      <c r="S108" s="129"/>
      <c r="U108" s="129"/>
      <c r="W108" s="129"/>
      <c r="Y108" s="129"/>
      <c r="AA108" s="129"/>
      <c r="AC108" s="129"/>
      <c r="AE108" s="129"/>
      <c r="AF108" s="129"/>
      <c r="AG108" s="129"/>
      <c r="AH108" s="129"/>
      <c r="AI108" s="129"/>
      <c r="AJ108" s="129"/>
      <c r="AK108" s="129"/>
      <c r="AL108" s="129"/>
      <c r="AM108" s="129"/>
      <c r="AN108" s="129"/>
      <c r="AO108" s="129"/>
      <c r="AP108" s="129"/>
      <c r="AQ108" s="129"/>
      <c r="AR108" s="129"/>
      <c r="AS108" s="24"/>
      <c r="AT108" s="128"/>
      <c r="AU108" s="129"/>
      <c r="AV108" s="128"/>
      <c r="AW108" s="24"/>
      <c r="AX108" s="128"/>
      <c r="AY108" s="24"/>
      <c r="AZ108" s="128"/>
      <c r="BA108" s="24"/>
    </row>
    <row r="109" customFormat="false" ht="12.75" hidden="false" customHeight="false" outlineLevel="0" collapsed="false">
      <c r="A109" s="164"/>
      <c r="B109" s="165" t="s">
        <v>265</v>
      </c>
      <c r="C109" s="166"/>
      <c r="D109" s="167"/>
      <c r="E109" s="167"/>
      <c r="F109" s="167"/>
      <c r="G109" s="167"/>
      <c r="H109" s="167"/>
      <c r="I109" s="167"/>
      <c r="J109" s="167"/>
      <c r="K109" s="168" t="n">
        <f aca="false">K106+K41+K33</f>
        <v>108410944</v>
      </c>
      <c r="L109" s="167"/>
      <c r="M109" s="168" t="n">
        <f aca="false">M106+M41+M33</f>
        <v>3499121</v>
      </c>
      <c r="N109" s="167"/>
      <c r="O109" s="168" t="n">
        <f aca="false">O106+O41+O33</f>
        <v>111910065</v>
      </c>
      <c r="P109" s="167"/>
      <c r="Q109" s="169" t="n">
        <f aca="false">Q106+Q41+Q33</f>
        <v>59585413</v>
      </c>
      <c r="R109" s="170"/>
      <c r="S109" s="169" t="n">
        <f aca="false">S106+S41+S33</f>
        <v>3910876.35</v>
      </c>
      <c r="T109" s="170"/>
      <c r="U109" s="169" t="n">
        <f aca="false">U106+U41+U33</f>
        <v>6042883.82</v>
      </c>
      <c r="V109" s="168"/>
      <c r="W109" s="169" t="n">
        <f aca="false">W106+W41+W33</f>
        <v>5556620.32</v>
      </c>
      <c r="X109" s="169"/>
      <c r="Y109" s="169" t="n">
        <f aca="false">Y106+Y41+Y33</f>
        <v>7308499.58</v>
      </c>
      <c r="Z109" s="169"/>
      <c r="AA109" s="169" t="n">
        <f aca="false">AA106+AA41+AA33</f>
        <v>3050367.98</v>
      </c>
      <c r="AB109" s="169"/>
      <c r="AC109" s="169" t="n">
        <f aca="false">AC106+AC41+AC33</f>
        <v>5848270.23</v>
      </c>
      <c r="AD109" s="169"/>
      <c r="AE109" s="169" t="n">
        <f aca="false">AE106+AE41+AE33</f>
        <v>5993957.19</v>
      </c>
      <c r="AF109" s="169"/>
      <c r="AG109" s="169" t="n">
        <f aca="false">AG106+AG41+AG33</f>
        <v>5198538.61</v>
      </c>
      <c r="AH109" s="169"/>
      <c r="AI109" s="169" t="n">
        <f aca="false">AI106+AI41+AI33</f>
        <v>7846525.79</v>
      </c>
      <c r="AJ109" s="169"/>
      <c r="AK109" s="169" t="n">
        <f aca="false">AK106+AK41+AK33</f>
        <v>1384146.75</v>
      </c>
      <c r="AL109" s="169"/>
      <c r="AM109" s="169" t="n">
        <f aca="false">AM106+AM41+AM33</f>
        <v>812368.69</v>
      </c>
      <c r="AN109" s="169"/>
      <c r="AO109" s="169" t="n">
        <f aca="false">AO106+AO41+AO33</f>
        <v>329838.57</v>
      </c>
      <c r="AP109" s="169"/>
      <c r="AQ109" s="169" t="n">
        <f aca="false">AQ106+AQ41+AQ33</f>
        <v>7051.9</v>
      </c>
      <c r="AR109" s="169"/>
      <c r="AS109" s="168" t="n">
        <f aca="false">AS106+AS41+AS33</f>
        <v>112875358.78</v>
      </c>
      <c r="AT109" s="168"/>
      <c r="AU109" s="169" t="n">
        <f aca="false">AU106+AU41+AU33</f>
        <v>437937</v>
      </c>
      <c r="AV109" s="168"/>
      <c r="AW109" s="168" t="n">
        <f aca="false">AW106+AW41</f>
        <v>1108517.54</v>
      </c>
      <c r="AX109" s="167"/>
      <c r="AY109" s="168" t="n">
        <f aca="false">+AW109+AS109</f>
        <v>113983876.32</v>
      </c>
      <c r="AZ109" s="167"/>
      <c r="BA109" s="169" t="n">
        <f aca="false">+O109-AY109</f>
        <v>-2073811.31999999</v>
      </c>
      <c r="BB109" s="171"/>
    </row>
    <row r="110" customFormat="false" ht="12.75" hidden="false" customHeight="false" outlineLevel="0" collapsed="false">
      <c r="A110" s="172"/>
      <c r="B110" s="127"/>
      <c r="C110" s="132"/>
      <c r="D110" s="173"/>
      <c r="E110" s="173"/>
      <c r="F110" s="173"/>
      <c r="G110" s="173"/>
      <c r="H110" s="173"/>
      <c r="I110" s="173"/>
      <c r="J110" s="173"/>
      <c r="K110" s="24"/>
      <c r="L110" s="173"/>
      <c r="M110" s="24"/>
      <c r="N110" s="173"/>
      <c r="O110" s="24"/>
      <c r="P110" s="173"/>
      <c r="Q110" s="129"/>
      <c r="S110" s="129"/>
      <c r="U110" s="129"/>
      <c r="W110" s="129"/>
      <c r="Y110" s="129"/>
      <c r="AA110" s="129"/>
      <c r="AC110" s="129"/>
      <c r="AE110" s="129"/>
      <c r="AF110" s="129"/>
      <c r="AG110" s="129"/>
      <c r="AH110" s="129"/>
      <c r="AI110" s="129"/>
      <c r="AJ110" s="129"/>
      <c r="AK110" s="129"/>
      <c r="AL110" s="129"/>
      <c r="AM110" s="129"/>
      <c r="AN110" s="129"/>
      <c r="AO110" s="129"/>
      <c r="AP110" s="129"/>
      <c r="AQ110" s="129"/>
      <c r="AR110" s="129"/>
      <c r="AS110" s="24"/>
      <c r="AT110" s="128"/>
      <c r="AU110" s="129"/>
      <c r="AV110" s="128"/>
      <c r="AW110" s="24"/>
      <c r="AX110" s="173"/>
      <c r="AY110" s="24"/>
      <c r="AZ110" s="173"/>
      <c r="BA110" s="24"/>
      <c r="BB110" s="174"/>
      <c r="BC110" s="174"/>
      <c r="BD110" s="174"/>
      <c r="BE110" s="174"/>
      <c r="BF110" s="174"/>
      <c r="BG110" s="174"/>
      <c r="BH110" s="174"/>
      <c r="BI110" s="174"/>
      <c r="BJ110" s="174"/>
      <c r="BK110" s="174"/>
      <c r="BL110" s="174"/>
      <c r="BM110" s="174"/>
      <c r="BN110" s="174"/>
      <c r="BO110" s="174"/>
      <c r="BP110" s="174"/>
      <c r="BQ110" s="174"/>
      <c r="BR110" s="174"/>
      <c r="BS110" s="174"/>
      <c r="BT110" s="174"/>
      <c r="BU110" s="174"/>
      <c r="BV110" s="174"/>
      <c r="BW110" s="174"/>
      <c r="BX110" s="174"/>
      <c r="BY110" s="174"/>
      <c r="BZ110" s="174"/>
      <c r="CA110" s="174"/>
      <c r="CB110" s="174"/>
      <c r="CC110" s="174"/>
      <c r="CD110" s="174"/>
      <c r="CE110" s="174"/>
      <c r="CF110" s="174"/>
      <c r="CG110" s="174"/>
      <c r="CH110" s="174"/>
      <c r="CI110" s="174"/>
      <c r="CJ110" s="174"/>
      <c r="CK110" s="174"/>
      <c r="CL110" s="174"/>
      <c r="CM110" s="174"/>
      <c r="CN110" s="174"/>
      <c r="CO110" s="174"/>
      <c r="CP110" s="174"/>
      <c r="CQ110" s="174"/>
      <c r="CR110" s="174"/>
      <c r="CS110" s="174"/>
      <c r="CT110" s="174"/>
      <c r="CU110" s="174"/>
      <c r="CV110" s="174"/>
      <c r="CW110" s="174"/>
      <c r="CX110" s="174"/>
      <c r="CY110" s="174"/>
      <c r="CZ110" s="174"/>
      <c r="DA110" s="174"/>
      <c r="DB110" s="174"/>
      <c r="DC110" s="174"/>
      <c r="DD110" s="174"/>
      <c r="DE110" s="174"/>
      <c r="DF110" s="174"/>
      <c r="DG110" s="174"/>
      <c r="DH110" s="174"/>
      <c r="DI110" s="174"/>
      <c r="DJ110" s="174"/>
      <c r="DK110" s="174"/>
      <c r="DL110" s="174"/>
      <c r="DM110" s="174"/>
      <c r="DN110" s="174"/>
      <c r="DO110" s="174"/>
      <c r="DP110" s="174"/>
      <c r="DQ110" s="174"/>
      <c r="DR110" s="174"/>
      <c r="DS110" s="174"/>
      <c r="DT110" s="174"/>
      <c r="DU110" s="174"/>
      <c r="DV110" s="174"/>
      <c r="DW110" s="174"/>
      <c r="DX110" s="174"/>
      <c r="DY110" s="174"/>
      <c r="DZ110" s="174"/>
      <c r="EA110" s="174"/>
      <c r="EB110" s="174"/>
      <c r="EC110" s="174"/>
      <c r="ED110" s="174"/>
      <c r="EE110" s="174"/>
      <c r="EF110" s="174"/>
      <c r="EG110" s="174"/>
      <c r="EH110" s="174"/>
      <c r="EI110" s="174"/>
      <c r="EJ110" s="174"/>
      <c r="EK110" s="174"/>
      <c r="EL110" s="174"/>
      <c r="EM110" s="174"/>
      <c r="EN110" s="174"/>
      <c r="EO110" s="174"/>
      <c r="EP110" s="174"/>
      <c r="EQ110" s="174"/>
      <c r="ER110" s="174"/>
      <c r="ES110" s="174"/>
      <c r="ET110" s="174"/>
      <c r="EU110" s="174"/>
      <c r="EV110" s="174"/>
      <c r="EW110" s="174"/>
      <c r="EX110" s="174"/>
      <c r="EY110" s="174"/>
      <c r="EZ110" s="174"/>
      <c r="FA110" s="174"/>
      <c r="FB110" s="174"/>
      <c r="FC110" s="174"/>
      <c r="FD110" s="174"/>
      <c r="FE110" s="174"/>
      <c r="FF110" s="174"/>
      <c r="FG110" s="174"/>
      <c r="FH110" s="174"/>
      <c r="FI110" s="174"/>
      <c r="FJ110" s="174"/>
      <c r="FK110" s="174"/>
      <c r="FL110" s="174"/>
      <c r="FM110" s="174"/>
      <c r="FN110" s="174"/>
      <c r="FO110" s="174"/>
      <c r="FP110" s="174"/>
      <c r="FQ110" s="174"/>
      <c r="FR110" s="174"/>
      <c r="FS110" s="174"/>
      <c r="FT110" s="174"/>
      <c r="FU110" s="174"/>
      <c r="FV110" s="174"/>
      <c r="FW110" s="174"/>
      <c r="FX110" s="174"/>
      <c r="FY110" s="174"/>
      <c r="FZ110" s="174"/>
      <c r="GA110" s="174"/>
      <c r="GB110" s="174"/>
      <c r="GC110" s="174"/>
      <c r="GD110" s="174"/>
      <c r="GE110" s="174"/>
      <c r="GF110" s="174"/>
      <c r="GG110" s="174"/>
      <c r="GH110" s="174"/>
      <c r="GI110" s="174"/>
      <c r="GJ110" s="174"/>
      <c r="GK110" s="174"/>
      <c r="GL110" s="174"/>
      <c r="GM110" s="174"/>
      <c r="GN110" s="174"/>
      <c r="GO110" s="174"/>
      <c r="GP110" s="174"/>
      <c r="GQ110" s="174"/>
      <c r="GR110" s="174"/>
      <c r="GS110" s="174"/>
      <c r="GT110" s="174"/>
      <c r="GU110" s="174"/>
      <c r="GV110" s="174"/>
      <c r="GW110" s="174"/>
      <c r="GX110" s="174"/>
      <c r="GY110" s="174"/>
      <c r="GZ110" s="174"/>
      <c r="HA110" s="174"/>
      <c r="HB110" s="174"/>
      <c r="HC110" s="174"/>
      <c r="HD110" s="174"/>
      <c r="HE110" s="174"/>
      <c r="HF110" s="174"/>
      <c r="HG110" s="174"/>
      <c r="HH110" s="174"/>
      <c r="HI110" s="174"/>
      <c r="HJ110" s="174"/>
      <c r="HK110" s="174"/>
      <c r="HL110" s="174"/>
      <c r="HM110" s="174"/>
      <c r="HN110" s="174"/>
      <c r="HO110" s="174"/>
      <c r="HP110" s="174"/>
      <c r="HQ110" s="174"/>
      <c r="HR110" s="174"/>
      <c r="HS110" s="174"/>
      <c r="HT110" s="174"/>
      <c r="HU110" s="174"/>
      <c r="HV110" s="174"/>
      <c r="HW110" s="174"/>
      <c r="HX110" s="174"/>
      <c r="HY110" s="174"/>
      <c r="HZ110" s="174"/>
      <c r="IA110" s="174"/>
      <c r="IB110" s="174"/>
      <c r="IC110" s="174"/>
      <c r="ID110" s="174"/>
      <c r="IE110" s="174"/>
      <c r="IF110" s="174"/>
      <c r="IG110" s="174"/>
      <c r="IH110" s="174"/>
      <c r="II110" s="174"/>
      <c r="IJ110" s="174"/>
      <c r="IK110" s="174"/>
      <c r="IL110" s="174"/>
      <c r="IM110" s="174"/>
      <c r="IN110" s="174"/>
      <c r="IO110" s="174"/>
      <c r="IP110" s="174"/>
      <c r="IQ110" s="174"/>
      <c r="IR110" s="174"/>
      <c r="IS110" s="174"/>
      <c r="IT110" s="174"/>
      <c r="IU110" s="174"/>
      <c r="IV110" s="174"/>
      <c r="IW110" s="174"/>
    </row>
    <row r="111" customFormat="false" ht="12.75" hidden="false" customHeight="false" outlineLevel="0" collapsed="false">
      <c r="A111" s="152" t="s">
        <v>266</v>
      </c>
      <c r="B111" s="127"/>
      <c r="C111" s="127" t="s">
        <v>267</v>
      </c>
      <c r="D111" s="173"/>
      <c r="E111" s="173" t="s">
        <v>268</v>
      </c>
      <c r="F111" s="173"/>
      <c r="G111" s="128" t="s">
        <v>269</v>
      </c>
      <c r="H111" s="173"/>
      <c r="I111" s="173"/>
      <c r="J111" s="173"/>
      <c r="K111" s="24" t="n">
        <v>600000</v>
      </c>
      <c r="L111" s="173"/>
      <c r="M111" s="24" t="n">
        <v>59539</v>
      </c>
      <c r="N111" s="173"/>
      <c r="O111" s="24" t="n">
        <f aca="false">SUM(K111:N111)</f>
        <v>659539</v>
      </c>
      <c r="P111" s="173"/>
      <c r="Q111" s="129" t="n">
        <f aca="false">4583+1527.75</f>
        <v>6110.75</v>
      </c>
      <c r="S111" s="129" t="n">
        <v>0</v>
      </c>
      <c r="U111" s="129" t="n">
        <f aca="false">23382.12+1954.84</f>
        <v>25336.96</v>
      </c>
      <c r="W111" s="129"/>
      <c r="Y111" s="129"/>
      <c r="AA111" s="129" t="n">
        <v>74417</v>
      </c>
      <c r="AC111" s="129" t="n">
        <v>173681</v>
      </c>
      <c r="AE111" s="129" t="n">
        <v>225874</v>
      </c>
      <c r="AF111" s="129"/>
      <c r="AG111" s="129" t="n">
        <v>95731.61</v>
      </c>
      <c r="AH111" s="129"/>
      <c r="AI111" s="129" t="n">
        <v>68947.09</v>
      </c>
      <c r="AJ111" s="129"/>
      <c r="AK111" s="129" t="n">
        <v>26336.93</v>
      </c>
      <c r="AL111" s="129"/>
      <c r="AM111" s="129" t="n">
        <v>1079.27</v>
      </c>
      <c r="AN111" s="129"/>
      <c r="AO111" s="129" t="n">
        <v>774.79</v>
      </c>
      <c r="AP111" s="129"/>
      <c r="AQ111" s="129" t="n">
        <v>0</v>
      </c>
      <c r="AR111" s="129"/>
      <c r="AS111" s="95" t="n">
        <f aca="false">SUM(P111:AR111)</f>
        <v>698289.4</v>
      </c>
      <c r="AT111" s="128"/>
      <c r="AU111" s="129" t="n">
        <f aca="false">706219-659539+83333.33-99897-1</f>
        <v>30115.33</v>
      </c>
      <c r="AV111" s="128"/>
      <c r="AW111" s="95" t="n">
        <f aca="false">IF(+O111-AS111+AU111&gt;0,O111-AS111+AU111,0)</f>
        <v>0</v>
      </c>
      <c r="AX111" s="173"/>
      <c r="AY111" s="24" t="n">
        <f aca="false">+AW111+AS111</f>
        <v>698289.4</v>
      </c>
      <c r="AZ111" s="173"/>
      <c r="BA111" s="24" t="n">
        <f aca="false">+O111-AY111</f>
        <v>-38750.4</v>
      </c>
      <c r="BB111" s="174"/>
      <c r="BC111" s="174"/>
      <c r="BD111" s="174"/>
      <c r="BE111" s="174"/>
      <c r="BF111" s="174"/>
      <c r="BG111" s="174"/>
      <c r="BH111" s="174"/>
      <c r="BI111" s="174"/>
      <c r="BJ111" s="174"/>
      <c r="BK111" s="174"/>
      <c r="BL111" s="174"/>
      <c r="BM111" s="174"/>
      <c r="BN111" s="174"/>
      <c r="BO111" s="174"/>
      <c r="BP111" s="174"/>
      <c r="BQ111" s="174"/>
      <c r="BR111" s="174"/>
      <c r="BS111" s="174"/>
      <c r="BT111" s="174"/>
      <c r="BU111" s="174"/>
      <c r="BV111" s="174"/>
      <c r="BW111" s="174"/>
      <c r="BX111" s="174"/>
      <c r="BY111" s="174"/>
      <c r="BZ111" s="174"/>
      <c r="CA111" s="174"/>
      <c r="CB111" s="174"/>
      <c r="CC111" s="174"/>
      <c r="CD111" s="174"/>
      <c r="CE111" s="174"/>
      <c r="CF111" s="174"/>
      <c r="CG111" s="174"/>
      <c r="CH111" s="174"/>
      <c r="CI111" s="174"/>
      <c r="CJ111" s="174"/>
      <c r="CK111" s="174"/>
      <c r="CL111" s="174"/>
      <c r="CM111" s="174"/>
      <c r="CN111" s="174"/>
      <c r="CO111" s="174"/>
      <c r="CP111" s="174"/>
      <c r="CQ111" s="174"/>
      <c r="CR111" s="174"/>
      <c r="CS111" s="174"/>
      <c r="CT111" s="174"/>
      <c r="CU111" s="174"/>
      <c r="CV111" s="174"/>
      <c r="CW111" s="174"/>
      <c r="CX111" s="174"/>
      <c r="CY111" s="174"/>
      <c r="CZ111" s="174"/>
      <c r="DA111" s="174"/>
      <c r="DB111" s="174"/>
      <c r="DC111" s="174"/>
      <c r="DD111" s="174"/>
      <c r="DE111" s="174"/>
      <c r="DF111" s="174"/>
      <c r="DG111" s="174"/>
      <c r="DH111" s="174"/>
      <c r="DI111" s="174"/>
      <c r="DJ111" s="174"/>
      <c r="DK111" s="174"/>
      <c r="DL111" s="174"/>
      <c r="DM111" s="174"/>
      <c r="DN111" s="174"/>
      <c r="DO111" s="174"/>
      <c r="DP111" s="174"/>
      <c r="DQ111" s="174"/>
      <c r="DR111" s="174"/>
      <c r="DS111" s="174"/>
      <c r="DT111" s="174"/>
      <c r="DU111" s="174"/>
      <c r="DV111" s="174"/>
      <c r="DW111" s="174"/>
      <c r="DX111" s="174"/>
      <c r="DY111" s="174"/>
      <c r="DZ111" s="174"/>
      <c r="EA111" s="174"/>
      <c r="EB111" s="174"/>
      <c r="EC111" s="174"/>
      <c r="ED111" s="174"/>
      <c r="EE111" s="174"/>
      <c r="EF111" s="174"/>
      <c r="EG111" s="174"/>
      <c r="EH111" s="174"/>
      <c r="EI111" s="174"/>
      <c r="EJ111" s="174"/>
      <c r="EK111" s="174"/>
      <c r="EL111" s="174"/>
      <c r="EM111" s="174"/>
      <c r="EN111" s="174"/>
      <c r="EO111" s="174"/>
      <c r="EP111" s="174"/>
      <c r="EQ111" s="174"/>
      <c r="ER111" s="174"/>
      <c r="ES111" s="174"/>
      <c r="ET111" s="174"/>
      <c r="EU111" s="174"/>
      <c r="EV111" s="174"/>
      <c r="EW111" s="174"/>
      <c r="EX111" s="174"/>
      <c r="EY111" s="174"/>
      <c r="EZ111" s="174"/>
      <c r="FA111" s="174"/>
      <c r="FB111" s="174"/>
      <c r="FC111" s="174"/>
      <c r="FD111" s="174"/>
      <c r="FE111" s="174"/>
      <c r="FF111" s="174"/>
      <c r="FG111" s="174"/>
      <c r="FH111" s="174"/>
      <c r="FI111" s="174"/>
      <c r="FJ111" s="174"/>
      <c r="FK111" s="174"/>
      <c r="FL111" s="174"/>
      <c r="FM111" s="174"/>
      <c r="FN111" s="174"/>
      <c r="FO111" s="174"/>
      <c r="FP111" s="174"/>
      <c r="FQ111" s="174"/>
      <c r="FR111" s="174"/>
      <c r="FS111" s="174"/>
      <c r="FT111" s="174"/>
      <c r="FU111" s="174"/>
      <c r="FV111" s="174"/>
      <c r="FW111" s="174"/>
      <c r="FX111" s="174"/>
      <c r="FY111" s="174"/>
      <c r="FZ111" s="174"/>
      <c r="GA111" s="174"/>
      <c r="GB111" s="174"/>
      <c r="GC111" s="174"/>
      <c r="GD111" s="174"/>
      <c r="GE111" s="174"/>
      <c r="GF111" s="174"/>
      <c r="GG111" s="174"/>
      <c r="GH111" s="174"/>
      <c r="GI111" s="174"/>
      <c r="GJ111" s="174"/>
      <c r="GK111" s="174"/>
      <c r="GL111" s="174"/>
      <c r="GM111" s="174"/>
      <c r="GN111" s="174"/>
      <c r="GO111" s="174"/>
      <c r="GP111" s="174"/>
      <c r="GQ111" s="174"/>
      <c r="GR111" s="174"/>
      <c r="GS111" s="174"/>
      <c r="GT111" s="174"/>
      <c r="GU111" s="174"/>
      <c r="GV111" s="174"/>
      <c r="GW111" s="174"/>
      <c r="GX111" s="174"/>
      <c r="GY111" s="174"/>
      <c r="GZ111" s="174"/>
      <c r="HA111" s="174"/>
      <c r="HB111" s="174"/>
      <c r="HC111" s="174"/>
      <c r="HD111" s="174"/>
      <c r="HE111" s="174"/>
      <c r="HF111" s="174"/>
      <c r="HG111" s="174"/>
      <c r="HH111" s="174"/>
      <c r="HI111" s="174"/>
      <c r="HJ111" s="174"/>
      <c r="HK111" s="174"/>
      <c r="HL111" s="174"/>
      <c r="HM111" s="174"/>
      <c r="HN111" s="174"/>
      <c r="HO111" s="174"/>
      <c r="HP111" s="174"/>
      <c r="HQ111" s="174"/>
      <c r="HR111" s="174"/>
      <c r="HS111" s="174"/>
      <c r="HT111" s="174"/>
      <c r="HU111" s="174"/>
      <c r="HV111" s="174"/>
      <c r="HW111" s="174"/>
      <c r="HX111" s="174"/>
      <c r="HY111" s="174"/>
      <c r="HZ111" s="174"/>
      <c r="IA111" s="174"/>
      <c r="IB111" s="174"/>
      <c r="IC111" s="174"/>
      <c r="ID111" s="174"/>
      <c r="IE111" s="174"/>
      <c r="IF111" s="174"/>
      <c r="IG111" s="174"/>
      <c r="IH111" s="174"/>
      <c r="II111" s="174"/>
      <c r="IJ111" s="174"/>
      <c r="IK111" s="174"/>
      <c r="IL111" s="174"/>
      <c r="IM111" s="174"/>
      <c r="IN111" s="174"/>
      <c r="IO111" s="174"/>
      <c r="IP111" s="174"/>
      <c r="IQ111" s="174"/>
      <c r="IR111" s="174"/>
      <c r="IS111" s="174"/>
      <c r="IT111" s="174"/>
      <c r="IU111" s="174"/>
      <c r="IV111" s="174"/>
      <c r="IW111" s="174"/>
    </row>
    <row r="112" customFormat="false" ht="12.75" hidden="false" customHeight="false" outlineLevel="0" collapsed="false">
      <c r="A112" s="172"/>
      <c r="B112" s="127" t="s">
        <v>270</v>
      </c>
      <c r="C112" s="127" t="s">
        <v>267</v>
      </c>
      <c r="D112" s="173"/>
      <c r="E112" s="173" t="s">
        <v>268</v>
      </c>
      <c r="F112" s="173"/>
      <c r="G112" s="128" t="s">
        <v>269</v>
      </c>
      <c r="H112" s="173"/>
      <c r="I112" s="173"/>
      <c r="J112" s="173"/>
      <c r="K112" s="24" t="n">
        <v>25000</v>
      </c>
      <c r="L112" s="173"/>
      <c r="M112" s="24" t="n">
        <v>0</v>
      </c>
      <c r="N112" s="173"/>
      <c r="O112" s="24" t="n">
        <f aca="false">SUM(K112:N112)</f>
        <v>25000</v>
      </c>
      <c r="P112" s="173"/>
      <c r="Q112" s="129" t="n">
        <v>0</v>
      </c>
      <c r="S112" s="129" t="n">
        <v>0</v>
      </c>
      <c r="U112" s="129"/>
      <c r="W112" s="129"/>
      <c r="Y112" s="129"/>
      <c r="AA112" s="129"/>
      <c r="AC112" s="129"/>
      <c r="AE112" s="129"/>
      <c r="AF112" s="129"/>
      <c r="AG112" s="129"/>
      <c r="AH112" s="129"/>
      <c r="AI112" s="129"/>
      <c r="AJ112" s="129"/>
      <c r="AK112" s="129"/>
      <c r="AL112" s="129"/>
      <c r="AM112" s="129"/>
      <c r="AN112" s="129"/>
      <c r="AO112" s="129"/>
      <c r="AP112" s="129"/>
      <c r="AQ112" s="129"/>
      <c r="AR112" s="129"/>
      <c r="AS112" s="95" t="n">
        <f aca="false">SUM(P112:AR112)</f>
        <v>0</v>
      </c>
      <c r="AT112" s="128"/>
      <c r="AU112" s="129" t="n">
        <v>-25000</v>
      </c>
      <c r="AV112" s="128"/>
      <c r="AW112" s="95" t="n">
        <f aca="false">IF(+O112-AS112+AU112&gt;0,O112-AS112+AU112,0)</f>
        <v>0</v>
      </c>
      <c r="AX112" s="173"/>
      <c r="AY112" s="95" t="n">
        <f aca="false">+AW112+AS112</f>
        <v>0</v>
      </c>
      <c r="AZ112" s="173"/>
      <c r="BA112" s="24" t="n">
        <f aca="false">+O112-AY112</f>
        <v>25000</v>
      </c>
      <c r="BB112" s="174"/>
      <c r="BC112" s="174"/>
      <c r="BD112" s="174"/>
      <c r="BE112" s="174"/>
      <c r="BF112" s="174"/>
      <c r="BG112" s="174"/>
      <c r="BH112" s="174"/>
      <c r="BI112" s="174"/>
      <c r="BJ112" s="174"/>
      <c r="BK112" s="174"/>
      <c r="BL112" s="174"/>
      <c r="BM112" s="174"/>
      <c r="BN112" s="174"/>
      <c r="BO112" s="174"/>
      <c r="BP112" s="174"/>
      <c r="BQ112" s="174"/>
      <c r="BR112" s="174"/>
      <c r="BS112" s="174"/>
      <c r="BT112" s="174"/>
      <c r="BU112" s="174"/>
      <c r="BV112" s="174"/>
      <c r="BW112" s="174"/>
      <c r="BX112" s="174"/>
      <c r="BY112" s="174"/>
      <c r="BZ112" s="174"/>
      <c r="CA112" s="174"/>
      <c r="CB112" s="174"/>
      <c r="CC112" s="174"/>
      <c r="CD112" s="174"/>
      <c r="CE112" s="174"/>
      <c r="CF112" s="174"/>
      <c r="CG112" s="174"/>
      <c r="CH112" s="174"/>
      <c r="CI112" s="174"/>
      <c r="CJ112" s="174"/>
      <c r="CK112" s="174"/>
      <c r="CL112" s="174"/>
      <c r="CM112" s="174"/>
      <c r="CN112" s="174"/>
      <c r="CO112" s="174"/>
      <c r="CP112" s="174"/>
      <c r="CQ112" s="174"/>
      <c r="CR112" s="174"/>
      <c r="CS112" s="174"/>
      <c r="CT112" s="174"/>
      <c r="CU112" s="174"/>
      <c r="CV112" s="174"/>
      <c r="CW112" s="174"/>
      <c r="CX112" s="174"/>
      <c r="CY112" s="174"/>
      <c r="CZ112" s="174"/>
      <c r="DA112" s="174"/>
      <c r="DB112" s="174"/>
      <c r="DC112" s="174"/>
      <c r="DD112" s="174"/>
      <c r="DE112" s="174"/>
      <c r="DF112" s="174"/>
      <c r="DG112" s="174"/>
      <c r="DH112" s="174"/>
      <c r="DI112" s="174"/>
      <c r="DJ112" s="174"/>
      <c r="DK112" s="174"/>
      <c r="DL112" s="174"/>
      <c r="DM112" s="174"/>
      <c r="DN112" s="174"/>
      <c r="DO112" s="174"/>
      <c r="DP112" s="174"/>
      <c r="DQ112" s="174"/>
      <c r="DR112" s="174"/>
      <c r="DS112" s="174"/>
      <c r="DT112" s="174"/>
      <c r="DU112" s="174"/>
      <c r="DV112" s="174"/>
      <c r="DW112" s="174"/>
      <c r="DX112" s="174"/>
      <c r="DY112" s="174"/>
      <c r="DZ112" s="174"/>
      <c r="EA112" s="174"/>
      <c r="EB112" s="174"/>
      <c r="EC112" s="174"/>
      <c r="ED112" s="174"/>
      <c r="EE112" s="174"/>
      <c r="EF112" s="174"/>
      <c r="EG112" s="174"/>
      <c r="EH112" s="174"/>
      <c r="EI112" s="174"/>
      <c r="EJ112" s="174"/>
      <c r="EK112" s="174"/>
      <c r="EL112" s="174"/>
      <c r="EM112" s="174"/>
      <c r="EN112" s="174"/>
      <c r="EO112" s="174"/>
      <c r="EP112" s="174"/>
      <c r="EQ112" s="174"/>
      <c r="ER112" s="174"/>
      <c r="ES112" s="174"/>
      <c r="ET112" s="174"/>
      <c r="EU112" s="174"/>
      <c r="EV112" s="174"/>
      <c r="EW112" s="174"/>
      <c r="EX112" s="174"/>
      <c r="EY112" s="174"/>
      <c r="EZ112" s="174"/>
      <c r="FA112" s="174"/>
      <c r="FB112" s="174"/>
      <c r="FC112" s="174"/>
      <c r="FD112" s="174"/>
      <c r="FE112" s="174"/>
      <c r="FF112" s="174"/>
      <c r="FG112" s="174"/>
      <c r="FH112" s="174"/>
      <c r="FI112" s="174"/>
      <c r="FJ112" s="174"/>
      <c r="FK112" s="174"/>
      <c r="FL112" s="174"/>
      <c r="FM112" s="174"/>
      <c r="FN112" s="174"/>
      <c r="FO112" s="174"/>
      <c r="FP112" s="174"/>
      <c r="FQ112" s="174"/>
      <c r="FR112" s="174"/>
      <c r="FS112" s="174"/>
      <c r="FT112" s="174"/>
      <c r="FU112" s="174"/>
      <c r="FV112" s="174"/>
      <c r="FW112" s="174"/>
      <c r="FX112" s="174"/>
      <c r="FY112" s="174"/>
      <c r="FZ112" s="174"/>
      <c r="GA112" s="174"/>
      <c r="GB112" s="174"/>
      <c r="GC112" s="174"/>
      <c r="GD112" s="174"/>
      <c r="GE112" s="174"/>
      <c r="GF112" s="174"/>
      <c r="GG112" s="174"/>
      <c r="GH112" s="174"/>
      <c r="GI112" s="174"/>
      <c r="GJ112" s="174"/>
      <c r="GK112" s="174"/>
      <c r="GL112" s="174"/>
      <c r="GM112" s="174"/>
      <c r="GN112" s="174"/>
      <c r="GO112" s="174"/>
      <c r="GP112" s="174"/>
      <c r="GQ112" s="174"/>
      <c r="GR112" s="174"/>
      <c r="GS112" s="174"/>
      <c r="GT112" s="174"/>
      <c r="GU112" s="174"/>
      <c r="GV112" s="174"/>
      <c r="GW112" s="174"/>
      <c r="GX112" s="174"/>
      <c r="GY112" s="174"/>
      <c r="GZ112" s="174"/>
      <c r="HA112" s="174"/>
      <c r="HB112" s="174"/>
      <c r="HC112" s="174"/>
      <c r="HD112" s="174"/>
      <c r="HE112" s="174"/>
      <c r="HF112" s="174"/>
      <c r="HG112" s="174"/>
      <c r="HH112" s="174"/>
      <c r="HI112" s="174"/>
      <c r="HJ112" s="174"/>
      <c r="HK112" s="174"/>
      <c r="HL112" s="174"/>
      <c r="HM112" s="174"/>
      <c r="HN112" s="174"/>
      <c r="HO112" s="174"/>
      <c r="HP112" s="174"/>
      <c r="HQ112" s="174"/>
      <c r="HR112" s="174"/>
      <c r="HS112" s="174"/>
      <c r="HT112" s="174"/>
      <c r="HU112" s="174"/>
      <c r="HV112" s="174"/>
      <c r="HW112" s="174"/>
      <c r="HX112" s="174"/>
      <c r="HY112" s="174"/>
      <c r="HZ112" s="174"/>
      <c r="IA112" s="174"/>
      <c r="IB112" s="174"/>
      <c r="IC112" s="174"/>
      <c r="ID112" s="174"/>
      <c r="IE112" s="174"/>
      <c r="IF112" s="174"/>
      <c r="IG112" s="174"/>
      <c r="IH112" s="174"/>
      <c r="II112" s="174"/>
      <c r="IJ112" s="174"/>
      <c r="IK112" s="174"/>
      <c r="IL112" s="174"/>
      <c r="IM112" s="174"/>
      <c r="IN112" s="174"/>
      <c r="IO112" s="174"/>
      <c r="IP112" s="174"/>
      <c r="IQ112" s="174"/>
      <c r="IR112" s="174"/>
      <c r="IS112" s="174"/>
      <c r="IT112" s="174"/>
      <c r="IU112" s="174"/>
      <c r="IV112" s="174"/>
      <c r="IW112" s="174"/>
    </row>
    <row r="113" customFormat="false" ht="12.75" hidden="false" customHeight="false" outlineLevel="0" collapsed="false">
      <c r="A113" s="172"/>
      <c r="B113" s="127"/>
      <c r="C113" s="127"/>
      <c r="D113" s="173"/>
      <c r="E113" s="173"/>
      <c r="F113" s="173"/>
      <c r="G113" s="128"/>
      <c r="H113" s="173"/>
      <c r="I113" s="173"/>
      <c r="J113" s="173"/>
      <c r="K113" s="155" t="n">
        <f aca="false">SUM(K111:K112)</f>
        <v>625000</v>
      </c>
      <c r="L113" s="173"/>
      <c r="M113" s="155" t="n">
        <f aca="false">SUM(M111:M112)</f>
        <v>59539</v>
      </c>
      <c r="N113" s="173"/>
      <c r="O113" s="155" t="n">
        <f aca="false">SUM(O111:O112)</f>
        <v>684539</v>
      </c>
      <c r="P113" s="173"/>
      <c r="Q113" s="155" t="n">
        <f aca="false">SUM(Q111:Q112)</f>
        <v>6110.75</v>
      </c>
      <c r="S113" s="155" t="n">
        <f aca="false">SUM(S111:S112)</f>
        <v>0</v>
      </c>
      <c r="U113" s="155" t="n">
        <f aca="false">SUM(U111:U112)</f>
        <v>25336.96</v>
      </c>
      <c r="W113" s="155" t="n">
        <f aca="false">SUM(W111:W112)</f>
        <v>0</v>
      </c>
      <c r="Y113" s="155" t="n">
        <f aca="false">SUM(Y111:Y112)</f>
        <v>0</v>
      </c>
      <c r="AA113" s="155" t="n">
        <f aca="false">SUM(AA111:AA112)</f>
        <v>74417</v>
      </c>
      <c r="AC113" s="155" t="n">
        <f aca="false">SUM(AC111:AC112)</f>
        <v>173681</v>
      </c>
      <c r="AE113" s="155" t="n">
        <f aca="false">SUM(AE111:AE112)</f>
        <v>225874</v>
      </c>
      <c r="AF113" s="24"/>
      <c r="AG113" s="155" t="n">
        <f aca="false">SUM(AG111:AG112)</f>
        <v>95731.61</v>
      </c>
      <c r="AH113" s="24"/>
      <c r="AI113" s="155" t="n">
        <f aca="false">SUM(AI111:AI112)</f>
        <v>68947.09</v>
      </c>
      <c r="AJ113" s="24"/>
      <c r="AK113" s="155" t="n">
        <f aca="false">SUM(AK111:AK112)</f>
        <v>26336.93</v>
      </c>
      <c r="AL113" s="24"/>
      <c r="AM113" s="155" t="n">
        <f aca="false">SUM(AM111:AM112)</f>
        <v>1079.27</v>
      </c>
      <c r="AN113" s="24"/>
      <c r="AO113" s="155" t="n">
        <f aca="false">SUM(AO111:AO112)</f>
        <v>774.79</v>
      </c>
      <c r="AP113" s="24"/>
      <c r="AQ113" s="155" t="n">
        <f aca="false">SUM(AQ111:AQ112)</f>
        <v>0</v>
      </c>
      <c r="AR113" s="129"/>
      <c r="AS113" s="155" t="n">
        <f aca="false">SUM(AS111:AS112)</f>
        <v>698289.4</v>
      </c>
      <c r="AT113" s="128"/>
      <c r="AU113" s="155" t="n">
        <f aca="false">SUM(AU111:AU112)</f>
        <v>5115.33</v>
      </c>
      <c r="AV113" s="128"/>
      <c r="AW113" s="155" t="n">
        <f aca="false">SUM(AW111:AW112)</f>
        <v>0</v>
      </c>
      <c r="AX113" s="173"/>
      <c r="AY113" s="155" t="n">
        <f aca="false">SUM(AY111:AY112)</f>
        <v>698289.4</v>
      </c>
      <c r="AZ113" s="173"/>
      <c r="BA113" s="155" t="n">
        <f aca="false">SUM(BA111:BA112)</f>
        <v>-13750.4</v>
      </c>
      <c r="BB113" s="174"/>
      <c r="BC113" s="174"/>
      <c r="BD113" s="174"/>
      <c r="BE113" s="174"/>
      <c r="BF113" s="174"/>
      <c r="BG113" s="174"/>
      <c r="BH113" s="174"/>
      <c r="BI113" s="174"/>
      <c r="BJ113" s="174"/>
      <c r="BK113" s="174"/>
      <c r="BL113" s="174"/>
      <c r="BM113" s="174"/>
      <c r="BN113" s="174"/>
      <c r="BO113" s="174"/>
      <c r="BP113" s="174"/>
      <c r="BQ113" s="174"/>
      <c r="BR113" s="174"/>
      <c r="BS113" s="174"/>
      <c r="BT113" s="174"/>
      <c r="BU113" s="174"/>
      <c r="BV113" s="174"/>
      <c r="BW113" s="174"/>
      <c r="BX113" s="174"/>
      <c r="BY113" s="174"/>
      <c r="BZ113" s="174"/>
      <c r="CA113" s="174"/>
      <c r="CB113" s="174"/>
      <c r="CC113" s="174"/>
      <c r="CD113" s="174"/>
      <c r="CE113" s="174"/>
      <c r="CF113" s="174"/>
      <c r="CG113" s="174"/>
      <c r="CH113" s="174"/>
      <c r="CI113" s="174"/>
      <c r="CJ113" s="174"/>
      <c r="CK113" s="174"/>
      <c r="CL113" s="174"/>
      <c r="CM113" s="174"/>
      <c r="CN113" s="174"/>
      <c r="CO113" s="174"/>
      <c r="CP113" s="174"/>
      <c r="CQ113" s="174"/>
      <c r="CR113" s="174"/>
      <c r="CS113" s="174"/>
      <c r="CT113" s="174"/>
      <c r="CU113" s="174"/>
      <c r="CV113" s="174"/>
      <c r="CW113" s="174"/>
      <c r="CX113" s="174"/>
      <c r="CY113" s="174"/>
      <c r="CZ113" s="174"/>
      <c r="DA113" s="174"/>
      <c r="DB113" s="174"/>
      <c r="DC113" s="174"/>
      <c r="DD113" s="174"/>
      <c r="DE113" s="174"/>
      <c r="DF113" s="174"/>
      <c r="DG113" s="174"/>
      <c r="DH113" s="174"/>
      <c r="DI113" s="174"/>
      <c r="DJ113" s="174"/>
      <c r="DK113" s="174"/>
      <c r="DL113" s="174"/>
      <c r="DM113" s="174"/>
      <c r="DN113" s="174"/>
      <c r="DO113" s="174"/>
      <c r="DP113" s="174"/>
      <c r="DQ113" s="174"/>
      <c r="DR113" s="174"/>
      <c r="DS113" s="174"/>
      <c r="DT113" s="174"/>
      <c r="DU113" s="174"/>
      <c r="DV113" s="174"/>
      <c r="DW113" s="174"/>
      <c r="DX113" s="174"/>
      <c r="DY113" s="174"/>
      <c r="DZ113" s="174"/>
      <c r="EA113" s="174"/>
      <c r="EB113" s="174"/>
      <c r="EC113" s="174"/>
      <c r="ED113" s="174"/>
      <c r="EE113" s="174"/>
      <c r="EF113" s="174"/>
      <c r="EG113" s="174"/>
      <c r="EH113" s="174"/>
      <c r="EI113" s="174"/>
      <c r="EJ113" s="174"/>
      <c r="EK113" s="174"/>
      <c r="EL113" s="174"/>
      <c r="EM113" s="174"/>
      <c r="EN113" s="174"/>
      <c r="EO113" s="174"/>
      <c r="EP113" s="174"/>
      <c r="EQ113" s="174"/>
      <c r="ER113" s="174"/>
      <c r="ES113" s="174"/>
      <c r="ET113" s="174"/>
      <c r="EU113" s="174"/>
      <c r="EV113" s="174"/>
      <c r="EW113" s="174"/>
      <c r="EX113" s="174"/>
      <c r="EY113" s="174"/>
      <c r="EZ113" s="174"/>
      <c r="FA113" s="174"/>
      <c r="FB113" s="174"/>
      <c r="FC113" s="174"/>
      <c r="FD113" s="174"/>
      <c r="FE113" s="174"/>
      <c r="FF113" s="174"/>
      <c r="FG113" s="174"/>
      <c r="FH113" s="174"/>
      <c r="FI113" s="174"/>
      <c r="FJ113" s="174"/>
      <c r="FK113" s="174"/>
      <c r="FL113" s="174"/>
      <c r="FM113" s="174"/>
      <c r="FN113" s="174"/>
      <c r="FO113" s="174"/>
      <c r="FP113" s="174"/>
      <c r="FQ113" s="174"/>
      <c r="FR113" s="174"/>
      <c r="FS113" s="174"/>
      <c r="FT113" s="174"/>
      <c r="FU113" s="174"/>
      <c r="FV113" s="174"/>
      <c r="FW113" s="174"/>
      <c r="FX113" s="174"/>
      <c r="FY113" s="174"/>
      <c r="FZ113" s="174"/>
      <c r="GA113" s="174"/>
      <c r="GB113" s="174"/>
      <c r="GC113" s="174"/>
      <c r="GD113" s="174"/>
      <c r="GE113" s="174"/>
      <c r="GF113" s="174"/>
      <c r="GG113" s="174"/>
      <c r="GH113" s="174"/>
      <c r="GI113" s="174"/>
      <c r="GJ113" s="174"/>
      <c r="GK113" s="174"/>
      <c r="GL113" s="174"/>
      <c r="GM113" s="174"/>
      <c r="GN113" s="174"/>
      <c r="GO113" s="174"/>
      <c r="GP113" s="174"/>
      <c r="GQ113" s="174"/>
      <c r="GR113" s="174"/>
      <c r="GS113" s="174"/>
      <c r="GT113" s="174"/>
      <c r="GU113" s="174"/>
      <c r="GV113" s="174"/>
      <c r="GW113" s="174"/>
      <c r="GX113" s="174"/>
      <c r="GY113" s="174"/>
      <c r="GZ113" s="174"/>
      <c r="HA113" s="174"/>
      <c r="HB113" s="174"/>
      <c r="HC113" s="174"/>
      <c r="HD113" s="174"/>
      <c r="HE113" s="174"/>
      <c r="HF113" s="174"/>
      <c r="HG113" s="174"/>
      <c r="HH113" s="174"/>
      <c r="HI113" s="174"/>
      <c r="HJ113" s="174"/>
      <c r="HK113" s="174"/>
      <c r="HL113" s="174"/>
      <c r="HM113" s="174"/>
      <c r="HN113" s="174"/>
      <c r="HO113" s="174"/>
      <c r="HP113" s="174"/>
      <c r="HQ113" s="174"/>
      <c r="HR113" s="174"/>
      <c r="HS113" s="174"/>
      <c r="HT113" s="174"/>
      <c r="HU113" s="174"/>
      <c r="HV113" s="174"/>
      <c r="HW113" s="174"/>
      <c r="HX113" s="174"/>
      <c r="HY113" s="174"/>
      <c r="HZ113" s="174"/>
      <c r="IA113" s="174"/>
      <c r="IB113" s="174"/>
      <c r="IC113" s="174"/>
      <c r="ID113" s="174"/>
      <c r="IE113" s="174"/>
      <c r="IF113" s="174"/>
      <c r="IG113" s="174"/>
      <c r="IH113" s="174"/>
      <c r="II113" s="174"/>
      <c r="IJ113" s="174"/>
      <c r="IK113" s="174"/>
      <c r="IL113" s="174"/>
      <c r="IM113" s="174"/>
      <c r="IN113" s="174"/>
      <c r="IO113" s="174"/>
      <c r="IP113" s="174"/>
      <c r="IQ113" s="174"/>
      <c r="IR113" s="174"/>
      <c r="IS113" s="174"/>
      <c r="IT113" s="174"/>
      <c r="IU113" s="174"/>
      <c r="IV113" s="174"/>
      <c r="IW113" s="174"/>
    </row>
    <row r="114" customFormat="false" ht="12.75" hidden="false" customHeight="false" outlineLevel="0" collapsed="false">
      <c r="A114" s="172"/>
      <c r="B114" s="127"/>
      <c r="C114" s="132"/>
      <c r="D114" s="173"/>
      <c r="E114" s="173"/>
      <c r="F114" s="173"/>
      <c r="G114" s="128"/>
      <c r="H114" s="173"/>
      <c r="I114" s="173"/>
      <c r="J114" s="173"/>
      <c r="K114" s="24"/>
      <c r="L114" s="173"/>
      <c r="M114" s="24"/>
      <c r="N114" s="173"/>
      <c r="O114" s="24"/>
      <c r="P114" s="173"/>
      <c r="Q114" s="129"/>
      <c r="S114" s="129"/>
      <c r="U114" s="129"/>
      <c r="W114" s="129"/>
      <c r="Y114" s="129"/>
      <c r="AA114" s="129"/>
      <c r="AC114" s="129"/>
      <c r="AE114" s="129"/>
      <c r="AF114" s="129"/>
      <c r="AG114" s="129"/>
      <c r="AH114" s="129"/>
      <c r="AI114" s="129"/>
      <c r="AJ114" s="129"/>
      <c r="AK114" s="129"/>
      <c r="AL114" s="129"/>
      <c r="AM114" s="129"/>
      <c r="AN114" s="129"/>
      <c r="AO114" s="129"/>
      <c r="AP114" s="129"/>
      <c r="AQ114" s="129"/>
      <c r="AR114" s="129"/>
      <c r="AS114" s="24"/>
      <c r="AT114" s="128"/>
      <c r="AU114" s="129"/>
      <c r="AV114" s="128"/>
      <c r="AW114" s="24"/>
      <c r="AX114" s="173"/>
      <c r="AY114" s="24"/>
      <c r="AZ114" s="173"/>
      <c r="BA114" s="24"/>
      <c r="BB114" s="174"/>
      <c r="BC114" s="174"/>
      <c r="BD114" s="174"/>
      <c r="BE114" s="174"/>
      <c r="BF114" s="174"/>
      <c r="BG114" s="174"/>
      <c r="BH114" s="174"/>
      <c r="BI114" s="174"/>
      <c r="BJ114" s="174"/>
      <c r="BK114" s="174"/>
      <c r="BL114" s="174"/>
      <c r="BM114" s="174"/>
      <c r="BN114" s="174"/>
      <c r="BO114" s="174"/>
      <c r="BP114" s="174"/>
      <c r="BQ114" s="174"/>
      <c r="BR114" s="174"/>
      <c r="BS114" s="174"/>
      <c r="BT114" s="174"/>
      <c r="BU114" s="174"/>
      <c r="BV114" s="174"/>
      <c r="BW114" s="174"/>
      <c r="BX114" s="174"/>
      <c r="BY114" s="174"/>
      <c r="BZ114" s="174"/>
      <c r="CA114" s="174"/>
      <c r="CB114" s="174"/>
      <c r="CC114" s="174"/>
      <c r="CD114" s="174"/>
      <c r="CE114" s="174"/>
      <c r="CF114" s="174"/>
      <c r="CG114" s="174"/>
      <c r="CH114" s="174"/>
      <c r="CI114" s="174"/>
      <c r="CJ114" s="174"/>
      <c r="CK114" s="174"/>
      <c r="CL114" s="174"/>
      <c r="CM114" s="174"/>
      <c r="CN114" s="174"/>
      <c r="CO114" s="174"/>
      <c r="CP114" s="174"/>
      <c r="CQ114" s="174"/>
      <c r="CR114" s="174"/>
      <c r="CS114" s="174"/>
      <c r="CT114" s="174"/>
      <c r="CU114" s="174"/>
      <c r="CV114" s="174"/>
      <c r="CW114" s="174"/>
      <c r="CX114" s="174"/>
      <c r="CY114" s="174"/>
      <c r="CZ114" s="174"/>
      <c r="DA114" s="174"/>
      <c r="DB114" s="174"/>
      <c r="DC114" s="174"/>
      <c r="DD114" s="174"/>
      <c r="DE114" s="174"/>
      <c r="DF114" s="174"/>
      <c r="DG114" s="174"/>
      <c r="DH114" s="174"/>
      <c r="DI114" s="174"/>
      <c r="DJ114" s="174"/>
      <c r="DK114" s="174"/>
      <c r="DL114" s="174"/>
      <c r="DM114" s="174"/>
      <c r="DN114" s="174"/>
      <c r="DO114" s="174"/>
      <c r="DP114" s="174"/>
      <c r="DQ114" s="174"/>
      <c r="DR114" s="174"/>
      <c r="DS114" s="174"/>
      <c r="DT114" s="174"/>
      <c r="DU114" s="174"/>
      <c r="DV114" s="174"/>
      <c r="DW114" s="174"/>
      <c r="DX114" s="174"/>
      <c r="DY114" s="174"/>
      <c r="DZ114" s="174"/>
      <c r="EA114" s="174"/>
      <c r="EB114" s="174"/>
      <c r="EC114" s="174"/>
      <c r="ED114" s="174"/>
      <c r="EE114" s="174"/>
      <c r="EF114" s="174"/>
      <c r="EG114" s="174"/>
      <c r="EH114" s="174"/>
      <c r="EI114" s="174"/>
      <c r="EJ114" s="174"/>
      <c r="EK114" s="174"/>
      <c r="EL114" s="174"/>
      <c r="EM114" s="174"/>
      <c r="EN114" s="174"/>
      <c r="EO114" s="174"/>
      <c r="EP114" s="174"/>
      <c r="EQ114" s="174"/>
      <c r="ER114" s="174"/>
      <c r="ES114" s="174"/>
      <c r="ET114" s="174"/>
      <c r="EU114" s="174"/>
      <c r="EV114" s="174"/>
      <c r="EW114" s="174"/>
      <c r="EX114" s="174"/>
      <c r="EY114" s="174"/>
      <c r="EZ114" s="174"/>
      <c r="FA114" s="174"/>
      <c r="FB114" s="174"/>
      <c r="FC114" s="174"/>
      <c r="FD114" s="174"/>
      <c r="FE114" s="174"/>
      <c r="FF114" s="174"/>
      <c r="FG114" s="174"/>
      <c r="FH114" s="174"/>
      <c r="FI114" s="174"/>
      <c r="FJ114" s="174"/>
      <c r="FK114" s="174"/>
      <c r="FL114" s="174"/>
      <c r="FM114" s="174"/>
      <c r="FN114" s="174"/>
      <c r="FO114" s="174"/>
      <c r="FP114" s="174"/>
      <c r="FQ114" s="174"/>
      <c r="FR114" s="174"/>
      <c r="FS114" s="174"/>
      <c r="FT114" s="174"/>
      <c r="FU114" s="174"/>
      <c r="FV114" s="174"/>
      <c r="FW114" s="174"/>
      <c r="FX114" s="174"/>
      <c r="FY114" s="174"/>
      <c r="FZ114" s="174"/>
      <c r="GA114" s="174"/>
      <c r="GB114" s="174"/>
      <c r="GC114" s="174"/>
      <c r="GD114" s="174"/>
      <c r="GE114" s="174"/>
      <c r="GF114" s="174"/>
      <c r="GG114" s="174"/>
      <c r="GH114" s="174"/>
      <c r="GI114" s="174"/>
      <c r="GJ114" s="174"/>
      <c r="GK114" s="174"/>
      <c r="GL114" s="174"/>
      <c r="GM114" s="174"/>
      <c r="GN114" s="174"/>
      <c r="GO114" s="174"/>
      <c r="GP114" s="174"/>
      <c r="GQ114" s="174"/>
      <c r="GR114" s="174"/>
      <c r="GS114" s="174"/>
      <c r="GT114" s="174"/>
      <c r="GU114" s="174"/>
      <c r="GV114" s="174"/>
      <c r="GW114" s="174"/>
      <c r="GX114" s="174"/>
      <c r="GY114" s="174"/>
      <c r="GZ114" s="174"/>
      <c r="HA114" s="174"/>
      <c r="HB114" s="174"/>
      <c r="HC114" s="174"/>
      <c r="HD114" s="174"/>
      <c r="HE114" s="174"/>
      <c r="HF114" s="174"/>
      <c r="HG114" s="174"/>
      <c r="HH114" s="174"/>
      <c r="HI114" s="174"/>
      <c r="HJ114" s="174"/>
      <c r="HK114" s="174"/>
      <c r="HL114" s="174"/>
      <c r="HM114" s="174"/>
      <c r="HN114" s="174"/>
      <c r="HO114" s="174"/>
      <c r="HP114" s="174"/>
      <c r="HQ114" s="174"/>
      <c r="HR114" s="174"/>
      <c r="HS114" s="174"/>
      <c r="HT114" s="174"/>
      <c r="HU114" s="174"/>
      <c r="HV114" s="174"/>
      <c r="HW114" s="174"/>
      <c r="HX114" s="174"/>
      <c r="HY114" s="174"/>
      <c r="HZ114" s="174"/>
      <c r="IA114" s="174"/>
      <c r="IB114" s="174"/>
      <c r="IC114" s="174"/>
      <c r="ID114" s="174"/>
      <c r="IE114" s="174"/>
      <c r="IF114" s="174"/>
      <c r="IG114" s="174"/>
      <c r="IH114" s="174"/>
      <c r="II114" s="174"/>
      <c r="IJ114" s="174"/>
      <c r="IK114" s="174"/>
      <c r="IL114" s="174"/>
      <c r="IM114" s="174"/>
      <c r="IN114" s="174"/>
      <c r="IO114" s="174"/>
      <c r="IP114" s="174"/>
      <c r="IQ114" s="174"/>
      <c r="IR114" s="174"/>
      <c r="IS114" s="174"/>
      <c r="IT114" s="174"/>
      <c r="IU114" s="174"/>
      <c r="IV114" s="174"/>
      <c r="IW114" s="174"/>
    </row>
    <row r="115" customFormat="false" ht="12.75" hidden="false" customHeight="false" outlineLevel="0" collapsed="false">
      <c r="A115" s="175" t="s">
        <v>271</v>
      </c>
      <c r="B115" s="127"/>
      <c r="C115" s="132" t="s">
        <v>147</v>
      </c>
      <c r="D115" s="173"/>
      <c r="E115" s="173" t="s">
        <v>272</v>
      </c>
      <c r="F115" s="173"/>
      <c r="G115" s="128" t="s">
        <v>273</v>
      </c>
      <c r="H115" s="173"/>
      <c r="I115" s="173"/>
      <c r="J115" s="173"/>
      <c r="K115" s="162" t="n">
        <v>2000000</v>
      </c>
      <c r="L115" s="173"/>
      <c r="M115" s="162" t="n">
        <v>-1179880</v>
      </c>
      <c r="N115" s="173"/>
      <c r="O115" s="162" t="n">
        <f aca="false">SUM(K115:N115)</f>
        <v>820120</v>
      </c>
      <c r="P115" s="173"/>
      <c r="Q115" s="129" t="n">
        <v>0</v>
      </c>
      <c r="S115" s="129" t="n">
        <v>0</v>
      </c>
      <c r="U115" s="129"/>
      <c r="W115" s="129" t="n">
        <f aca="false">724769.25-724769.25</f>
        <v>0</v>
      </c>
      <c r="Y115" s="129"/>
      <c r="AA115" s="129"/>
      <c r="AC115" s="129"/>
      <c r="AE115" s="129"/>
      <c r="AF115" s="129"/>
      <c r="AG115" s="129"/>
      <c r="AH115" s="129"/>
      <c r="AI115" s="129" t="n">
        <f aca="false">5601.8+380.11+1228.79+501.3+43.87+89148+117206.25+22797.93-227.98+1551.15</f>
        <v>238231.22</v>
      </c>
      <c r="AJ115" s="129"/>
      <c r="AK115" s="129" t="n">
        <v>16621.03</v>
      </c>
      <c r="AL115" s="129"/>
      <c r="AM115" s="129" t="n">
        <v>1062894.56</v>
      </c>
      <c r="AN115" s="129"/>
      <c r="AO115" s="129" t="n">
        <v>0</v>
      </c>
      <c r="AP115" s="129"/>
      <c r="AQ115" s="129" t="n">
        <v>0</v>
      </c>
      <c r="AR115" s="129"/>
      <c r="AS115" s="95" t="n">
        <f aca="false">SUM(P115:AR115)</f>
        <v>1317746.81</v>
      </c>
      <c r="AT115" s="128"/>
      <c r="AU115" s="129"/>
      <c r="AV115" s="128"/>
      <c r="AW115" s="95" t="n">
        <f aca="false">IF(+O115-AS115+AU115&gt;0,O115-AS115+AU115,0)</f>
        <v>0</v>
      </c>
      <c r="AX115" s="173"/>
      <c r="AY115" s="24" t="n">
        <f aca="false">+AW115+AS115</f>
        <v>1317746.81</v>
      </c>
      <c r="AZ115" s="173"/>
      <c r="BA115" s="95" t="n">
        <f aca="false">+O115-AY115</f>
        <v>-497626.81</v>
      </c>
      <c r="BB115" s="174"/>
      <c r="BC115" s="174"/>
      <c r="BD115" s="174"/>
      <c r="BE115" s="174"/>
      <c r="BF115" s="174"/>
      <c r="BG115" s="174"/>
      <c r="BH115" s="174"/>
      <c r="BI115" s="174"/>
      <c r="BJ115" s="174"/>
      <c r="BK115" s="174"/>
      <c r="BL115" s="174"/>
      <c r="BM115" s="174"/>
      <c r="BN115" s="174"/>
      <c r="BO115" s="174"/>
      <c r="BP115" s="174"/>
      <c r="BQ115" s="174"/>
      <c r="BR115" s="174"/>
      <c r="BS115" s="174"/>
      <c r="BT115" s="174"/>
      <c r="BU115" s="174"/>
      <c r="BV115" s="174"/>
      <c r="BW115" s="174"/>
      <c r="BX115" s="174"/>
      <c r="BY115" s="174"/>
      <c r="BZ115" s="174"/>
      <c r="CA115" s="174"/>
      <c r="CB115" s="174"/>
      <c r="CC115" s="174"/>
      <c r="CD115" s="174"/>
      <c r="CE115" s="174"/>
      <c r="CF115" s="174"/>
      <c r="CG115" s="174"/>
      <c r="CH115" s="174"/>
      <c r="CI115" s="174"/>
      <c r="CJ115" s="174"/>
      <c r="CK115" s="174"/>
      <c r="CL115" s="174"/>
      <c r="CM115" s="174"/>
      <c r="CN115" s="174"/>
      <c r="CO115" s="174"/>
      <c r="CP115" s="174"/>
      <c r="CQ115" s="174"/>
      <c r="CR115" s="174"/>
      <c r="CS115" s="174"/>
      <c r="CT115" s="174"/>
      <c r="CU115" s="174"/>
      <c r="CV115" s="174"/>
      <c r="CW115" s="174"/>
      <c r="CX115" s="174"/>
      <c r="CY115" s="174"/>
      <c r="CZ115" s="174"/>
      <c r="DA115" s="174"/>
      <c r="DB115" s="174"/>
      <c r="DC115" s="174"/>
      <c r="DD115" s="174"/>
      <c r="DE115" s="174"/>
      <c r="DF115" s="174"/>
      <c r="DG115" s="174"/>
      <c r="DH115" s="174"/>
      <c r="DI115" s="174"/>
      <c r="DJ115" s="174"/>
      <c r="DK115" s="174"/>
      <c r="DL115" s="174"/>
      <c r="DM115" s="174"/>
      <c r="DN115" s="174"/>
      <c r="DO115" s="174"/>
      <c r="DP115" s="174"/>
      <c r="DQ115" s="174"/>
      <c r="DR115" s="174"/>
      <c r="DS115" s="174"/>
      <c r="DT115" s="174"/>
      <c r="DU115" s="174"/>
      <c r="DV115" s="174"/>
      <c r="DW115" s="174"/>
      <c r="DX115" s="174"/>
      <c r="DY115" s="174"/>
      <c r="DZ115" s="174"/>
      <c r="EA115" s="174"/>
      <c r="EB115" s="174"/>
      <c r="EC115" s="174"/>
      <c r="ED115" s="174"/>
      <c r="EE115" s="174"/>
      <c r="EF115" s="174"/>
      <c r="EG115" s="174"/>
      <c r="EH115" s="174"/>
      <c r="EI115" s="174"/>
      <c r="EJ115" s="174"/>
      <c r="EK115" s="174"/>
      <c r="EL115" s="174"/>
      <c r="EM115" s="174"/>
      <c r="EN115" s="174"/>
      <c r="EO115" s="174"/>
      <c r="EP115" s="174"/>
      <c r="EQ115" s="174"/>
      <c r="ER115" s="174"/>
      <c r="ES115" s="174"/>
      <c r="ET115" s="174"/>
      <c r="EU115" s="174"/>
      <c r="EV115" s="174"/>
      <c r="EW115" s="174"/>
      <c r="EX115" s="174"/>
      <c r="EY115" s="174"/>
      <c r="EZ115" s="174"/>
      <c r="FA115" s="174"/>
      <c r="FB115" s="174"/>
      <c r="FC115" s="174"/>
      <c r="FD115" s="174"/>
      <c r="FE115" s="174"/>
      <c r="FF115" s="174"/>
      <c r="FG115" s="174"/>
      <c r="FH115" s="174"/>
      <c r="FI115" s="174"/>
      <c r="FJ115" s="174"/>
      <c r="FK115" s="174"/>
      <c r="FL115" s="174"/>
      <c r="FM115" s="174"/>
      <c r="FN115" s="174"/>
      <c r="FO115" s="174"/>
      <c r="FP115" s="174"/>
      <c r="FQ115" s="174"/>
      <c r="FR115" s="174"/>
      <c r="FS115" s="174"/>
      <c r="FT115" s="174"/>
      <c r="FU115" s="174"/>
      <c r="FV115" s="174"/>
      <c r="FW115" s="174"/>
      <c r="FX115" s="174"/>
      <c r="FY115" s="174"/>
      <c r="FZ115" s="174"/>
      <c r="GA115" s="174"/>
      <c r="GB115" s="174"/>
      <c r="GC115" s="174"/>
      <c r="GD115" s="174"/>
      <c r="GE115" s="174"/>
      <c r="GF115" s="174"/>
      <c r="GG115" s="174"/>
      <c r="GH115" s="174"/>
      <c r="GI115" s="174"/>
      <c r="GJ115" s="174"/>
      <c r="GK115" s="174"/>
      <c r="GL115" s="174"/>
      <c r="GM115" s="174"/>
      <c r="GN115" s="174"/>
      <c r="GO115" s="174"/>
      <c r="GP115" s="174"/>
      <c r="GQ115" s="174"/>
      <c r="GR115" s="174"/>
      <c r="GS115" s="174"/>
      <c r="GT115" s="174"/>
      <c r="GU115" s="174"/>
      <c r="GV115" s="174"/>
      <c r="GW115" s="174"/>
      <c r="GX115" s="174"/>
      <c r="GY115" s="174"/>
      <c r="GZ115" s="174"/>
      <c r="HA115" s="174"/>
      <c r="HB115" s="174"/>
      <c r="HC115" s="174"/>
      <c r="HD115" s="174"/>
      <c r="HE115" s="174"/>
      <c r="HF115" s="174"/>
      <c r="HG115" s="174"/>
      <c r="HH115" s="174"/>
      <c r="HI115" s="174"/>
      <c r="HJ115" s="174"/>
      <c r="HK115" s="174"/>
      <c r="HL115" s="174"/>
      <c r="HM115" s="174"/>
      <c r="HN115" s="174"/>
      <c r="HO115" s="174"/>
      <c r="HP115" s="174"/>
      <c r="HQ115" s="174"/>
      <c r="HR115" s="174"/>
      <c r="HS115" s="174"/>
      <c r="HT115" s="174"/>
      <c r="HU115" s="174"/>
      <c r="HV115" s="174"/>
      <c r="HW115" s="174"/>
      <c r="HX115" s="174"/>
      <c r="HY115" s="174"/>
      <c r="HZ115" s="174"/>
      <c r="IA115" s="174"/>
      <c r="IB115" s="174"/>
      <c r="IC115" s="174"/>
      <c r="ID115" s="174"/>
      <c r="IE115" s="174"/>
      <c r="IF115" s="174"/>
      <c r="IG115" s="174"/>
      <c r="IH115" s="174"/>
      <c r="II115" s="174"/>
      <c r="IJ115" s="174"/>
      <c r="IK115" s="174"/>
      <c r="IL115" s="174"/>
      <c r="IM115" s="174"/>
      <c r="IN115" s="174"/>
      <c r="IO115" s="174"/>
      <c r="IP115" s="174"/>
      <c r="IQ115" s="174"/>
      <c r="IR115" s="174"/>
      <c r="IS115" s="174"/>
      <c r="IT115" s="174"/>
      <c r="IU115" s="174"/>
      <c r="IV115" s="174"/>
      <c r="IW115" s="174"/>
    </row>
    <row r="116" customFormat="false" ht="12.75" hidden="false" customHeight="false" outlineLevel="0" collapsed="false">
      <c r="A116" s="145"/>
      <c r="B116" s="132"/>
      <c r="C116" s="132"/>
      <c r="D116" s="128"/>
      <c r="E116" s="128"/>
      <c r="F116" s="128"/>
      <c r="G116" s="128"/>
      <c r="H116" s="128"/>
      <c r="I116" s="128"/>
      <c r="J116" s="128"/>
      <c r="L116" s="128"/>
      <c r="N116" s="128"/>
      <c r="P116" s="128"/>
      <c r="AT116" s="128"/>
      <c r="AV116" s="128"/>
      <c r="AX116" s="128"/>
      <c r="AZ116" s="128"/>
    </row>
    <row r="117" customFormat="false" ht="12.75" hidden="false" customHeight="false" outlineLevel="0" collapsed="false">
      <c r="A117" s="152" t="s">
        <v>274</v>
      </c>
      <c r="B117" s="153"/>
      <c r="C117" s="132" t="s">
        <v>147</v>
      </c>
      <c r="D117" s="128"/>
      <c r="E117" s="128" t="s">
        <v>275</v>
      </c>
      <c r="F117" s="128"/>
      <c r="G117" s="128" t="s">
        <v>276</v>
      </c>
      <c r="H117" s="128"/>
      <c r="I117" s="128"/>
      <c r="J117" s="128"/>
      <c r="K117" s="24" t="n">
        <v>446907</v>
      </c>
      <c r="L117" s="128"/>
      <c r="M117" s="24" t="n">
        <v>0</v>
      </c>
      <c r="N117" s="128"/>
      <c r="O117" s="24" t="n">
        <f aca="false">SUM(K117:N117)</f>
        <v>446907</v>
      </c>
      <c r="P117" s="128"/>
      <c r="Q117" s="96" t="n">
        <f aca="false">436907+10000</f>
        <v>446907</v>
      </c>
      <c r="S117" s="96" t="n">
        <v>0</v>
      </c>
      <c r="AC117" s="96" t="n">
        <v>3333.33</v>
      </c>
      <c r="AS117" s="95" t="n">
        <f aca="false">SUM(P117:AR117)</f>
        <v>450240.33</v>
      </c>
      <c r="AT117" s="128"/>
      <c r="AV117" s="128"/>
      <c r="AW117" s="95" t="n">
        <f aca="false">IF(+O117-AS117+AU117&gt;0,O117-AS117+AU117,0)</f>
        <v>0</v>
      </c>
      <c r="AX117" s="128"/>
      <c r="AY117" s="95" t="n">
        <f aca="false">+AW117+AS117</f>
        <v>450240.33</v>
      </c>
      <c r="AZ117" s="128"/>
      <c r="BA117" s="95" t="n">
        <f aca="false">+O117-AY117</f>
        <v>-3333.33000000002</v>
      </c>
      <c r="BC117" s="90" t="s">
        <v>277</v>
      </c>
    </row>
    <row r="118" customFormat="false" ht="12.75" hidden="false" customHeight="false" outlineLevel="0" collapsed="false">
      <c r="A118" s="152"/>
      <c r="B118" s="153" t="s">
        <v>278</v>
      </c>
      <c r="C118" s="132" t="s">
        <v>147</v>
      </c>
      <c r="D118" s="128"/>
      <c r="E118" s="128" t="s">
        <v>279</v>
      </c>
      <c r="F118" s="128"/>
      <c r="G118" s="128"/>
      <c r="H118" s="128"/>
      <c r="I118" s="128"/>
      <c r="J118" s="128"/>
      <c r="K118" s="24" t="n">
        <v>7700</v>
      </c>
      <c r="L118" s="128"/>
      <c r="M118" s="24" t="n">
        <v>0</v>
      </c>
      <c r="N118" s="128"/>
      <c r="O118" s="24" t="n">
        <f aca="false">SUM(K118:N118)</f>
        <v>7700</v>
      </c>
      <c r="P118" s="128"/>
      <c r="Q118" s="96" t="n">
        <v>7700</v>
      </c>
      <c r="S118" s="96" t="n">
        <v>0</v>
      </c>
      <c r="AS118" s="95" t="n">
        <f aca="false">SUM(P118:AR118)</f>
        <v>7700</v>
      </c>
      <c r="AT118" s="128"/>
      <c r="AV118" s="128"/>
      <c r="AW118" s="95" t="n">
        <f aca="false">IF(+O118-AS118+AU118&gt;0,O118-AS118+AU118,0)</f>
        <v>0</v>
      </c>
      <c r="AX118" s="128"/>
      <c r="AY118" s="95" t="n">
        <f aca="false">+AW118+AS118</f>
        <v>7700</v>
      </c>
      <c r="AZ118" s="128"/>
      <c r="BA118" s="95" t="n">
        <f aca="false">+O118-AY118</f>
        <v>0</v>
      </c>
    </row>
    <row r="119" customFormat="false" ht="12.75" hidden="false" customHeight="false" outlineLevel="0" collapsed="false">
      <c r="A119" s="152"/>
      <c r="B119" s="153" t="s">
        <v>280</v>
      </c>
      <c r="C119" s="132"/>
      <c r="D119" s="128"/>
      <c r="E119" s="128"/>
      <c r="F119" s="128"/>
      <c r="G119" s="128"/>
      <c r="H119" s="128"/>
      <c r="I119" s="128"/>
      <c r="J119" s="128"/>
      <c r="K119" s="24" t="n">
        <v>0</v>
      </c>
      <c r="L119" s="128"/>
      <c r="M119" s="24" t="n">
        <v>0</v>
      </c>
      <c r="N119" s="128"/>
      <c r="O119" s="24" t="n">
        <v>0</v>
      </c>
      <c r="P119" s="128"/>
      <c r="Q119" s="96" t="n">
        <v>0</v>
      </c>
      <c r="S119" s="96" t="n">
        <v>3500</v>
      </c>
      <c r="AS119" s="95" t="n">
        <f aca="false">SUM(P119:AR119)</f>
        <v>3500</v>
      </c>
      <c r="AT119" s="128"/>
      <c r="AV119" s="128"/>
      <c r="AW119" s="95" t="n">
        <f aca="false">IF(+O119-AS119+AU119&gt;0,O119-AS119+AU119,0)</f>
        <v>0</v>
      </c>
      <c r="AX119" s="128"/>
      <c r="AY119" s="95" t="n">
        <f aca="false">+AW119+AS119</f>
        <v>3500</v>
      </c>
      <c r="AZ119" s="128"/>
      <c r="BA119" s="95" t="n">
        <f aca="false">+O119-AY119</f>
        <v>-3500</v>
      </c>
    </row>
    <row r="120" customFormat="false" ht="12.75" hidden="false" customHeight="false" outlineLevel="0" collapsed="false">
      <c r="A120" s="152"/>
      <c r="B120" s="153"/>
      <c r="C120" s="132"/>
      <c r="D120" s="128"/>
      <c r="E120" s="128"/>
      <c r="F120" s="128"/>
      <c r="G120" s="128"/>
      <c r="H120" s="128"/>
      <c r="I120" s="128"/>
      <c r="J120" s="128"/>
      <c r="K120" s="155" t="n">
        <f aca="false">SUM(K117:K119)</f>
        <v>454607</v>
      </c>
      <c r="L120" s="128"/>
      <c r="M120" s="155" t="n">
        <f aca="false">SUM(M117:M119)</f>
        <v>0</v>
      </c>
      <c r="N120" s="128"/>
      <c r="O120" s="155" t="n">
        <f aca="false">SUM(O117:O119)</f>
        <v>454607</v>
      </c>
      <c r="P120" s="128"/>
      <c r="Q120" s="155" t="n">
        <f aca="false">SUM(Q117:Q119)</f>
        <v>454607</v>
      </c>
      <c r="S120" s="155" t="n">
        <f aca="false">SUM(S117:S119)</f>
        <v>3500</v>
      </c>
      <c r="U120" s="155" t="n">
        <f aca="false">SUM(U117:U119)</f>
        <v>0</v>
      </c>
      <c r="W120" s="155" t="n">
        <f aca="false">SUM(W117:W119)</f>
        <v>0</v>
      </c>
      <c r="Y120" s="155" t="n">
        <f aca="false">SUM(Y117:Y119)</f>
        <v>0</v>
      </c>
      <c r="AA120" s="155" t="n">
        <f aca="false">SUM(AA117:AA119)</f>
        <v>0</v>
      </c>
      <c r="AC120" s="155" t="n">
        <f aca="false">SUM(AC117:AC119)</f>
        <v>3333.33</v>
      </c>
      <c r="AE120" s="155" t="n">
        <f aca="false">SUM(AE117:AE119)</f>
        <v>0</v>
      </c>
      <c r="AF120" s="24"/>
      <c r="AG120" s="155" t="n">
        <f aca="false">SUM(AG117:AG119)</f>
        <v>0</v>
      </c>
      <c r="AH120" s="24"/>
      <c r="AI120" s="155" t="n">
        <f aca="false">SUM(AI117:AI119)</f>
        <v>0</v>
      </c>
      <c r="AJ120" s="24"/>
      <c r="AK120" s="155" t="n">
        <f aca="false">SUM(AK117:AK119)</f>
        <v>0</v>
      </c>
      <c r="AL120" s="24"/>
      <c r="AM120" s="155" t="n">
        <f aca="false">SUM(AM117:AM119)</f>
        <v>0</v>
      </c>
      <c r="AN120" s="24"/>
      <c r="AO120" s="155" t="n">
        <f aca="false">SUM(AO117:AO119)</f>
        <v>0</v>
      </c>
      <c r="AP120" s="24"/>
      <c r="AQ120" s="155" t="n">
        <f aca="false">SUM(AQ117:AQ119)</f>
        <v>0</v>
      </c>
      <c r="AS120" s="155" t="n">
        <f aca="false">SUM(AS117:AS119)</f>
        <v>461440.33</v>
      </c>
      <c r="AT120" s="128"/>
      <c r="AU120" s="155" t="n">
        <f aca="false">SUM(AU117:AU119)</f>
        <v>0</v>
      </c>
      <c r="AV120" s="128"/>
      <c r="AW120" s="155" t="n">
        <f aca="false">SUM(AW117:AW119)</f>
        <v>0</v>
      </c>
      <c r="AX120" s="128"/>
      <c r="AY120" s="155" t="n">
        <f aca="false">SUM(AY117:AY119)</f>
        <v>461440.33</v>
      </c>
      <c r="AZ120" s="128"/>
      <c r="BA120" s="155" t="n">
        <f aca="false">SUM(BA117:BA119)</f>
        <v>-6833.33000000002</v>
      </c>
    </row>
    <row r="121" customFormat="false" ht="12.75" hidden="false" customHeight="false" outlineLevel="0" collapsed="false">
      <c r="A121" s="145"/>
      <c r="B121" s="176"/>
      <c r="C121" s="132"/>
      <c r="D121" s="128"/>
      <c r="E121" s="128"/>
      <c r="F121" s="128"/>
      <c r="G121" s="128"/>
      <c r="H121" s="128"/>
      <c r="I121" s="128"/>
      <c r="J121" s="128"/>
      <c r="K121" s="136"/>
      <c r="L121" s="128"/>
      <c r="M121" s="136"/>
      <c r="N121" s="128"/>
      <c r="O121" s="136"/>
      <c r="P121" s="128"/>
      <c r="AT121" s="128"/>
      <c r="AV121" s="128"/>
      <c r="AX121" s="128"/>
      <c r="AZ121" s="128"/>
    </row>
    <row r="122" customFormat="false" ht="12.75" hidden="false" customHeight="false" outlineLevel="0" collapsed="false">
      <c r="A122" s="152" t="s">
        <v>281</v>
      </c>
      <c r="B122" s="153"/>
      <c r="C122" s="132" t="s">
        <v>147</v>
      </c>
      <c r="D122" s="128"/>
      <c r="E122" s="128" t="s">
        <v>275</v>
      </c>
      <c r="F122" s="128"/>
      <c r="G122" s="128" t="s">
        <v>276</v>
      </c>
      <c r="H122" s="128"/>
      <c r="I122" s="128"/>
      <c r="J122" s="128"/>
      <c r="L122" s="128"/>
      <c r="N122" s="128"/>
      <c r="P122" s="128"/>
      <c r="AT122" s="128"/>
      <c r="AV122" s="128"/>
      <c r="AX122" s="128"/>
      <c r="AY122" s="95" t="n">
        <f aca="false">+AW122+AS122</f>
        <v>0</v>
      </c>
      <c r="AZ122" s="128"/>
    </row>
    <row r="123" customFormat="false" ht="12.75" hidden="false" customHeight="false" outlineLevel="0" collapsed="false">
      <c r="A123" s="152"/>
      <c r="B123" s="153" t="s">
        <v>282</v>
      </c>
      <c r="C123" s="132"/>
      <c r="D123" s="128"/>
      <c r="E123" s="128"/>
      <c r="F123" s="128"/>
      <c r="G123" s="128"/>
      <c r="H123" s="128"/>
      <c r="I123" s="128"/>
      <c r="J123" s="128"/>
      <c r="K123" s="177"/>
      <c r="L123" s="128"/>
      <c r="M123" s="24" t="n">
        <v>0</v>
      </c>
      <c r="N123" s="128"/>
      <c r="O123" s="177"/>
      <c r="P123" s="128"/>
      <c r="Q123" s="96" t="n">
        <f aca="false">38722.4+1326+60422.24+29178.42+1522.63+42238.11-15975-9262</f>
        <v>148172.8</v>
      </c>
      <c r="S123" s="96" t="n">
        <v>0</v>
      </c>
      <c r="U123" s="96" t="n">
        <f aca="false">59941.69</f>
        <v>59941.69</v>
      </c>
      <c r="W123" s="96" t="n">
        <f aca="false">30440.7-30440.7</f>
        <v>0</v>
      </c>
      <c r="Y123" s="96" t="n">
        <f aca="false">125057.7-125057.7</f>
        <v>0</v>
      </c>
      <c r="AA123" s="96" t="n">
        <f aca="false">24442.2-24442.2</f>
        <v>0</v>
      </c>
      <c r="AC123" s="96" t="n">
        <f aca="false">15974.93+9262.34+15533.39+16343.21+9747.49</f>
        <v>66861.36</v>
      </c>
      <c r="AE123" s="96" t="n">
        <v>7106.38</v>
      </c>
      <c r="AQ123" s="96" t="n">
        <v>12247.95</v>
      </c>
      <c r="AS123" s="95" t="n">
        <f aca="false">SUM(P123:AR123)</f>
        <v>294330.18</v>
      </c>
      <c r="AT123" s="128"/>
      <c r="AV123" s="128"/>
      <c r="AX123" s="128"/>
      <c r="AY123" s="95" t="n">
        <f aca="false">+AW123+AS123</f>
        <v>294330.18</v>
      </c>
      <c r="AZ123" s="128"/>
      <c r="BA123" s="95" t="n">
        <f aca="false">+O123-AY123</f>
        <v>-294330.18</v>
      </c>
    </row>
    <row r="124" customFormat="false" ht="12.75" hidden="false" customHeight="false" outlineLevel="0" collapsed="false">
      <c r="A124" s="152"/>
      <c r="B124" s="153" t="s">
        <v>283</v>
      </c>
      <c r="C124" s="132"/>
      <c r="D124" s="128"/>
      <c r="E124" s="128"/>
      <c r="F124" s="128"/>
      <c r="G124" s="128"/>
      <c r="H124" s="128"/>
      <c r="I124" s="128"/>
      <c r="J124" s="128"/>
      <c r="K124" s="177"/>
      <c r="L124" s="128"/>
      <c r="M124" s="24" t="n">
        <v>0</v>
      </c>
      <c r="N124" s="128"/>
      <c r="O124" s="177"/>
      <c r="P124" s="128"/>
      <c r="Q124" s="96" t="n">
        <f aca="false">2000+100</f>
        <v>2100</v>
      </c>
      <c r="S124" s="96" t="n">
        <v>0</v>
      </c>
      <c r="AS124" s="95" t="n">
        <f aca="false">SUM(P124:AR124)</f>
        <v>2100</v>
      </c>
      <c r="AT124" s="128"/>
      <c r="AV124" s="128"/>
      <c r="AX124" s="128"/>
      <c r="AY124" s="95" t="n">
        <f aca="false">+AW124+AS124</f>
        <v>2100</v>
      </c>
      <c r="AZ124" s="128"/>
      <c r="BA124" s="95" t="n">
        <f aca="false">+O124-AY124</f>
        <v>-2100</v>
      </c>
    </row>
    <row r="125" customFormat="false" ht="12.75" hidden="false" customHeight="false" outlineLevel="0" collapsed="false">
      <c r="A125" s="152"/>
      <c r="B125" s="153" t="s">
        <v>284</v>
      </c>
      <c r="C125" s="132"/>
      <c r="D125" s="128"/>
      <c r="E125" s="128"/>
      <c r="F125" s="128"/>
      <c r="G125" s="128"/>
      <c r="H125" s="128"/>
      <c r="I125" s="128"/>
      <c r="J125" s="128"/>
      <c r="K125" s="177"/>
      <c r="L125" s="128"/>
      <c r="M125" s="24" t="n">
        <v>0</v>
      </c>
      <c r="N125" s="128"/>
      <c r="O125" s="177"/>
      <c r="P125" s="128"/>
      <c r="Q125" s="96" t="n">
        <f aca="false">4200</f>
        <v>4200</v>
      </c>
      <c r="S125" s="96" t="n">
        <v>0</v>
      </c>
      <c r="AS125" s="95" t="n">
        <f aca="false">SUM(P125:AR125)</f>
        <v>4200</v>
      </c>
      <c r="AT125" s="128"/>
      <c r="AV125" s="128"/>
      <c r="AX125" s="128"/>
      <c r="AY125" s="95" t="n">
        <f aca="false">+AW125+AS125</f>
        <v>4200</v>
      </c>
      <c r="AZ125" s="128"/>
      <c r="BA125" s="95" t="n">
        <f aca="false">+O125-AY125</f>
        <v>-4200</v>
      </c>
    </row>
    <row r="126" customFormat="false" ht="12.75" hidden="false" customHeight="false" outlineLevel="0" collapsed="false">
      <c r="A126" s="152"/>
      <c r="B126" s="153" t="s">
        <v>285</v>
      </c>
      <c r="C126" s="132"/>
      <c r="D126" s="128"/>
      <c r="E126" s="128"/>
      <c r="F126" s="128"/>
      <c r="G126" s="128"/>
      <c r="H126" s="128"/>
      <c r="I126" s="128"/>
      <c r="J126" s="128"/>
      <c r="K126" s="177"/>
      <c r="L126" s="128"/>
      <c r="M126" s="24" t="n">
        <v>0</v>
      </c>
      <c r="N126" s="128"/>
      <c r="O126" s="177"/>
      <c r="P126" s="128"/>
      <c r="Q126" s="96" t="n">
        <f aca="false">41000</f>
        <v>41000</v>
      </c>
      <c r="S126" s="96" t="n">
        <v>0</v>
      </c>
      <c r="AS126" s="95" t="n">
        <f aca="false">SUM(P126:AR126)</f>
        <v>41000</v>
      </c>
      <c r="AT126" s="128"/>
      <c r="AV126" s="128"/>
      <c r="AX126" s="128"/>
      <c r="AY126" s="95" t="n">
        <f aca="false">+AW126+AS126</f>
        <v>41000</v>
      </c>
      <c r="AZ126" s="128"/>
      <c r="BA126" s="95" t="n">
        <f aca="false">+O126-AY126</f>
        <v>-41000</v>
      </c>
    </row>
    <row r="127" customFormat="false" ht="12.75" hidden="false" customHeight="false" outlineLevel="0" collapsed="false">
      <c r="A127" s="145"/>
      <c r="B127" s="132" t="s">
        <v>286</v>
      </c>
      <c r="C127" s="132"/>
      <c r="D127" s="128"/>
      <c r="E127" s="128"/>
      <c r="F127" s="128"/>
      <c r="G127" s="128"/>
      <c r="H127" s="128"/>
      <c r="I127" s="128"/>
      <c r="J127" s="128"/>
      <c r="L127" s="128"/>
      <c r="M127" s="24" t="n">
        <v>0</v>
      </c>
      <c r="N127" s="128"/>
      <c r="P127" s="128"/>
      <c r="Q127" s="96" t="n">
        <v>100</v>
      </c>
      <c r="S127" s="96" t="n">
        <v>0</v>
      </c>
      <c r="AG127" s="96" t="n">
        <v>298</v>
      </c>
      <c r="AS127" s="95" t="n">
        <f aca="false">SUM(P127:AR127)</f>
        <v>398</v>
      </c>
      <c r="AT127" s="128"/>
      <c r="AV127" s="128"/>
      <c r="AX127" s="128"/>
      <c r="AY127" s="95" t="n">
        <f aca="false">+AW127+AS127</f>
        <v>398</v>
      </c>
      <c r="AZ127" s="128"/>
      <c r="BA127" s="95" t="n">
        <f aca="false">+O127-AY127</f>
        <v>-398</v>
      </c>
    </row>
    <row r="128" customFormat="false" ht="12.75" hidden="false" customHeight="false" outlineLevel="0" collapsed="false">
      <c r="A128" s="145"/>
      <c r="B128" s="132" t="s">
        <v>287</v>
      </c>
      <c r="C128" s="132"/>
      <c r="D128" s="128"/>
      <c r="E128" s="128"/>
      <c r="F128" s="128"/>
      <c r="G128" s="128"/>
      <c r="H128" s="128"/>
      <c r="I128" s="128"/>
      <c r="J128" s="128"/>
      <c r="L128" s="128"/>
      <c r="M128" s="24" t="n">
        <v>0</v>
      </c>
      <c r="N128" s="128"/>
      <c r="P128" s="128"/>
      <c r="Q128" s="96" t="n">
        <f aca="false">15975+9262</f>
        <v>25237</v>
      </c>
      <c r="S128" s="96" t="n">
        <v>0</v>
      </c>
      <c r="W128" s="96" t="n">
        <v>30440.7</v>
      </c>
      <c r="Y128" s="96" t="n">
        <v>125057.7</v>
      </c>
      <c r="AA128" s="96" t="n">
        <v>24442.2</v>
      </c>
      <c r="AE128" s="96" t="n">
        <v>196903.8</v>
      </c>
      <c r="AG128" s="96" t="n">
        <v>83901.6</v>
      </c>
      <c r="AS128" s="95" t="n">
        <f aca="false">SUM(P128:AR128)</f>
        <v>485983</v>
      </c>
      <c r="AT128" s="128"/>
      <c r="AV128" s="128"/>
      <c r="AX128" s="128"/>
      <c r="AY128" s="95" t="n">
        <f aca="false">+AW128+AS128</f>
        <v>485983</v>
      </c>
      <c r="AZ128" s="128"/>
      <c r="BA128" s="95" t="n">
        <f aca="false">+O128-AY128</f>
        <v>-485983</v>
      </c>
    </row>
    <row r="129" customFormat="false" ht="12.75" hidden="false" customHeight="false" outlineLevel="0" collapsed="false">
      <c r="A129" s="145"/>
      <c r="B129" s="132" t="s">
        <v>288</v>
      </c>
      <c r="C129" s="132"/>
      <c r="D129" s="128"/>
      <c r="E129" s="128"/>
      <c r="F129" s="128"/>
      <c r="G129" s="128"/>
      <c r="H129" s="128"/>
      <c r="I129" s="128"/>
      <c r="J129" s="128"/>
      <c r="K129" s="178" t="n">
        <v>500000</v>
      </c>
      <c r="L129" s="128"/>
      <c r="M129" s="24" t="n">
        <v>-233000</v>
      </c>
      <c r="N129" s="128"/>
      <c r="O129" s="178" t="n">
        <f aca="false">+M129+K129</f>
        <v>267000</v>
      </c>
      <c r="P129" s="128"/>
      <c r="Q129" s="129" t="n">
        <v>0</v>
      </c>
      <c r="S129" s="129" t="n">
        <v>0</v>
      </c>
      <c r="U129" s="129" t="n">
        <v>0</v>
      </c>
      <c r="W129" s="129" t="n">
        <v>0</v>
      </c>
      <c r="Y129" s="129" t="n">
        <v>0</v>
      </c>
      <c r="AA129" s="129" t="n">
        <v>0</v>
      </c>
      <c r="AC129" s="129" t="n">
        <v>0</v>
      </c>
      <c r="AE129" s="129" t="n">
        <v>0</v>
      </c>
      <c r="AF129" s="129"/>
      <c r="AG129" s="129" t="n">
        <v>0</v>
      </c>
      <c r="AH129" s="129"/>
      <c r="AI129" s="129" t="n">
        <v>0</v>
      </c>
      <c r="AJ129" s="129"/>
      <c r="AK129" s="129" t="n">
        <v>0</v>
      </c>
      <c r="AL129" s="129"/>
      <c r="AM129" s="96" t="n">
        <f aca="false">17527+14325.1+1625+3451+430</f>
        <v>37358.1</v>
      </c>
      <c r="AR129" s="129"/>
      <c r="AS129" s="95" t="n">
        <f aca="false">SUM(P129:AR129)</f>
        <v>37358.1</v>
      </c>
      <c r="AT129" s="128"/>
      <c r="AU129" s="129"/>
      <c r="AV129" s="128"/>
      <c r="AW129" s="24"/>
      <c r="AX129" s="128"/>
      <c r="AY129" s="95" t="n">
        <f aca="false">+AW129+AS129</f>
        <v>37358.1</v>
      </c>
      <c r="AZ129" s="128"/>
      <c r="BA129" s="95" t="n">
        <f aca="false">+O129-AY129</f>
        <v>229641.9</v>
      </c>
    </row>
    <row r="130" customFormat="false" ht="12.75" hidden="false" customHeight="false" outlineLevel="0" collapsed="false">
      <c r="A130" s="179"/>
      <c r="B130" s="132" t="s">
        <v>289</v>
      </c>
      <c r="C130" s="180"/>
      <c r="D130" s="95"/>
      <c r="E130" s="95"/>
      <c r="F130" s="95"/>
      <c r="G130" s="95"/>
      <c r="H130" s="95"/>
      <c r="I130" s="95"/>
      <c r="J130" s="95"/>
      <c r="K130" s="155" t="n">
        <f aca="false">SUM(K122:K129)</f>
        <v>500000</v>
      </c>
      <c r="L130" s="95"/>
      <c r="M130" s="155" t="n">
        <f aca="false">SUM(M122:M129)</f>
        <v>-233000</v>
      </c>
      <c r="N130" s="95"/>
      <c r="O130" s="155" t="n">
        <f aca="false">SUM(O122:O129)</f>
        <v>267000</v>
      </c>
      <c r="P130" s="95"/>
      <c r="Q130" s="155" t="n">
        <f aca="false">SUM(Q122:Q129)</f>
        <v>220809.8</v>
      </c>
      <c r="R130" s="95"/>
      <c r="S130" s="155" t="n">
        <f aca="false">SUM(S122:S129)</f>
        <v>0</v>
      </c>
      <c r="T130" s="95"/>
      <c r="U130" s="155" t="n">
        <f aca="false">SUM(U122:U129)</f>
        <v>59941.69</v>
      </c>
      <c r="W130" s="155" t="n">
        <f aca="false">SUM(W122:W129)</f>
        <v>30440.7</v>
      </c>
      <c r="Y130" s="155" t="n">
        <f aca="false">SUM(Y122:Y129)</f>
        <v>125057.7</v>
      </c>
      <c r="AA130" s="155" t="n">
        <f aca="false">SUM(AA122:AA129)</f>
        <v>24442.2</v>
      </c>
      <c r="AC130" s="155" t="n">
        <f aca="false">SUM(AC122:AC129)</f>
        <v>66861.36</v>
      </c>
      <c r="AE130" s="155" t="n">
        <f aca="false">SUM(AE122:AE129)</f>
        <v>204010.18</v>
      </c>
      <c r="AF130" s="24"/>
      <c r="AG130" s="155" t="n">
        <f aca="false">SUM(AG122:AG129)</f>
        <v>84199.6</v>
      </c>
      <c r="AH130" s="24"/>
      <c r="AI130" s="155" t="n">
        <f aca="false">SUM(AI122:AI129)</f>
        <v>0</v>
      </c>
      <c r="AJ130" s="24"/>
      <c r="AK130" s="155" t="n">
        <f aca="false">SUM(AK122:AK129)</f>
        <v>0</v>
      </c>
      <c r="AL130" s="24"/>
      <c r="AM130" s="155" t="n">
        <f aca="false">SUM(AM122:AM129)</f>
        <v>37358.1</v>
      </c>
      <c r="AN130" s="24"/>
      <c r="AO130" s="155" t="n">
        <f aca="false">SUM(AO122:AO129)</f>
        <v>0</v>
      </c>
      <c r="AP130" s="24"/>
      <c r="AQ130" s="155" t="n">
        <f aca="false">SUM(AQ122:AQ129)</f>
        <v>12247.95</v>
      </c>
      <c r="AR130" s="129"/>
      <c r="AS130" s="155" t="n">
        <f aca="false">SUM(AS122:AS129)</f>
        <v>865369.28</v>
      </c>
      <c r="AT130" s="95"/>
      <c r="AU130" s="155" t="n">
        <f aca="false">SUM(AU122:AU129)</f>
        <v>0</v>
      </c>
      <c r="AV130" s="95"/>
      <c r="AW130" s="155" t="n">
        <f aca="false">SUM(AW122:AW129)</f>
        <v>0</v>
      </c>
      <c r="AX130" s="95"/>
      <c r="AY130" s="155" t="n">
        <f aca="false">SUM(AY122:AY129)</f>
        <v>865369.28</v>
      </c>
      <c r="AZ130" s="95"/>
      <c r="BA130" s="155" t="n">
        <f aca="false">SUM(BA122:BA129)</f>
        <v>-598369.28</v>
      </c>
      <c r="BB130" s="95"/>
      <c r="BC130" s="95"/>
      <c r="BD130" s="95"/>
      <c r="BE130" s="95"/>
      <c r="BF130" s="95"/>
      <c r="BG130" s="95"/>
      <c r="BH130" s="95"/>
      <c r="BI130" s="95"/>
      <c r="BJ130" s="95"/>
      <c r="BK130" s="95"/>
      <c r="BL130" s="95"/>
      <c r="BM130" s="95"/>
      <c r="BN130" s="95"/>
      <c r="BO130" s="95"/>
      <c r="BP130" s="95"/>
      <c r="BQ130" s="95"/>
      <c r="BR130" s="95"/>
      <c r="BS130" s="95"/>
      <c r="BT130" s="95"/>
      <c r="BU130" s="95"/>
      <c r="BV130" s="95"/>
      <c r="BW130" s="95"/>
      <c r="BX130" s="95"/>
      <c r="BY130" s="95"/>
      <c r="BZ130" s="95"/>
      <c r="CA130" s="95"/>
      <c r="CB130" s="95"/>
      <c r="CC130" s="95"/>
      <c r="CD130" s="95"/>
      <c r="CE130" s="95"/>
      <c r="CF130" s="95"/>
      <c r="CG130" s="95"/>
      <c r="CH130" s="95"/>
      <c r="CI130" s="95"/>
      <c r="CJ130" s="95"/>
      <c r="CK130" s="95"/>
      <c r="CL130" s="95"/>
      <c r="CM130" s="95"/>
      <c r="CN130" s="95"/>
      <c r="CO130" s="95"/>
      <c r="CP130" s="95"/>
      <c r="CQ130" s="95"/>
      <c r="CR130" s="95"/>
      <c r="CS130" s="95"/>
      <c r="CT130" s="95"/>
      <c r="CU130" s="95"/>
      <c r="CV130" s="95"/>
      <c r="CW130" s="95"/>
      <c r="CX130" s="95"/>
      <c r="CY130" s="95"/>
      <c r="CZ130" s="95"/>
      <c r="DA130" s="95"/>
      <c r="DB130" s="95"/>
      <c r="DC130" s="95"/>
      <c r="DD130" s="95"/>
      <c r="DE130" s="95"/>
      <c r="DF130" s="95"/>
      <c r="DG130" s="95"/>
      <c r="DH130" s="95"/>
      <c r="DI130" s="95"/>
      <c r="DJ130" s="95"/>
      <c r="DK130" s="95"/>
      <c r="DL130" s="95"/>
      <c r="DM130" s="95"/>
      <c r="DN130" s="95"/>
      <c r="DO130" s="95"/>
      <c r="DP130" s="95"/>
      <c r="DQ130" s="95"/>
      <c r="DR130" s="95"/>
      <c r="DS130" s="95"/>
      <c r="DT130" s="95"/>
      <c r="DU130" s="95"/>
      <c r="DV130" s="95"/>
      <c r="DW130" s="95"/>
      <c r="DX130" s="95"/>
      <c r="DY130" s="95"/>
      <c r="DZ130" s="95"/>
      <c r="EA130" s="95"/>
      <c r="EB130" s="95"/>
      <c r="EC130" s="95"/>
      <c r="ED130" s="95"/>
      <c r="EE130" s="95"/>
      <c r="EF130" s="95"/>
      <c r="EG130" s="95"/>
      <c r="EH130" s="95"/>
      <c r="EI130" s="95"/>
      <c r="EJ130" s="95"/>
      <c r="EK130" s="95"/>
      <c r="EL130" s="95"/>
      <c r="EM130" s="95"/>
      <c r="EN130" s="95"/>
      <c r="EO130" s="95"/>
      <c r="EP130" s="95"/>
      <c r="EQ130" s="95"/>
      <c r="ER130" s="95"/>
      <c r="ES130" s="95"/>
      <c r="ET130" s="95"/>
      <c r="EU130" s="95"/>
      <c r="EV130" s="95"/>
      <c r="EW130" s="95"/>
      <c r="EX130" s="95"/>
      <c r="EY130" s="95"/>
      <c r="EZ130" s="95"/>
      <c r="FA130" s="95"/>
      <c r="FB130" s="95"/>
      <c r="FC130" s="95"/>
      <c r="FD130" s="95"/>
      <c r="FE130" s="95"/>
      <c r="FF130" s="95"/>
      <c r="FG130" s="95"/>
      <c r="FH130" s="95"/>
      <c r="FI130" s="95"/>
      <c r="FJ130" s="95"/>
      <c r="FK130" s="95"/>
      <c r="FL130" s="95"/>
      <c r="FM130" s="95"/>
      <c r="FN130" s="95"/>
      <c r="FO130" s="95"/>
      <c r="FP130" s="95"/>
      <c r="FQ130" s="95"/>
      <c r="FR130" s="95"/>
      <c r="FS130" s="95"/>
      <c r="FT130" s="95"/>
      <c r="FU130" s="95"/>
      <c r="FV130" s="95"/>
      <c r="FW130" s="95"/>
      <c r="FX130" s="95"/>
      <c r="FY130" s="95"/>
      <c r="FZ130" s="95"/>
      <c r="GA130" s="95"/>
      <c r="GB130" s="95"/>
      <c r="GC130" s="95"/>
      <c r="GD130" s="95"/>
      <c r="GE130" s="95"/>
      <c r="GF130" s="95"/>
      <c r="GG130" s="95"/>
      <c r="GH130" s="95"/>
      <c r="GI130" s="95"/>
      <c r="GJ130" s="95"/>
      <c r="GK130" s="95"/>
      <c r="GL130" s="95"/>
      <c r="GM130" s="95"/>
      <c r="GN130" s="95"/>
      <c r="GO130" s="95"/>
      <c r="GP130" s="95"/>
      <c r="GQ130" s="95"/>
      <c r="GR130" s="95"/>
      <c r="GS130" s="95"/>
      <c r="GT130" s="95"/>
      <c r="GU130" s="95"/>
      <c r="GV130" s="95"/>
      <c r="GW130" s="95"/>
      <c r="GX130" s="95"/>
      <c r="GY130" s="95"/>
      <c r="GZ130" s="95"/>
      <c r="HA130" s="95"/>
      <c r="HB130" s="95"/>
      <c r="HC130" s="95"/>
      <c r="HD130" s="95"/>
      <c r="HE130" s="95"/>
      <c r="HF130" s="95"/>
      <c r="HG130" s="95"/>
      <c r="HH130" s="95"/>
      <c r="HI130" s="95"/>
      <c r="HJ130" s="95"/>
      <c r="HK130" s="95"/>
      <c r="HL130" s="95"/>
      <c r="HM130" s="95"/>
      <c r="HN130" s="95"/>
      <c r="HO130" s="95"/>
      <c r="HP130" s="95"/>
      <c r="HQ130" s="95"/>
      <c r="HR130" s="95"/>
      <c r="HS130" s="95"/>
      <c r="HT130" s="95"/>
      <c r="HU130" s="95"/>
      <c r="HV130" s="95"/>
      <c r="HW130" s="95"/>
      <c r="HX130" s="95"/>
      <c r="HY130" s="95"/>
      <c r="HZ130" s="95"/>
      <c r="IA130" s="95"/>
      <c r="IB130" s="95"/>
      <c r="IC130" s="95"/>
      <c r="ID130" s="95"/>
      <c r="IE130" s="95"/>
      <c r="IF130" s="95"/>
      <c r="IG130" s="95"/>
      <c r="IH130" s="95"/>
      <c r="II130" s="95"/>
      <c r="IJ130" s="95"/>
      <c r="IK130" s="95"/>
      <c r="IL130" s="95"/>
      <c r="IM130" s="95"/>
      <c r="IN130" s="95"/>
      <c r="IO130" s="95"/>
      <c r="IP130" s="95"/>
      <c r="IQ130" s="95"/>
      <c r="IR130" s="95"/>
      <c r="IS130" s="95"/>
      <c r="IT130" s="95"/>
      <c r="IU130" s="95"/>
      <c r="IV130" s="95"/>
      <c r="IW130" s="95"/>
    </row>
    <row r="131" customFormat="false" ht="12.75" hidden="false" customHeight="false" outlineLevel="0" collapsed="false">
      <c r="A131" s="145"/>
      <c r="B131" s="132"/>
      <c r="C131" s="132"/>
      <c r="D131" s="128"/>
      <c r="E131" s="128"/>
      <c r="F131" s="128"/>
      <c r="G131" s="128"/>
      <c r="H131" s="128"/>
      <c r="I131" s="128"/>
      <c r="J131" s="128"/>
      <c r="L131" s="128"/>
      <c r="N131" s="128"/>
      <c r="P131" s="128"/>
      <c r="AT131" s="128"/>
      <c r="AV131" s="128"/>
      <c r="AX131" s="128"/>
      <c r="AZ131" s="128"/>
    </row>
    <row r="132" customFormat="false" ht="12.75" hidden="false" customHeight="false" outlineLevel="0" collapsed="false">
      <c r="A132" s="152" t="s">
        <v>290</v>
      </c>
      <c r="B132" s="153"/>
      <c r="C132" s="132" t="s">
        <v>147</v>
      </c>
      <c r="D132" s="128"/>
      <c r="E132" s="128" t="s">
        <v>275</v>
      </c>
      <c r="F132" s="128"/>
      <c r="G132" s="128" t="s">
        <v>291</v>
      </c>
      <c r="H132" s="128"/>
      <c r="I132" s="128"/>
      <c r="J132" s="128"/>
      <c r="K132" s="95" t="n">
        <v>0</v>
      </c>
      <c r="L132" s="128"/>
      <c r="M132" s="95" t="n">
        <v>0</v>
      </c>
      <c r="N132" s="128"/>
      <c r="O132" s="95" t="n">
        <f aca="false">SUM(K132:N132)</f>
        <v>0</v>
      </c>
      <c r="P132" s="128"/>
      <c r="Q132" s="96" t="n">
        <v>0</v>
      </c>
      <c r="S132" s="96" t="n">
        <v>0</v>
      </c>
      <c r="AS132" s="95" t="n">
        <f aca="false">SUM(P132:AR132)</f>
        <v>0</v>
      </c>
      <c r="AT132" s="128"/>
      <c r="AV132" s="128"/>
      <c r="AW132" s="95" t="n">
        <f aca="false">IF(+O132-AS132+AU132&gt;0,O132-AS132+AU132,0)</f>
        <v>0</v>
      </c>
      <c r="AX132" s="128"/>
      <c r="AY132" s="95" t="n">
        <f aca="false">+AW132+AS132</f>
        <v>0</v>
      </c>
      <c r="AZ132" s="128"/>
      <c r="BA132" s="95" t="n">
        <f aca="false">+O132-AY132</f>
        <v>0</v>
      </c>
    </row>
    <row r="133" customFormat="false" ht="12.75" hidden="false" customHeight="false" outlineLevel="0" collapsed="false">
      <c r="A133" s="145"/>
      <c r="B133" s="132"/>
      <c r="C133" s="132"/>
      <c r="D133" s="128"/>
      <c r="E133" s="128"/>
      <c r="F133" s="128"/>
      <c r="G133" s="128"/>
      <c r="H133" s="128"/>
      <c r="I133" s="128"/>
      <c r="J133" s="128"/>
      <c r="L133" s="128"/>
      <c r="N133" s="128"/>
      <c r="P133" s="128"/>
      <c r="AT133" s="128"/>
      <c r="AV133" s="128"/>
      <c r="AX133" s="128"/>
      <c r="AZ133" s="128"/>
    </row>
    <row r="134" customFormat="false" ht="12.75" hidden="false" customHeight="false" outlineLevel="0" collapsed="false">
      <c r="A134" s="152" t="s">
        <v>292</v>
      </c>
      <c r="B134" s="153"/>
      <c r="C134" s="132" t="s">
        <v>147</v>
      </c>
      <c r="D134" s="128"/>
      <c r="E134" s="128" t="s">
        <v>275</v>
      </c>
      <c r="F134" s="128"/>
      <c r="G134" s="128" t="s">
        <v>293</v>
      </c>
      <c r="H134" s="128"/>
      <c r="I134" s="128"/>
      <c r="J134" s="128"/>
      <c r="L134" s="128"/>
      <c r="N134" s="128"/>
      <c r="P134" s="128"/>
      <c r="AT134" s="128"/>
      <c r="AV134" s="128"/>
      <c r="AX134" s="128"/>
      <c r="AZ134" s="128"/>
    </row>
    <row r="135" customFormat="false" ht="12.75" hidden="false" customHeight="false" outlineLevel="0" collapsed="false">
      <c r="A135" s="152"/>
      <c r="B135" s="153" t="s">
        <v>294</v>
      </c>
      <c r="C135" s="132"/>
      <c r="D135" s="128"/>
      <c r="E135" s="128"/>
      <c r="F135" s="128"/>
      <c r="G135" s="128"/>
      <c r="H135" s="128"/>
      <c r="I135" s="128"/>
      <c r="J135" s="128"/>
      <c r="K135" s="24" t="n">
        <v>1543817</v>
      </c>
      <c r="L135" s="128"/>
      <c r="M135" s="24" t="n">
        <v>0</v>
      </c>
      <c r="N135" s="128"/>
      <c r="O135" s="24" t="n">
        <f aca="false">SUM(K135:N135)</f>
        <v>1543817</v>
      </c>
      <c r="P135" s="128"/>
      <c r="Q135" s="96" t="n">
        <v>0</v>
      </c>
      <c r="S135" s="96" t="n">
        <v>0</v>
      </c>
      <c r="U135" s="96" t="n">
        <v>73861.53</v>
      </c>
      <c r="AA135" s="96" t="n">
        <f aca="false">134995.5+386664.84+124867</f>
        <v>646527.34</v>
      </c>
      <c r="AE135" s="96" t="n">
        <v>379197.17</v>
      </c>
      <c r="AG135" s="96" t="n">
        <v>353835.71</v>
      </c>
      <c r="AI135" s="96" t="n">
        <v>91393.38</v>
      </c>
      <c r="AS135" s="95" t="n">
        <f aca="false">SUM(P135:AR135)</f>
        <v>1544815.13</v>
      </c>
      <c r="AT135" s="128"/>
      <c r="AV135" s="128"/>
      <c r="AW135" s="95" t="n">
        <f aca="false">IF(+O135-AS135+AU135&gt;0,O135-AS135+AU135,0)</f>
        <v>0</v>
      </c>
      <c r="AX135" s="128"/>
      <c r="AY135" s="95" t="n">
        <f aca="false">+AW135+AS135</f>
        <v>1544815.13</v>
      </c>
      <c r="AZ135" s="128"/>
      <c r="BA135" s="95" t="n">
        <f aca="false">+O135-AY135</f>
        <v>-998.129999999888</v>
      </c>
    </row>
    <row r="136" customFormat="false" ht="12.75" hidden="false" customHeight="false" outlineLevel="0" collapsed="false">
      <c r="A136" s="152"/>
      <c r="B136" s="153" t="s">
        <v>295</v>
      </c>
      <c r="C136" s="132"/>
      <c r="D136" s="128"/>
      <c r="E136" s="128"/>
      <c r="F136" s="128"/>
      <c r="G136" s="128"/>
      <c r="H136" s="128"/>
      <c r="I136" s="128"/>
      <c r="J136" s="128"/>
      <c r="K136" s="24" t="n">
        <f aca="false">K135*0.216</f>
        <v>333464.472</v>
      </c>
      <c r="L136" s="128"/>
      <c r="M136" s="24" t="n">
        <v>0</v>
      </c>
      <c r="N136" s="128"/>
      <c r="O136" s="24" t="n">
        <f aca="false">SUM(K136:N136)</f>
        <v>333464.472</v>
      </c>
      <c r="P136" s="128"/>
      <c r="Q136" s="96" t="n">
        <v>0</v>
      </c>
      <c r="S136" s="96" t="n">
        <v>0</v>
      </c>
      <c r="AK136" s="96" t="n">
        <f aca="false">29117.84+23858.36</f>
        <v>52976.2</v>
      </c>
      <c r="AM136" s="96" t="n">
        <v>5187.94</v>
      </c>
      <c r="AO136" s="96" t="n">
        <v>133605</v>
      </c>
      <c r="AQ136" s="96" t="n">
        <v>3347.28</v>
      </c>
      <c r="AS136" s="95" t="n">
        <f aca="false">SUM(P136:AR136)</f>
        <v>195116.42</v>
      </c>
      <c r="AT136" s="128"/>
      <c r="AV136" s="128"/>
      <c r="AW136" s="95" t="n">
        <f aca="false">IF(+O136-AS136+AU136&gt;0,O136-AS136+AU136,0)</f>
        <v>138348.052</v>
      </c>
      <c r="AX136" s="128"/>
      <c r="AY136" s="95" t="n">
        <f aca="false">+AW136+AS136</f>
        <v>333464.472</v>
      </c>
      <c r="AZ136" s="128"/>
      <c r="BA136" s="95" t="n">
        <f aca="false">+O136-AY136</f>
        <v>0</v>
      </c>
    </row>
    <row r="137" customFormat="false" ht="12.75" hidden="false" customHeight="false" outlineLevel="0" collapsed="false">
      <c r="A137" s="152"/>
      <c r="B137" s="153" t="s">
        <v>296</v>
      </c>
      <c r="C137" s="132"/>
      <c r="D137" s="128"/>
      <c r="E137" s="128"/>
      <c r="F137" s="128"/>
      <c r="G137" s="128"/>
      <c r="H137" s="128"/>
      <c r="I137" s="128"/>
      <c r="J137" s="128"/>
      <c r="K137" s="24" t="n">
        <v>0</v>
      </c>
      <c r="L137" s="128"/>
      <c r="M137" s="24" t="n">
        <v>35152</v>
      </c>
      <c r="N137" s="128"/>
      <c r="O137" s="24" t="n">
        <f aca="false">SUM(K137:N137)</f>
        <v>35152</v>
      </c>
      <c r="P137" s="128"/>
      <c r="Q137" s="96" t="n">
        <v>0</v>
      </c>
      <c r="S137" s="96" t="n">
        <v>0</v>
      </c>
      <c r="AA137" s="96" t="n">
        <f aca="false">11826.01</f>
        <v>11826.01</v>
      </c>
      <c r="AS137" s="95" t="n">
        <f aca="false">SUM(P137:AR137)</f>
        <v>11826.01</v>
      </c>
      <c r="AT137" s="128"/>
      <c r="AV137" s="128"/>
      <c r="AW137" s="95" t="n">
        <f aca="false">IF(+O137-AS137+AU137&gt;0,O137-AS137+AU137,0)</f>
        <v>23325.99</v>
      </c>
      <c r="AX137" s="128"/>
      <c r="AY137" s="95" t="n">
        <f aca="false">+AW137+AS137</f>
        <v>35152</v>
      </c>
      <c r="AZ137" s="128"/>
      <c r="BA137" s="95" t="n">
        <f aca="false">+O137-AY137</f>
        <v>0</v>
      </c>
    </row>
    <row r="138" customFormat="false" ht="12.75" hidden="false" customHeight="false" outlineLevel="0" collapsed="false">
      <c r="A138" s="152"/>
      <c r="B138" s="153" t="s">
        <v>297</v>
      </c>
      <c r="C138" s="132"/>
      <c r="D138" s="128"/>
      <c r="E138" s="128"/>
      <c r="F138" s="128"/>
      <c r="G138" s="128"/>
      <c r="H138" s="128"/>
      <c r="I138" s="128"/>
      <c r="J138" s="128"/>
      <c r="K138" s="24" t="n">
        <v>0</v>
      </c>
      <c r="L138" s="128"/>
      <c r="M138" s="24" t="n">
        <v>55920</v>
      </c>
      <c r="N138" s="128"/>
      <c r="O138" s="24" t="n">
        <f aca="false">SUM(K138:N138)</f>
        <v>55920</v>
      </c>
      <c r="P138" s="128"/>
      <c r="Q138" s="96" t="n">
        <v>0</v>
      </c>
      <c r="S138" s="96" t="n">
        <v>0</v>
      </c>
      <c r="AA138" s="96" t="n">
        <v>59057.41</v>
      </c>
      <c r="AS138" s="95" t="n">
        <f aca="false">SUM(P138:AR138)</f>
        <v>59057.41</v>
      </c>
      <c r="AT138" s="128"/>
      <c r="AV138" s="128"/>
      <c r="AW138" s="95" t="n">
        <f aca="false">IF(+O138-AS138+AU138&gt;0,O138-AS138+AU138,0)</f>
        <v>0</v>
      </c>
      <c r="AX138" s="128"/>
      <c r="AY138" s="95" t="n">
        <f aca="false">+AW138+AS138</f>
        <v>59057.41</v>
      </c>
      <c r="AZ138" s="128"/>
      <c r="BA138" s="95" t="n">
        <f aca="false">+O138-AY138</f>
        <v>-3137.41</v>
      </c>
    </row>
    <row r="139" customFormat="false" ht="12.75" hidden="false" customHeight="false" outlineLevel="0" collapsed="false">
      <c r="A139" s="152"/>
      <c r="B139" s="153"/>
      <c r="C139" s="132"/>
      <c r="D139" s="128"/>
      <c r="E139" s="128"/>
      <c r="F139" s="128"/>
      <c r="G139" s="128"/>
      <c r="H139" s="128"/>
      <c r="I139" s="128"/>
      <c r="J139" s="128"/>
      <c r="K139" s="155" t="n">
        <f aca="false">SUM(K135:K138)</f>
        <v>1877281.472</v>
      </c>
      <c r="L139" s="128"/>
      <c r="M139" s="155" t="n">
        <f aca="false">SUM(M135:M138)</f>
        <v>91072</v>
      </c>
      <c r="N139" s="128"/>
      <c r="O139" s="155" t="n">
        <f aca="false">SUM(O135:O138)</f>
        <v>1968353.472</v>
      </c>
      <c r="P139" s="128"/>
      <c r="Q139" s="155" t="n">
        <f aca="false">SUM(Q135:Q138)</f>
        <v>0</v>
      </c>
      <c r="S139" s="155" t="n">
        <f aca="false">SUM(S135:S138)</f>
        <v>0</v>
      </c>
      <c r="U139" s="155" t="n">
        <f aca="false">SUM(U135:U138)</f>
        <v>73861.53</v>
      </c>
      <c r="W139" s="155" t="n">
        <f aca="false">SUM(W135:W138)</f>
        <v>0</v>
      </c>
      <c r="Y139" s="155" t="n">
        <f aca="false">SUM(Y135:Y138)</f>
        <v>0</v>
      </c>
      <c r="AA139" s="155" t="n">
        <f aca="false">SUM(AA135:AA138)</f>
        <v>717410.76</v>
      </c>
      <c r="AC139" s="155" t="n">
        <f aca="false">SUM(AC135:AC138)</f>
        <v>0</v>
      </c>
      <c r="AE139" s="155" t="n">
        <f aca="false">SUM(AE135:AE138)</f>
        <v>379197.17</v>
      </c>
      <c r="AF139" s="24"/>
      <c r="AG139" s="155" t="n">
        <f aca="false">SUM(AG135:AG138)</f>
        <v>353835.71</v>
      </c>
      <c r="AH139" s="24"/>
      <c r="AI139" s="155" t="n">
        <f aca="false">SUM(AI135:AI138)</f>
        <v>91393.38</v>
      </c>
      <c r="AJ139" s="24"/>
      <c r="AK139" s="155" t="n">
        <f aca="false">SUM(AK135:AK138)</f>
        <v>52976.2</v>
      </c>
      <c r="AL139" s="24"/>
      <c r="AM139" s="155" t="n">
        <f aca="false">SUM(AM135:AM138)</f>
        <v>5187.94</v>
      </c>
      <c r="AN139" s="24"/>
      <c r="AO139" s="155" t="n">
        <f aca="false">SUM(AO135:AO138)</f>
        <v>133605</v>
      </c>
      <c r="AP139" s="24"/>
      <c r="AQ139" s="155" t="n">
        <f aca="false">SUM(AQ135:AQ138)</f>
        <v>3347.28</v>
      </c>
      <c r="AS139" s="155" t="n">
        <f aca="false">SUM(AS135:AS138)</f>
        <v>1810814.97</v>
      </c>
      <c r="AT139" s="128"/>
      <c r="AU139" s="155" t="n">
        <f aca="false">SUM(AU135:AU138)</f>
        <v>0</v>
      </c>
      <c r="AV139" s="128"/>
      <c r="AW139" s="155" t="n">
        <f aca="false">SUM(AW135:AW138)</f>
        <v>161674.042</v>
      </c>
      <c r="AX139" s="128"/>
      <c r="AY139" s="155" t="n">
        <f aca="false">SUM(AY135:AY138)</f>
        <v>1972489.012</v>
      </c>
      <c r="AZ139" s="128"/>
      <c r="BA139" s="155" t="n">
        <f aca="false">SUM(BA135:BA138)</f>
        <v>-4135.53999999989</v>
      </c>
    </row>
    <row r="140" customFormat="false" ht="12.75" hidden="false" customHeight="false" outlineLevel="0" collapsed="false">
      <c r="A140" s="145"/>
      <c r="B140" s="132"/>
      <c r="C140" s="132"/>
      <c r="D140" s="128"/>
      <c r="E140" s="128"/>
      <c r="F140" s="128"/>
      <c r="G140" s="128"/>
      <c r="H140" s="128"/>
      <c r="I140" s="128"/>
      <c r="J140" s="128"/>
      <c r="L140" s="128"/>
      <c r="N140" s="128"/>
      <c r="P140" s="128"/>
      <c r="AT140" s="128"/>
      <c r="AV140" s="128"/>
      <c r="AX140" s="128"/>
      <c r="AZ140" s="128"/>
    </row>
    <row r="141" customFormat="false" ht="12.75" hidden="false" customHeight="false" outlineLevel="0" collapsed="false">
      <c r="A141" s="152" t="s">
        <v>298</v>
      </c>
      <c r="B141" s="153"/>
      <c r="C141" s="132" t="s">
        <v>147</v>
      </c>
      <c r="D141" s="128"/>
      <c r="E141" s="128" t="s">
        <v>299</v>
      </c>
      <c r="F141" s="128"/>
      <c r="G141" s="128" t="s">
        <v>300</v>
      </c>
      <c r="H141" s="128"/>
      <c r="I141" s="128"/>
      <c r="J141" s="128"/>
      <c r="K141" s="24" t="n">
        <v>225949</v>
      </c>
      <c r="L141" s="128"/>
      <c r="M141" s="24" t="n">
        <v>0</v>
      </c>
      <c r="N141" s="128"/>
      <c r="O141" s="24" t="n">
        <f aca="false">SUM(K141:N141)</f>
        <v>225949</v>
      </c>
      <c r="P141" s="128"/>
      <c r="Q141" s="96" t="n">
        <v>0</v>
      </c>
      <c r="S141" s="96" t="n">
        <v>0</v>
      </c>
      <c r="W141" s="96" t="n">
        <v>5852.62</v>
      </c>
      <c r="AA141" s="96" t="n">
        <f aca="false">16486.19+1213.67+73.31+650.78+458.74+1089.09+253.64+287+6093.94+806.11</f>
        <v>27412.47</v>
      </c>
      <c r="AS141" s="95" t="n">
        <f aca="false">SUM(P141:AR141)</f>
        <v>33265.09</v>
      </c>
      <c r="AT141" s="128"/>
      <c r="AV141" s="128"/>
      <c r="AW141" s="95" t="n">
        <f aca="false">IF(+O141-AS141+AU141&gt;0,O141-AS141+AU141,0)</f>
        <v>192683.91</v>
      </c>
      <c r="AX141" s="128"/>
      <c r="AY141" s="95" t="n">
        <f aca="false">+AW141+AS141</f>
        <v>225949</v>
      </c>
      <c r="AZ141" s="128"/>
      <c r="BA141" s="95" t="n">
        <f aca="false">+O141-AY141</f>
        <v>0</v>
      </c>
    </row>
    <row r="142" customFormat="false" ht="12.75" hidden="false" customHeight="false" outlineLevel="0" collapsed="false">
      <c r="A142" s="145"/>
      <c r="B142" s="132"/>
      <c r="C142" s="132"/>
      <c r="D142" s="128"/>
      <c r="E142" s="128"/>
      <c r="F142" s="128"/>
      <c r="G142" s="128"/>
      <c r="H142" s="128"/>
      <c r="I142" s="128"/>
      <c r="J142" s="128"/>
      <c r="L142" s="128"/>
      <c r="N142" s="128"/>
      <c r="P142" s="128"/>
      <c r="AT142" s="128"/>
      <c r="AV142" s="128"/>
      <c r="AX142" s="128"/>
      <c r="AZ142" s="128"/>
    </row>
    <row r="143" customFormat="false" ht="12.75" hidden="false" customHeight="false" outlineLevel="0" collapsed="false">
      <c r="A143" s="152" t="s">
        <v>301</v>
      </c>
      <c r="B143" s="153"/>
      <c r="C143" s="132" t="s">
        <v>147</v>
      </c>
      <c r="D143" s="128"/>
      <c r="E143" s="128" t="s">
        <v>275</v>
      </c>
      <c r="F143" s="128"/>
      <c r="G143" s="128" t="s">
        <v>302</v>
      </c>
      <c r="H143" s="128"/>
      <c r="I143" s="128"/>
      <c r="J143" s="128"/>
      <c r="K143" s="24" t="n">
        <v>145263</v>
      </c>
      <c r="L143" s="128"/>
      <c r="M143" s="24" t="n">
        <v>14699</v>
      </c>
      <c r="N143" s="128"/>
      <c r="O143" s="24" t="n">
        <f aca="false">SUM(K143:N143)</f>
        <v>159962</v>
      </c>
      <c r="P143" s="128"/>
      <c r="Q143" s="96" t="n">
        <v>0</v>
      </c>
      <c r="S143" s="96" t="n">
        <v>0</v>
      </c>
      <c r="U143" s="96" t="n">
        <v>117600</v>
      </c>
      <c r="AG143" s="96" t="n">
        <v>14699</v>
      </c>
      <c r="AK143" s="96" t="n">
        <v>22048</v>
      </c>
      <c r="AS143" s="95" t="n">
        <f aca="false">SUM(P143:AR143)</f>
        <v>154347</v>
      </c>
      <c r="AT143" s="128"/>
      <c r="AU143" s="96" t="n">
        <v>4386</v>
      </c>
      <c r="AV143" s="128"/>
      <c r="AW143" s="95" t="n">
        <f aca="false">IF(+O143-AS143+AU143&gt;0,O143-AS143+AU143,0)</f>
        <v>10001</v>
      </c>
      <c r="AX143" s="128"/>
      <c r="AY143" s="95" t="n">
        <f aca="false">+AW143+AS143</f>
        <v>164348</v>
      </c>
      <c r="AZ143" s="128"/>
      <c r="BA143" s="95" t="n">
        <f aca="false">+O143-AY143</f>
        <v>-4386</v>
      </c>
    </row>
    <row r="144" customFormat="false" ht="12.75" hidden="false" customHeight="false" outlineLevel="0" collapsed="false">
      <c r="A144" s="145"/>
      <c r="B144" s="153"/>
      <c r="C144" s="132"/>
      <c r="D144" s="128"/>
      <c r="E144" s="128"/>
      <c r="F144" s="128"/>
      <c r="G144" s="128"/>
      <c r="H144" s="128"/>
      <c r="I144" s="128"/>
      <c r="J144" s="128"/>
      <c r="L144" s="128"/>
      <c r="N144" s="128"/>
      <c r="P144" s="128"/>
      <c r="AT144" s="128"/>
      <c r="AV144" s="128"/>
      <c r="AX144" s="128"/>
      <c r="AZ144" s="128"/>
    </row>
    <row r="145" customFormat="false" ht="12.75" hidden="false" customHeight="false" outlineLevel="0" collapsed="false">
      <c r="A145" s="152" t="s">
        <v>303</v>
      </c>
      <c r="B145" s="153"/>
      <c r="C145" s="132" t="s">
        <v>147</v>
      </c>
      <c r="D145" s="128"/>
      <c r="E145" s="128" t="s">
        <v>304</v>
      </c>
      <c r="F145" s="128"/>
      <c r="G145" s="128" t="s">
        <v>305</v>
      </c>
      <c r="H145" s="128"/>
      <c r="I145" s="128"/>
      <c r="J145" s="128"/>
      <c r="K145" s="24" t="n">
        <v>113333</v>
      </c>
      <c r="L145" s="128"/>
      <c r="M145" s="24" t="n">
        <v>0</v>
      </c>
      <c r="N145" s="128"/>
      <c r="O145" s="24" t="n">
        <f aca="false">SUM(K145:N145)</f>
        <v>113333</v>
      </c>
      <c r="P145" s="128"/>
      <c r="Q145" s="96" t="n">
        <v>0</v>
      </c>
      <c r="S145" s="96" t="n">
        <v>0</v>
      </c>
      <c r="W145" s="96" t="n">
        <f aca="false">885.42+4983.56</f>
        <v>5868.98</v>
      </c>
      <c r="AA145" s="96" t="n">
        <f aca="false">10145.07-5868.98</f>
        <v>4276.09</v>
      </c>
      <c r="AC145" s="96" t="n">
        <f aca="false">3616.15+10736.91</f>
        <v>14353.06</v>
      </c>
      <c r="AE145" s="96" t="n">
        <f aca="false">3601.92+2831.89</f>
        <v>6433.81</v>
      </c>
      <c r="AG145" s="96" t="n">
        <v>4128.48</v>
      </c>
      <c r="AS145" s="95" t="n">
        <f aca="false">SUM(P145:AR145)</f>
        <v>35060.42</v>
      </c>
      <c r="AT145" s="128"/>
      <c r="AU145" s="96" t="n">
        <v>-20000</v>
      </c>
      <c r="AV145" s="128"/>
      <c r="AW145" s="95" t="n">
        <v>0</v>
      </c>
      <c r="AX145" s="128"/>
      <c r="AY145" s="95" t="n">
        <f aca="false">+AW145+AS145</f>
        <v>35060.42</v>
      </c>
      <c r="AZ145" s="128"/>
      <c r="BA145" s="95" t="n">
        <f aca="false">+O145-AY145</f>
        <v>78272.58</v>
      </c>
    </row>
    <row r="146" customFormat="false" ht="12.75" hidden="false" customHeight="false" outlineLevel="0" collapsed="false">
      <c r="A146" s="145"/>
      <c r="B146" s="153"/>
      <c r="C146" s="132"/>
      <c r="D146" s="128"/>
      <c r="E146" s="128"/>
      <c r="F146" s="128"/>
      <c r="G146" s="128"/>
      <c r="H146" s="128"/>
      <c r="I146" s="128"/>
      <c r="J146" s="128"/>
      <c r="L146" s="128"/>
      <c r="N146" s="128"/>
      <c r="P146" s="128"/>
      <c r="AT146" s="128"/>
      <c r="AV146" s="128"/>
      <c r="AX146" s="128"/>
      <c r="AZ146" s="128"/>
    </row>
    <row r="147" customFormat="false" ht="12.75" hidden="false" customHeight="false" outlineLevel="0" collapsed="false">
      <c r="A147" s="152" t="s">
        <v>306</v>
      </c>
      <c r="B147" s="153"/>
      <c r="C147" s="132" t="s">
        <v>147</v>
      </c>
      <c r="D147" s="128"/>
      <c r="E147" s="128" t="s">
        <v>304</v>
      </c>
      <c r="F147" s="128"/>
      <c r="G147" s="128" t="s">
        <v>305</v>
      </c>
      <c r="H147" s="128"/>
      <c r="I147" s="128"/>
      <c r="J147" s="128"/>
      <c r="K147" s="24" t="n">
        <v>6718835</v>
      </c>
      <c r="L147" s="128"/>
      <c r="M147" s="24" t="n">
        <f aca="false">5637222-6718835+6141-9893+143+1093+1094-1921+11361+4129+252682-120713-478763+213-2-37+80480-176244+407+398-18413-18720-91-5+34297+11356-18658+5262-429077-198643+1307922+198643+321-76043-681325+1443+147-109-54-1761-27283+303+655061-12042-2332-1239314-290628</f>
        <v>-2310788</v>
      </c>
      <c r="N147" s="128"/>
      <c r="O147" s="24" t="n">
        <f aca="false">SUM(K147:N147)</f>
        <v>4408047</v>
      </c>
      <c r="P147" s="128"/>
      <c r="Q147" s="96" t="n">
        <f aca="false">117476+177632+239809+271230</f>
        <v>806147</v>
      </c>
      <c r="S147" s="96" t="n">
        <f aca="false">1245945+32657</f>
        <v>1278602</v>
      </c>
      <c r="U147" s="96" t="n">
        <f aca="false">39185.34+401814.17</f>
        <v>440999.51</v>
      </c>
      <c r="W147" s="96" t="n">
        <f aca="false">374381.83</f>
        <v>374381.83</v>
      </c>
      <c r="Y147" s="96" t="n">
        <f aca="false">391590.46</f>
        <v>391590.46</v>
      </c>
      <c r="AA147" s="96" t="n">
        <v>467674.29</v>
      </c>
      <c r="AC147" s="96" t="n">
        <f aca="false">358547.28+75226+340336-386409-131695</f>
        <v>256005.28</v>
      </c>
      <c r="AE147" s="96" t="n">
        <f aca="false">123417+559857</f>
        <v>683274</v>
      </c>
      <c r="AG147" s="96" t="n">
        <v>598297</v>
      </c>
      <c r="AI147" s="96" t="n">
        <v>-598297</v>
      </c>
      <c r="AK147" s="96" t="n">
        <v>-290628</v>
      </c>
      <c r="AS147" s="95" t="n">
        <f aca="false">SUM(P147:AR147)</f>
        <v>4408046.37</v>
      </c>
      <c r="AT147" s="128"/>
      <c r="AU147" s="96" t="n">
        <v>0</v>
      </c>
      <c r="AV147" s="128"/>
      <c r="AW147" s="95" t="n">
        <f aca="false">IF(+O147-AS147+AU147&gt;0,O147-AS147+AU147,0)</f>
        <v>0.629999999888241</v>
      </c>
      <c r="AX147" s="128"/>
      <c r="AY147" s="95" t="n">
        <f aca="false">+AW147+AS147</f>
        <v>4408047</v>
      </c>
      <c r="AZ147" s="128"/>
      <c r="BA147" s="95" t="n">
        <f aca="false">+O147-AY147</f>
        <v>0</v>
      </c>
    </row>
    <row r="148" customFormat="false" ht="12.75" hidden="false" customHeight="false" outlineLevel="0" collapsed="false">
      <c r="A148" s="152"/>
      <c r="B148" s="153" t="s">
        <v>307</v>
      </c>
      <c r="C148" s="132"/>
      <c r="D148" s="128"/>
      <c r="E148" s="128"/>
      <c r="F148" s="128"/>
      <c r="G148" s="128"/>
      <c r="H148" s="128"/>
      <c r="I148" s="128"/>
      <c r="J148" s="128"/>
      <c r="K148" s="24"/>
      <c r="L148" s="128"/>
      <c r="M148" s="24" t="n">
        <v>-125689</v>
      </c>
      <c r="N148" s="128"/>
      <c r="O148" s="24" t="n">
        <f aca="false">SUM(K148:N148)</f>
        <v>-125689</v>
      </c>
      <c r="P148" s="128"/>
      <c r="AA148" s="96" t="n">
        <f aca="false">-125689-391000+338643+54082</f>
        <v>-123964</v>
      </c>
      <c r="AS148" s="95" t="n">
        <f aca="false">SUM(P148:AR148)</f>
        <v>-123964</v>
      </c>
      <c r="AT148" s="128"/>
      <c r="AV148" s="128"/>
      <c r="AW148" s="95" t="n">
        <v>0</v>
      </c>
      <c r="AX148" s="128"/>
      <c r="AY148" s="95" t="n">
        <f aca="false">+AW148+AS148</f>
        <v>-123964</v>
      </c>
      <c r="AZ148" s="128"/>
      <c r="BA148" s="95" t="n">
        <f aca="false">+O148-AY148</f>
        <v>-1725</v>
      </c>
    </row>
    <row r="149" customFormat="false" ht="12.75" hidden="false" customHeight="false" outlineLevel="0" collapsed="false">
      <c r="A149" s="152" t="s">
        <v>308</v>
      </c>
      <c r="B149" s="153"/>
      <c r="C149" s="132"/>
      <c r="D149" s="128"/>
      <c r="E149" s="128"/>
      <c r="F149" s="128"/>
      <c r="G149" s="128"/>
      <c r="H149" s="128"/>
      <c r="I149" s="128"/>
      <c r="J149" s="128"/>
      <c r="K149" s="24" t="n">
        <v>0</v>
      </c>
      <c r="L149" s="128"/>
      <c r="M149" s="24" t="n">
        <f aca="false">30155-156+249-3-38+10-28+49+289-578-101-44+383-26460+153</f>
        <v>3880</v>
      </c>
      <c r="N149" s="128"/>
      <c r="O149" s="24" t="n">
        <f aca="false">SUM(K149:N149)</f>
        <v>3880</v>
      </c>
      <c r="P149" s="128"/>
      <c r="Q149" s="96" t="n">
        <v>0</v>
      </c>
      <c r="S149" s="96" t="n">
        <v>0</v>
      </c>
      <c r="U149" s="96" t="n">
        <v>6251.01</v>
      </c>
      <c r="W149" s="96" t="n">
        <v>5254.99</v>
      </c>
      <c r="Y149" s="96" t="n">
        <v>4060.88</v>
      </c>
      <c r="AA149" s="96" t="n">
        <v>3911.42</v>
      </c>
      <c r="AC149" s="96" t="n">
        <v>3727</v>
      </c>
      <c r="AS149" s="95" t="n">
        <f aca="false">SUM(P149:AR149)</f>
        <v>23205.3</v>
      </c>
      <c r="AT149" s="128"/>
      <c r="AV149" s="128"/>
      <c r="AW149" s="95" t="n">
        <f aca="false">IF(+O149-AS149+AU149&gt;0,O149-AS149+AU149,0)</f>
        <v>0</v>
      </c>
      <c r="AX149" s="128"/>
      <c r="AY149" s="95" t="n">
        <f aca="false">+AW149+AS149</f>
        <v>23205.3</v>
      </c>
      <c r="AZ149" s="128"/>
      <c r="BA149" s="95" t="n">
        <f aca="false">+O149-AY149</f>
        <v>-19325.3</v>
      </c>
    </row>
    <row r="150" customFormat="false" ht="12.75" hidden="false" customHeight="false" outlineLevel="0" collapsed="false">
      <c r="A150" s="152" t="s">
        <v>309</v>
      </c>
      <c r="B150" s="153"/>
      <c r="C150" s="132"/>
      <c r="D150" s="128"/>
      <c r="E150" s="128"/>
      <c r="F150" s="128"/>
      <c r="G150" s="128"/>
      <c r="H150" s="128"/>
      <c r="I150" s="128"/>
      <c r="J150" s="128"/>
      <c r="K150" s="24" t="n">
        <v>0</v>
      </c>
      <c r="L150" s="128"/>
      <c r="M150" s="24" t="n">
        <f aca="false">2666-18334</f>
        <v>-15668</v>
      </c>
      <c r="N150" s="128"/>
      <c r="O150" s="24" t="n">
        <f aca="false">SUM(K150:N150)</f>
        <v>-15668</v>
      </c>
      <c r="P150" s="128"/>
      <c r="Q150" s="96" t="n">
        <v>0</v>
      </c>
      <c r="S150" s="96" t="n">
        <v>0</v>
      </c>
      <c r="U150" s="96" t="n">
        <v>0</v>
      </c>
      <c r="W150" s="96" t="n">
        <v>0</v>
      </c>
      <c r="Y150" s="96" t="n">
        <v>0</v>
      </c>
      <c r="AA150" s="96" t="n">
        <v>2666</v>
      </c>
      <c r="AC150" s="96" t="n">
        <v>-18333.94</v>
      </c>
      <c r="AS150" s="95" t="n">
        <f aca="false">SUM(P150:AR150)</f>
        <v>-15667.94</v>
      </c>
      <c r="AT150" s="128"/>
      <c r="AU150" s="96" t="n">
        <v>0</v>
      </c>
      <c r="AV150" s="128"/>
      <c r="AW150" s="95" t="n">
        <f aca="false">IF(+O150-AS150+AU150&gt;0,O150-AS150+AU150,0)</f>
        <v>0</v>
      </c>
      <c r="AX150" s="128"/>
      <c r="AY150" s="95" t="n">
        <f aca="false">+AW150+AS150</f>
        <v>-15667.94</v>
      </c>
      <c r="AZ150" s="128"/>
      <c r="BA150" s="95" t="n">
        <f aca="false">+O150-AY150</f>
        <v>-0.0600000000013097</v>
      </c>
    </row>
    <row r="151" customFormat="false" ht="12.75" hidden="false" customHeight="false" outlineLevel="0" collapsed="false">
      <c r="A151" s="152"/>
      <c r="B151" s="153"/>
      <c r="C151" s="132"/>
      <c r="D151" s="128"/>
      <c r="E151" s="128"/>
      <c r="F151" s="128"/>
      <c r="G151" s="128"/>
      <c r="H151" s="128"/>
      <c r="I151" s="128"/>
      <c r="J151" s="128"/>
      <c r="K151" s="24"/>
      <c r="L151" s="128"/>
      <c r="M151" s="24"/>
      <c r="N151" s="128"/>
      <c r="O151" s="24"/>
      <c r="P151" s="128"/>
      <c r="AT151" s="128"/>
      <c r="AV151" s="128"/>
      <c r="AX151" s="128"/>
      <c r="AZ151" s="128"/>
    </row>
    <row r="152" customFormat="false" ht="12.75" hidden="false" customHeight="false" outlineLevel="0" collapsed="false">
      <c r="A152" s="145"/>
      <c r="B152" s="127" t="s">
        <v>310</v>
      </c>
      <c r="C152" s="132"/>
      <c r="D152" s="128"/>
      <c r="E152" s="128"/>
      <c r="F152" s="128"/>
      <c r="G152" s="128"/>
      <c r="H152" s="128"/>
      <c r="I152" s="128"/>
      <c r="J152" s="128"/>
      <c r="K152" s="155" t="n">
        <f aca="false">SUM(K111:K150)+K109-K139-K130-K120-K113</f>
        <v>121071212.472</v>
      </c>
      <c r="L152" s="128"/>
      <c r="M152" s="155" t="n">
        <f aca="false">SUM(M111:M150)+M109-M139-M130-M120-M113</f>
        <v>-196714</v>
      </c>
      <c r="N152" s="128"/>
      <c r="O152" s="155" t="n">
        <f aca="false">SUM(O111:O150)+O109-O139-O130-O120-O113</f>
        <v>120874498.472</v>
      </c>
      <c r="P152" s="128"/>
      <c r="Q152" s="155" t="n">
        <f aca="false">SUM(Q111:Q150)+Q109-Q139-Q130-Q120-Q113</f>
        <v>61073087.55</v>
      </c>
      <c r="S152" s="155" t="n">
        <f aca="false">SUM(S111:S150)+S109-S139-S130-S120-S113</f>
        <v>5192978.35</v>
      </c>
      <c r="U152" s="155" t="n">
        <f aca="false">SUM(U111:U150)+U109-U139-U130-U120-U113</f>
        <v>6766874.52</v>
      </c>
      <c r="W152" s="155" t="n">
        <f aca="false">SUM(W111:W150)+W109-W139-W130-W120-W113</f>
        <v>5978419.44</v>
      </c>
      <c r="Y152" s="155" t="n">
        <f aca="false">SUM(Y111:Y150)+Y109-Y139-Y130-Y120-Y113</f>
        <v>7829208.62</v>
      </c>
      <c r="AA152" s="155" t="n">
        <f aca="false">SUM(AA111:AA150)+AA109-AA139-AA130-AA120-AA113</f>
        <v>4248614.21</v>
      </c>
      <c r="AB152" s="155" t="n">
        <f aca="false">SUM(AB111:AB150)+AB109-AB139-AB130-AB120-AB113</f>
        <v>0</v>
      </c>
      <c r="AC152" s="155" t="n">
        <f aca="false">SUM(AC111:AC150)+AC109-AC139-AC130-AC120-AC113</f>
        <v>6347897.32</v>
      </c>
      <c r="AD152" s="155"/>
      <c r="AE152" s="155" t="n">
        <f aca="false">SUM(AE111:AE150)+AE109-AE139-AE130-AE120-AE113</f>
        <v>7492746.35</v>
      </c>
      <c r="AF152" s="24"/>
      <c r="AG152" s="155" t="n">
        <f aca="false">SUM(AG111:AG150)+AG109-AG139-AG130-AG120-AG113</f>
        <v>6349430.01</v>
      </c>
      <c r="AH152" s="24"/>
      <c r="AI152" s="155" t="n">
        <f aca="false">SUM(AI111:AI150)+AI109-AI139-AI130-AI120-AI113</f>
        <v>7646800.48</v>
      </c>
      <c r="AJ152" s="24"/>
      <c r="AK152" s="155" t="n">
        <f aca="false">SUM(AK111:AK150)+AK109-AK139-AK130-AK120-AK113</f>
        <v>1211500.91</v>
      </c>
      <c r="AL152" s="24"/>
      <c r="AM152" s="155" t="n">
        <f aca="false">SUM(AM111:AM150)+AM109-AM139-AM130-AM120-AM113</f>
        <v>1918888.56</v>
      </c>
      <c r="AN152" s="24"/>
      <c r="AO152" s="155" t="n">
        <f aca="false">SUM(AO111:AO150)+AO109-AO139-AO130-AO120-AO113</f>
        <v>464218.36</v>
      </c>
      <c r="AP152" s="24"/>
      <c r="AQ152" s="155" t="n">
        <f aca="false">SUM(AQ111:AQ150)+AQ109-AQ139-AQ130-AQ120-AQ113</f>
        <v>22647.13</v>
      </c>
      <c r="AR152" s="129"/>
      <c r="AS152" s="155" t="n">
        <f aca="false">SUM(AS111:AS150)+AS109-AS139-AS130-AS120-AS113</f>
        <v>122543311.81</v>
      </c>
      <c r="AT152" s="128"/>
      <c r="AU152" s="155" t="n">
        <f aca="false">SUM(AU111:AU147)+AU109-AU139-AU130-AU120-AU113</f>
        <v>427438.33</v>
      </c>
      <c r="AV152" s="128"/>
      <c r="AW152" s="155" t="n">
        <f aca="false">SUM(AW111:AW150)+AW109-AW139-AW130-AW120-AW113</f>
        <v>1472877.122</v>
      </c>
      <c r="AX152" s="128"/>
      <c r="AY152" s="155" t="n">
        <f aca="false">SUM(AY111:AY150)+AY109-AY139-AY130-AY120-AY113</f>
        <v>124016188.932</v>
      </c>
      <c r="AZ152" s="128"/>
      <c r="BA152" s="155" t="n">
        <f aca="false">SUM(BA111:BA150)+BA109-BA139-BA130-BA120-BA113</f>
        <v>-3141690.45999999</v>
      </c>
    </row>
    <row r="153" customFormat="false" ht="12.75" hidden="false" customHeight="false" outlineLevel="0" collapsed="false">
      <c r="A153" s="145"/>
      <c r="B153" s="127"/>
      <c r="C153" s="132"/>
      <c r="D153" s="128"/>
      <c r="E153" s="128"/>
      <c r="F153" s="128"/>
      <c r="G153" s="128"/>
      <c r="H153" s="128"/>
      <c r="I153" s="128"/>
      <c r="J153" s="128"/>
      <c r="K153" s="24"/>
      <c r="L153" s="128"/>
      <c r="M153" s="24"/>
      <c r="N153" s="128"/>
      <c r="O153" s="24"/>
      <c r="P153" s="128"/>
      <c r="Q153" s="129"/>
      <c r="S153" s="129"/>
      <c r="U153" s="129"/>
      <c r="W153" s="129"/>
      <c r="Y153" s="129"/>
      <c r="AA153" s="129"/>
      <c r="AC153" s="129"/>
      <c r="AE153" s="129"/>
      <c r="AF153" s="129"/>
      <c r="AG153" s="129"/>
      <c r="AH153" s="129"/>
      <c r="AI153" s="129"/>
      <c r="AJ153" s="129"/>
      <c r="AK153" s="129"/>
      <c r="AL153" s="129"/>
      <c r="AM153" s="129"/>
      <c r="AN153" s="129"/>
      <c r="AO153" s="129"/>
      <c r="AP153" s="129"/>
      <c r="AQ153" s="129"/>
      <c r="AR153" s="129"/>
      <c r="AS153" s="24"/>
      <c r="AT153" s="128"/>
      <c r="AU153" s="129"/>
      <c r="AV153" s="128"/>
      <c r="AW153" s="24"/>
      <c r="AX153" s="128"/>
      <c r="AY153" s="24"/>
      <c r="AZ153" s="128"/>
      <c r="BA153" s="24"/>
    </row>
    <row r="154" customFormat="false" ht="12.75" hidden="false" customHeight="false" outlineLevel="0" collapsed="false">
      <c r="A154" s="152" t="s">
        <v>311</v>
      </c>
      <c r="B154" s="127"/>
      <c r="C154" s="132" t="s">
        <v>147</v>
      </c>
      <c r="D154" s="128"/>
      <c r="E154" s="128" t="s">
        <v>312</v>
      </c>
      <c r="F154" s="128"/>
      <c r="G154" s="128" t="s">
        <v>313</v>
      </c>
      <c r="H154" s="128"/>
      <c r="I154" s="128"/>
      <c r="J154" s="128"/>
      <c r="K154" s="24" t="n">
        <v>1500000</v>
      </c>
      <c r="L154" s="128"/>
      <c r="M154" s="24" t="n">
        <v>-500000</v>
      </c>
      <c r="N154" s="128"/>
      <c r="O154" s="24" t="n">
        <f aca="false">SUM(K154:M154)</f>
        <v>1000000</v>
      </c>
      <c r="P154" s="128"/>
      <c r="Q154" s="129" t="n">
        <v>0</v>
      </c>
      <c r="S154" s="129" t="n">
        <v>0</v>
      </c>
      <c r="U154" s="129" t="n">
        <v>756250</v>
      </c>
      <c r="W154" s="129"/>
      <c r="Y154" s="129"/>
      <c r="AA154" s="129"/>
      <c r="AC154" s="129" t="n">
        <f aca="false">8223.78-8223.78+2741.26+80592.08</f>
        <v>83333.34</v>
      </c>
      <c r="AE154" s="129"/>
      <c r="AF154" s="129"/>
      <c r="AG154" s="129"/>
      <c r="AH154" s="129"/>
      <c r="AI154" s="129"/>
      <c r="AJ154" s="129"/>
      <c r="AK154" s="129"/>
      <c r="AL154" s="129"/>
      <c r="AM154" s="129"/>
      <c r="AN154" s="129"/>
      <c r="AO154" s="129"/>
      <c r="AP154" s="129"/>
      <c r="AQ154" s="129"/>
      <c r="AR154" s="129"/>
      <c r="AS154" s="95" t="n">
        <f aca="false">SUM(P154:AR154)</f>
        <v>839583.34</v>
      </c>
      <c r="AT154" s="128"/>
      <c r="AU154" s="129" t="n">
        <v>-243750</v>
      </c>
      <c r="AV154" s="128"/>
      <c r="AW154" s="95" t="n">
        <f aca="false">IF(+O154-AS154+AU154&gt;0,O154-AS154+AU154,0)</f>
        <v>0</v>
      </c>
      <c r="AX154" s="128"/>
      <c r="AY154" s="95" t="n">
        <f aca="false">+AW154+AS154</f>
        <v>839583.34</v>
      </c>
      <c r="AZ154" s="128"/>
      <c r="BA154" s="95" t="n">
        <f aca="false">+O154-AY154</f>
        <v>160416.66</v>
      </c>
    </row>
    <row r="155" customFormat="false" ht="12.75" hidden="false" customHeight="false" outlineLevel="0" collapsed="false">
      <c r="A155" s="152"/>
      <c r="B155" s="153" t="s">
        <v>314</v>
      </c>
      <c r="C155" s="132"/>
      <c r="D155" s="128"/>
      <c r="E155" s="128"/>
      <c r="F155" s="128"/>
      <c r="G155" s="128"/>
      <c r="H155" s="128"/>
      <c r="I155" s="128"/>
      <c r="J155" s="128"/>
      <c r="K155" s="24"/>
      <c r="L155" s="128"/>
      <c r="M155" s="24"/>
      <c r="N155" s="128"/>
      <c r="O155" s="24"/>
      <c r="P155" s="128"/>
      <c r="Q155" s="96" t="n">
        <v>0</v>
      </c>
      <c r="S155" s="96" t="n">
        <f aca="false">167937.5/3</f>
        <v>55979.1666666667</v>
      </c>
      <c r="AS155" s="95" t="n">
        <f aca="false">SUM(P155:AR155)</f>
        <v>55979.1666666667</v>
      </c>
      <c r="AT155" s="128"/>
      <c r="AV155" s="128"/>
      <c r="AW155" s="95" t="n">
        <f aca="false">IF(+O155-AS155+AU155&gt;0,O155-AS155+AU155,0)</f>
        <v>0</v>
      </c>
      <c r="AX155" s="24"/>
      <c r="AY155" s="95" t="n">
        <f aca="false">+AW155+AS155</f>
        <v>55979.1666666667</v>
      </c>
      <c r="AZ155" s="24"/>
      <c r="BA155" s="95" t="n">
        <f aca="false">+O155-AY155</f>
        <v>-55979.1666666667</v>
      </c>
      <c r="BB155" s="24"/>
      <c r="BC155" s="24"/>
    </row>
    <row r="156" customFormat="false" ht="12.75" hidden="false" customHeight="false" outlineLevel="0" collapsed="false">
      <c r="A156" s="152"/>
      <c r="B156" s="153" t="s">
        <v>315</v>
      </c>
      <c r="C156" s="132"/>
      <c r="D156" s="128"/>
      <c r="E156" s="128"/>
      <c r="F156" s="128"/>
      <c r="G156" s="128"/>
      <c r="H156" s="128"/>
      <c r="I156" s="128"/>
      <c r="J156" s="128"/>
      <c r="K156" s="24"/>
      <c r="L156" s="128"/>
      <c r="M156" s="24"/>
      <c r="N156" s="128"/>
      <c r="O156" s="24"/>
      <c r="P156" s="128"/>
      <c r="Q156" s="96" t="n">
        <v>0</v>
      </c>
      <c r="S156" s="96" t="n">
        <f aca="false">7600/3</f>
        <v>2533.33333333333</v>
      </c>
      <c r="AO156" s="96" t="n">
        <v>83333.33</v>
      </c>
      <c r="AS156" s="95" t="n">
        <f aca="false">SUM(P156:AR156)</f>
        <v>85866.6633333333</v>
      </c>
      <c r="AT156" s="128"/>
      <c r="AU156" s="96" t="n">
        <v>352817</v>
      </c>
      <c r="AV156" s="128"/>
      <c r="AW156" s="95" t="n">
        <v>0</v>
      </c>
      <c r="AX156" s="24"/>
      <c r="AY156" s="95" t="n">
        <f aca="false">+AW156+AS156</f>
        <v>85866.6633333333</v>
      </c>
      <c r="AZ156" s="24"/>
      <c r="BA156" s="95" t="n">
        <f aca="false">+O156-AY156</f>
        <v>-85866.6633333333</v>
      </c>
      <c r="BB156" s="24"/>
      <c r="BC156" s="24"/>
    </row>
    <row r="157" customFormat="false" ht="12.75" hidden="false" customHeight="false" outlineLevel="0" collapsed="false">
      <c r="A157" s="152"/>
      <c r="B157" s="153" t="s">
        <v>316</v>
      </c>
      <c r="C157" s="132"/>
      <c r="D157" s="128"/>
      <c r="E157" s="128"/>
      <c r="F157" s="128"/>
      <c r="G157" s="128"/>
      <c r="H157" s="128"/>
      <c r="I157" s="128"/>
      <c r="J157" s="128"/>
      <c r="K157" s="24"/>
      <c r="L157" s="128"/>
      <c r="M157" s="24"/>
      <c r="N157" s="128"/>
      <c r="O157" s="24"/>
      <c r="P157" s="128"/>
      <c r="Q157" s="96" t="n">
        <v>0</v>
      </c>
      <c r="S157" s="96" t="n">
        <f aca="false">10000/3</f>
        <v>3333.33333333333</v>
      </c>
      <c r="AS157" s="95" t="n">
        <f aca="false">SUM(P157:AR157)</f>
        <v>3333.33333333333</v>
      </c>
      <c r="AT157" s="128"/>
      <c r="AV157" s="128"/>
      <c r="AW157" s="95" t="n">
        <f aca="false">IF(+O157-AS157+AU157&gt;0,O157-AS157+AU157,0)</f>
        <v>0</v>
      </c>
      <c r="AX157" s="24"/>
      <c r="AY157" s="95" t="n">
        <f aca="false">+AW157+AS157</f>
        <v>3333.33333333333</v>
      </c>
      <c r="AZ157" s="24"/>
      <c r="BA157" s="95" t="n">
        <f aca="false">+O157-AY157</f>
        <v>-3333.33333333333</v>
      </c>
      <c r="BB157" s="24"/>
      <c r="BC157" s="24"/>
    </row>
    <row r="158" customFormat="false" ht="12.75" hidden="false" customHeight="false" outlineLevel="0" collapsed="false">
      <c r="A158" s="152"/>
      <c r="B158" s="153" t="s">
        <v>317</v>
      </c>
      <c r="C158" s="132"/>
      <c r="D158" s="128"/>
      <c r="E158" s="128"/>
      <c r="F158" s="128"/>
      <c r="G158" s="128"/>
      <c r="H158" s="128"/>
      <c r="I158" s="128"/>
      <c r="J158" s="128"/>
      <c r="K158" s="24"/>
      <c r="L158" s="128"/>
      <c r="M158" s="24"/>
      <c r="N158" s="128"/>
      <c r="O158" s="24"/>
      <c r="P158" s="128"/>
      <c r="Q158" s="96" t="n">
        <v>0</v>
      </c>
      <c r="S158" s="96" t="n">
        <f aca="false">(12620.33+7000)/3</f>
        <v>6540.11</v>
      </c>
      <c r="U158" s="96" t="n">
        <v>4787.55</v>
      </c>
      <c r="AQ158" s="96" t="n">
        <f aca="false">82333.33+25346.23</f>
        <v>107679.56</v>
      </c>
      <c r="AS158" s="95" t="n">
        <f aca="false">SUM(P158:AR158)</f>
        <v>119007.22</v>
      </c>
      <c r="AT158" s="128"/>
      <c r="AU158" s="96" t="n">
        <f aca="false">25000+4207+4788</f>
        <v>33995</v>
      </c>
      <c r="AV158" s="128"/>
      <c r="AW158" s="95" t="n">
        <v>0</v>
      </c>
      <c r="AX158" s="24"/>
      <c r="AY158" s="95" t="n">
        <f aca="false">+AW158+AS158</f>
        <v>119007.22</v>
      </c>
      <c r="AZ158" s="24"/>
      <c r="BA158" s="95" t="n">
        <f aca="false">+O158-AY158</f>
        <v>-119007.22</v>
      </c>
      <c r="BB158" s="24"/>
      <c r="BC158" s="24"/>
    </row>
    <row r="159" customFormat="false" ht="12.75" hidden="false" customHeight="false" outlineLevel="0" collapsed="false">
      <c r="A159" s="152"/>
      <c r="B159" s="127"/>
      <c r="C159" s="132"/>
      <c r="D159" s="128"/>
      <c r="E159" s="128"/>
      <c r="F159" s="128"/>
      <c r="G159" s="128"/>
      <c r="H159" s="128"/>
      <c r="I159" s="128"/>
      <c r="J159" s="128"/>
      <c r="K159" s="181" t="n">
        <f aca="false">SUBTOTAL(9,K154:K158)</f>
        <v>1500000</v>
      </c>
      <c r="L159" s="128"/>
      <c r="M159" s="181" t="n">
        <f aca="false">SUBTOTAL(9,M154:M158)</f>
        <v>-500000</v>
      </c>
      <c r="N159" s="128"/>
      <c r="O159" s="181" t="n">
        <f aca="false">SUBTOTAL(9,O154:O158)</f>
        <v>1000000</v>
      </c>
      <c r="P159" s="128"/>
      <c r="Q159" s="182" t="n">
        <f aca="false">SUBTOTAL(9,Q154:Q158)</f>
        <v>0</v>
      </c>
      <c r="S159" s="182" t="n">
        <f aca="false">SUBTOTAL(9,S154:S158)</f>
        <v>68385.9433333333</v>
      </c>
      <c r="U159" s="182" t="n">
        <f aca="false">SUBTOTAL(9,U154:U158)</f>
        <v>761037.55</v>
      </c>
      <c r="W159" s="182" t="n">
        <f aca="false">SUBTOTAL(9,W154:W158)</f>
        <v>0</v>
      </c>
      <c r="Y159" s="182" t="n">
        <f aca="false">SUBTOTAL(9,Y154:Y158)</f>
        <v>0</v>
      </c>
      <c r="AA159" s="182" t="n">
        <f aca="false">SUBTOTAL(9,AA154:AA158)</f>
        <v>0</v>
      </c>
      <c r="AC159" s="182" t="n">
        <f aca="false">SUBTOTAL(9,AC154:AC158)</f>
        <v>83333.34</v>
      </c>
      <c r="AE159" s="182" t="n">
        <f aca="false">SUBTOTAL(9,AE154:AE158)</f>
        <v>0</v>
      </c>
      <c r="AG159" s="182" t="n">
        <f aca="false">SUBTOTAL(9,AG154:AG158)</f>
        <v>0</v>
      </c>
      <c r="AI159" s="182" t="n">
        <f aca="false">SUBTOTAL(9,AI154:AI158)</f>
        <v>0</v>
      </c>
      <c r="AK159" s="182" t="n">
        <f aca="false">SUBTOTAL(9,AK154:AK158)</f>
        <v>0</v>
      </c>
      <c r="AM159" s="182" t="n">
        <f aca="false">SUBTOTAL(9,AM154:AM158)</f>
        <v>0</v>
      </c>
      <c r="AO159" s="182" t="n">
        <f aca="false">SUBTOTAL(9,AO154:AO158)</f>
        <v>83333.33</v>
      </c>
      <c r="AQ159" s="182" t="n">
        <f aca="false">SUBTOTAL(9,AQ154:AQ158)</f>
        <v>107679.56</v>
      </c>
      <c r="AS159" s="181" t="n">
        <f aca="false">SUBTOTAL(9,AS154:AS158)</f>
        <v>1103769.72333333</v>
      </c>
      <c r="AT159" s="128"/>
      <c r="AU159" s="182" t="n">
        <f aca="false">SUBTOTAL(9,AU154:AU158)</f>
        <v>143062</v>
      </c>
      <c r="AV159" s="128"/>
      <c r="AW159" s="181" t="n">
        <f aca="false">SUBTOTAL(9,AW154:AW158)</f>
        <v>0</v>
      </c>
      <c r="AX159" s="24"/>
      <c r="AY159" s="181" t="n">
        <f aca="false">+AW159+AS159</f>
        <v>1103769.72333333</v>
      </c>
      <c r="AZ159" s="24"/>
      <c r="BA159" s="181" t="n">
        <f aca="false">+O159-AY159</f>
        <v>-103769.723333333</v>
      </c>
      <c r="BB159" s="24"/>
      <c r="BC159" s="24"/>
    </row>
    <row r="160" customFormat="false" ht="12.75" hidden="false" customHeight="false" outlineLevel="0" collapsed="false">
      <c r="A160" s="145"/>
      <c r="B160" s="132"/>
      <c r="C160" s="132"/>
      <c r="D160" s="128"/>
      <c r="E160" s="128"/>
      <c r="F160" s="128"/>
      <c r="G160" s="128"/>
      <c r="H160" s="128"/>
      <c r="I160" s="128"/>
      <c r="J160" s="128"/>
      <c r="L160" s="128"/>
      <c r="N160" s="128"/>
      <c r="P160" s="128"/>
      <c r="AT160" s="128"/>
      <c r="AV160" s="128"/>
      <c r="AX160" s="128"/>
      <c r="AZ160" s="128"/>
    </row>
    <row r="161" customFormat="false" ht="12.75" hidden="false" customHeight="false" outlineLevel="0" collapsed="false">
      <c r="A161" s="152" t="s">
        <v>318</v>
      </c>
      <c r="B161" s="127"/>
      <c r="C161" s="132" t="s">
        <v>147</v>
      </c>
      <c r="D161" s="128"/>
      <c r="E161" s="128"/>
      <c r="F161" s="128"/>
      <c r="G161" s="128" t="s">
        <v>300</v>
      </c>
      <c r="H161" s="128"/>
      <c r="I161" s="128"/>
      <c r="J161" s="128"/>
      <c r="K161" s="24" t="n">
        <v>0</v>
      </c>
      <c r="L161" s="128"/>
      <c r="M161" s="24" t="n">
        <v>67487</v>
      </c>
      <c r="N161" s="128"/>
      <c r="O161" s="24" t="n">
        <f aca="false">SUM(K161:N161)</f>
        <v>67487</v>
      </c>
      <c r="P161" s="128"/>
      <c r="Q161" s="129" t="n">
        <v>67487</v>
      </c>
      <c r="S161" s="129" t="n">
        <f aca="false">69937-67487</f>
        <v>2450</v>
      </c>
      <c r="U161" s="129"/>
      <c r="W161" s="129"/>
      <c r="Y161" s="129"/>
      <c r="AA161" s="129"/>
      <c r="AC161" s="129"/>
      <c r="AE161" s="129"/>
      <c r="AF161" s="129"/>
      <c r="AG161" s="129"/>
      <c r="AH161" s="129"/>
      <c r="AI161" s="129"/>
      <c r="AJ161" s="129"/>
      <c r="AK161" s="129"/>
      <c r="AL161" s="129"/>
      <c r="AM161" s="129"/>
      <c r="AN161" s="129"/>
      <c r="AO161" s="129"/>
      <c r="AP161" s="129"/>
      <c r="AQ161" s="129"/>
      <c r="AR161" s="129"/>
      <c r="AS161" s="95" t="n">
        <f aca="false">SUM(P161:AR161)</f>
        <v>69937</v>
      </c>
      <c r="AT161" s="128"/>
      <c r="AU161" s="129"/>
      <c r="AV161" s="128"/>
      <c r="AW161" s="95" t="n">
        <f aca="false">IF(+O161-AS161+AU161&gt;0,O161-AS161+AU161,0)</f>
        <v>0</v>
      </c>
      <c r="AX161" s="128"/>
      <c r="AY161" s="95" t="n">
        <f aca="false">+AW161+AS161</f>
        <v>69937</v>
      </c>
      <c r="AZ161" s="128"/>
      <c r="BA161" s="95" t="n">
        <f aca="false">+O161-AY161</f>
        <v>-2450</v>
      </c>
    </row>
    <row r="162" customFormat="false" ht="12.75" hidden="false" customHeight="false" outlineLevel="0" collapsed="false">
      <c r="A162" s="152"/>
      <c r="B162" s="132"/>
      <c r="C162" s="132"/>
      <c r="D162" s="128"/>
      <c r="E162" s="128"/>
      <c r="F162" s="128"/>
      <c r="G162" s="128"/>
      <c r="H162" s="128"/>
      <c r="I162" s="128"/>
      <c r="J162" s="128"/>
      <c r="L162" s="128"/>
      <c r="N162" s="128"/>
      <c r="P162" s="128"/>
      <c r="AT162" s="128"/>
      <c r="AV162" s="128"/>
      <c r="AX162" s="95"/>
      <c r="AZ162" s="95"/>
      <c r="BB162" s="95"/>
      <c r="BC162" s="95"/>
    </row>
    <row r="163" customFormat="false" ht="12.75" hidden="false" customHeight="false" outlineLevel="0" collapsed="false">
      <c r="A163" s="152" t="s">
        <v>319</v>
      </c>
      <c r="B163" s="153"/>
      <c r="C163" s="132" t="s">
        <v>147</v>
      </c>
      <c r="D163" s="128"/>
      <c r="E163" s="128" t="s">
        <v>320</v>
      </c>
      <c r="F163" s="128"/>
      <c r="G163" s="128" t="s">
        <v>305</v>
      </c>
      <c r="H163" s="128"/>
      <c r="I163" s="128"/>
      <c r="J163" s="128"/>
      <c r="K163" s="128"/>
      <c r="L163" s="128"/>
      <c r="M163" s="128"/>
      <c r="N163" s="128"/>
      <c r="O163" s="128"/>
      <c r="P163" s="128"/>
      <c r="AT163" s="128"/>
      <c r="AV163" s="128"/>
      <c r="AX163" s="128"/>
      <c r="AZ163" s="128"/>
    </row>
    <row r="164" customFormat="false" ht="12.75" hidden="false" customHeight="false" outlineLevel="0" collapsed="false">
      <c r="A164" s="152"/>
      <c r="B164" s="153" t="s">
        <v>321</v>
      </c>
      <c r="C164" s="132"/>
      <c r="D164" s="128"/>
      <c r="E164" s="128"/>
      <c r="F164" s="128"/>
      <c r="G164" s="128"/>
      <c r="H164" s="128"/>
      <c r="I164" s="128"/>
      <c r="J164" s="128"/>
      <c r="L164" s="128"/>
      <c r="M164" s="95" t="n">
        <v>0</v>
      </c>
      <c r="N164" s="128"/>
      <c r="P164" s="128"/>
      <c r="Q164" s="96" t="n">
        <v>20888</v>
      </c>
      <c r="S164" s="96" t="n">
        <v>4649</v>
      </c>
      <c r="W164" s="96" t="n">
        <v>1054.91</v>
      </c>
      <c r="Y164" s="96" t="n">
        <v>188</v>
      </c>
      <c r="AA164" s="96" t="n">
        <f aca="false">410.56+520.84+45.35+848.93+24.71+727.6+91.22+112.07+732.6</f>
        <v>3513.88</v>
      </c>
      <c r="AC164" s="96" t="n">
        <f aca="false">477.4+23969.94</f>
        <v>24447.34</v>
      </c>
      <c r="AE164" s="96" t="n">
        <f aca="false">23+995.15+33.42+1282.42+19.29+171.35+969.17+41.43</f>
        <v>3535.23</v>
      </c>
      <c r="AG164" s="96" t="n">
        <f aca="false">2277.65+960.82</f>
        <v>3238.47</v>
      </c>
      <c r="AI164" s="96" t="n">
        <f aca="false">1428.78+786.04+1305.07</f>
        <v>3519.89</v>
      </c>
      <c r="AK164" s="96" t="n">
        <v>1417.15</v>
      </c>
      <c r="AS164" s="95" t="n">
        <f aca="false">SUM(P164:AR164)</f>
        <v>66451.87</v>
      </c>
      <c r="AT164" s="128"/>
      <c r="AV164" s="128"/>
      <c r="AX164" s="128"/>
      <c r="AY164" s="95" t="n">
        <f aca="false">+AW164+AS164</f>
        <v>66451.87</v>
      </c>
      <c r="AZ164" s="128"/>
    </row>
    <row r="165" customFormat="false" ht="12.75" hidden="false" customHeight="false" outlineLevel="0" collapsed="false">
      <c r="A165" s="152"/>
      <c r="B165" s="153" t="s">
        <v>322</v>
      </c>
      <c r="C165" s="132"/>
      <c r="D165" s="128"/>
      <c r="E165" s="128"/>
      <c r="F165" s="128"/>
      <c r="G165" s="128"/>
      <c r="H165" s="128"/>
      <c r="I165" s="128"/>
      <c r="J165" s="128"/>
      <c r="L165" s="128"/>
      <c r="M165" s="95" t="n">
        <v>0</v>
      </c>
      <c r="N165" s="128"/>
      <c r="P165" s="128"/>
      <c r="Q165" s="96" t="n">
        <v>5024</v>
      </c>
      <c r="S165" s="96" t="n">
        <v>0</v>
      </c>
      <c r="AS165" s="95" t="n">
        <f aca="false">SUM(P165:AR165)</f>
        <v>5024</v>
      </c>
      <c r="AT165" s="128"/>
      <c r="AV165" s="128"/>
      <c r="AX165" s="128"/>
      <c r="AY165" s="95" t="n">
        <f aca="false">+AW165+AS165</f>
        <v>5024</v>
      </c>
      <c r="AZ165" s="128"/>
    </row>
    <row r="166" customFormat="false" ht="12.75" hidden="false" customHeight="false" outlineLevel="0" collapsed="false">
      <c r="A166" s="152"/>
      <c r="B166" s="153" t="s">
        <v>323</v>
      </c>
      <c r="C166" s="132"/>
      <c r="D166" s="128"/>
      <c r="E166" s="128"/>
      <c r="F166" s="128"/>
      <c r="G166" s="128"/>
      <c r="H166" s="128"/>
      <c r="I166" s="128"/>
      <c r="J166" s="128"/>
      <c r="L166" s="128"/>
      <c r="M166" s="95" t="n">
        <v>0</v>
      </c>
      <c r="N166" s="128"/>
      <c r="P166" s="128"/>
      <c r="Q166" s="96" t="n">
        <v>19407</v>
      </c>
      <c r="S166" s="96" t="n">
        <v>0</v>
      </c>
      <c r="U166" s="96" t="n">
        <v>3386.49</v>
      </c>
      <c r="W166" s="96" t="n">
        <v>3356.81</v>
      </c>
      <c r="AC166" s="96" t="n">
        <f aca="false">3710.97+3343.35+3481.92+3538.03</f>
        <v>14074.27</v>
      </c>
      <c r="AE166" s="96" t="n">
        <v>3359.47</v>
      </c>
      <c r="AI166" s="96" t="n">
        <f aca="false">3385.34</f>
        <v>3385.34</v>
      </c>
      <c r="AK166" s="96" t="n">
        <f aca="false">3358.98+3370.6</f>
        <v>6729.58</v>
      </c>
      <c r="AO166" s="96" t="n">
        <v>3362.57</v>
      </c>
      <c r="AS166" s="95" t="n">
        <f aca="false">SUM(P166:AR166)</f>
        <v>57061.53</v>
      </c>
      <c r="AT166" s="128"/>
      <c r="AV166" s="128"/>
      <c r="AX166" s="128"/>
      <c r="AY166" s="95" t="n">
        <f aca="false">+AW166+AS166</f>
        <v>57061.53</v>
      </c>
      <c r="AZ166" s="128"/>
    </row>
    <row r="167" customFormat="false" ht="12.75" hidden="false" customHeight="false" outlineLevel="0" collapsed="false">
      <c r="A167" s="152"/>
      <c r="B167" s="153" t="s">
        <v>324</v>
      </c>
      <c r="C167" s="132"/>
      <c r="D167" s="128"/>
      <c r="E167" s="128"/>
      <c r="F167" s="128"/>
      <c r="G167" s="128"/>
      <c r="H167" s="128"/>
      <c r="I167" s="128"/>
      <c r="J167" s="128"/>
      <c r="L167" s="128"/>
      <c r="N167" s="128"/>
      <c r="P167" s="128"/>
      <c r="Q167" s="96" t="n">
        <v>0</v>
      </c>
      <c r="S167" s="96" t="n">
        <v>0</v>
      </c>
      <c r="AC167" s="96" t="n">
        <f aca="false">26029.66+682.56+53011.08+23359</f>
        <v>103082.3</v>
      </c>
      <c r="AE167" s="96" t="n">
        <v>30238.8</v>
      </c>
      <c r="AG167" s="96" t="n">
        <f aca="false">30444.88+20951.23</f>
        <v>51396.11</v>
      </c>
      <c r="AS167" s="95" t="n">
        <f aca="false">SUM(P167:AR167)</f>
        <v>184717.21</v>
      </c>
      <c r="AT167" s="128"/>
      <c r="AV167" s="128"/>
      <c r="AX167" s="128"/>
      <c r="AY167" s="95" t="n">
        <f aca="false">+AW167+AS167</f>
        <v>184717.21</v>
      </c>
      <c r="AZ167" s="128"/>
    </row>
    <row r="168" customFormat="false" ht="12.75" hidden="false" customHeight="false" outlineLevel="0" collapsed="false">
      <c r="A168" s="152"/>
      <c r="B168" s="153" t="s">
        <v>325</v>
      </c>
      <c r="C168" s="132"/>
      <c r="D168" s="128"/>
      <c r="E168" s="128"/>
      <c r="F168" s="128"/>
      <c r="G168" s="128"/>
      <c r="H168" s="128"/>
      <c r="I168" s="128"/>
      <c r="J168" s="128"/>
      <c r="L168" s="128"/>
      <c r="M168" s="95" t="n">
        <v>0</v>
      </c>
      <c r="N168" s="128"/>
      <c r="P168" s="128"/>
      <c r="Q168" s="96" t="n">
        <v>135</v>
      </c>
      <c r="S168" s="96" t="n">
        <v>0</v>
      </c>
      <c r="Y168" s="96" t="n">
        <v>1925.14</v>
      </c>
      <c r="AS168" s="95" t="n">
        <f aca="false">SUM(P168:AR168)</f>
        <v>2060.14</v>
      </c>
      <c r="AT168" s="128"/>
      <c r="AV168" s="128"/>
      <c r="AX168" s="128"/>
      <c r="AY168" s="95" t="n">
        <f aca="false">+AW168+AS168</f>
        <v>2060.14</v>
      </c>
      <c r="AZ168" s="128"/>
    </row>
    <row r="169" customFormat="false" ht="12.75" hidden="false" customHeight="false" outlineLevel="0" collapsed="false">
      <c r="A169" s="152"/>
      <c r="B169" s="153" t="s">
        <v>326</v>
      </c>
      <c r="C169" s="132"/>
      <c r="D169" s="128"/>
      <c r="E169" s="128"/>
      <c r="F169" s="128"/>
      <c r="G169" s="128"/>
      <c r="H169" s="128"/>
      <c r="I169" s="128"/>
      <c r="J169" s="128"/>
      <c r="L169" s="128"/>
      <c r="M169" s="95" t="n">
        <v>0</v>
      </c>
      <c r="N169" s="128"/>
      <c r="P169" s="128"/>
      <c r="Q169" s="96" t="n">
        <v>21650</v>
      </c>
      <c r="S169" s="96" t="n">
        <v>833</v>
      </c>
      <c r="Y169" s="96" t="n">
        <v>-22066.22</v>
      </c>
      <c r="AS169" s="95" t="n">
        <f aca="false">SUM(P169:AR169)</f>
        <v>416.779999999999</v>
      </c>
      <c r="AT169" s="128"/>
      <c r="AV169" s="128"/>
      <c r="AX169" s="128"/>
      <c r="AY169" s="95" t="n">
        <f aca="false">+AW169+AS169</f>
        <v>416.779999999999</v>
      </c>
      <c r="AZ169" s="128"/>
    </row>
    <row r="170" customFormat="false" ht="12.75" hidden="false" customHeight="false" outlineLevel="0" collapsed="false">
      <c r="A170" s="152"/>
      <c r="B170" s="153" t="s">
        <v>327</v>
      </c>
      <c r="C170" s="132"/>
      <c r="D170" s="128"/>
      <c r="E170" s="128"/>
      <c r="F170" s="128"/>
      <c r="G170" s="128"/>
      <c r="H170" s="128"/>
      <c r="I170" s="128"/>
      <c r="J170" s="128"/>
      <c r="L170" s="128"/>
      <c r="M170" s="95" t="n">
        <v>0</v>
      </c>
      <c r="N170" s="128"/>
      <c r="P170" s="128"/>
      <c r="Q170" s="96" t="n">
        <v>0</v>
      </c>
      <c r="S170" s="96" t="n">
        <v>0</v>
      </c>
      <c r="AS170" s="95" t="n">
        <f aca="false">SUM(P170:AR170)</f>
        <v>0</v>
      </c>
      <c r="AT170" s="128"/>
      <c r="AV170" s="128"/>
      <c r="AX170" s="128"/>
      <c r="AY170" s="95" t="n">
        <f aca="false">+AW170+AS170</f>
        <v>0</v>
      </c>
      <c r="AZ170" s="128"/>
    </row>
    <row r="171" customFormat="false" ht="12.75" hidden="false" customHeight="false" outlineLevel="0" collapsed="false">
      <c r="A171" s="152"/>
      <c r="B171" s="153" t="s">
        <v>328</v>
      </c>
      <c r="C171" s="132"/>
      <c r="D171" s="128"/>
      <c r="E171" s="128"/>
      <c r="F171" s="128"/>
      <c r="G171" s="128"/>
      <c r="H171" s="128"/>
      <c r="I171" s="128"/>
      <c r="J171" s="128"/>
      <c r="L171" s="128"/>
      <c r="M171" s="95" t="n">
        <v>0</v>
      </c>
      <c r="N171" s="128"/>
      <c r="P171" s="128"/>
      <c r="Q171" s="96" t="n">
        <v>4055.15</v>
      </c>
      <c r="S171" s="96" t="n">
        <v>0</v>
      </c>
      <c r="AS171" s="95" t="n">
        <f aca="false">SUM(P171:AR171)</f>
        <v>4055.15</v>
      </c>
      <c r="AT171" s="128"/>
      <c r="AV171" s="128"/>
      <c r="AX171" s="128"/>
      <c r="AY171" s="95" t="n">
        <f aca="false">+AW171+AS171</f>
        <v>4055.15</v>
      </c>
      <c r="AZ171" s="128"/>
    </row>
    <row r="172" customFormat="false" ht="12.75" hidden="false" customHeight="false" outlineLevel="0" collapsed="false">
      <c r="A172" s="152"/>
      <c r="B172" s="153" t="s">
        <v>329</v>
      </c>
      <c r="C172" s="132"/>
      <c r="D172" s="128"/>
      <c r="E172" s="128"/>
      <c r="F172" s="128"/>
      <c r="G172" s="128"/>
      <c r="H172" s="128"/>
      <c r="I172" s="128"/>
      <c r="J172" s="128"/>
      <c r="L172" s="128"/>
      <c r="M172" s="95" t="n">
        <v>0</v>
      </c>
      <c r="N172" s="128"/>
      <c r="P172" s="128"/>
      <c r="Q172" s="96" t="n">
        <f aca="false">16217.88</f>
        <v>16217.88</v>
      </c>
      <c r="S172" s="96" t="n">
        <v>0</v>
      </c>
      <c r="AC172" s="96" t="n">
        <v>1785.83</v>
      </c>
      <c r="AS172" s="95" t="n">
        <f aca="false">SUM(P172:AR172)</f>
        <v>18003.71</v>
      </c>
      <c r="AT172" s="128"/>
      <c r="AV172" s="128"/>
      <c r="AX172" s="128"/>
      <c r="AY172" s="95" t="n">
        <f aca="false">+AW172+AS172</f>
        <v>18003.71</v>
      </c>
      <c r="AZ172" s="128"/>
    </row>
    <row r="173" customFormat="false" ht="12.75" hidden="false" customHeight="false" outlineLevel="0" collapsed="false">
      <c r="A173" s="152"/>
      <c r="B173" s="153" t="s">
        <v>330</v>
      </c>
      <c r="C173" s="132"/>
      <c r="D173" s="128"/>
      <c r="E173" s="128"/>
      <c r="F173" s="128"/>
      <c r="G173" s="128"/>
      <c r="H173" s="128"/>
      <c r="I173" s="128"/>
      <c r="J173" s="128"/>
      <c r="L173" s="128"/>
      <c r="M173" s="95" t="n">
        <v>0</v>
      </c>
      <c r="N173" s="128"/>
      <c r="P173" s="128"/>
      <c r="Q173" s="96" t="n">
        <f aca="false">230.09+77</f>
        <v>307.09</v>
      </c>
      <c r="S173" s="96" t="n">
        <v>0</v>
      </c>
      <c r="AS173" s="95" t="n">
        <f aca="false">SUM(P173:AR173)</f>
        <v>307.09</v>
      </c>
      <c r="AT173" s="128"/>
      <c r="AV173" s="128"/>
      <c r="AX173" s="128"/>
      <c r="AY173" s="95" t="n">
        <f aca="false">+AW173+AS173</f>
        <v>307.09</v>
      </c>
      <c r="AZ173" s="128"/>
    </row>
    <row r="174" customFormat="false" ht="12.75" hidden="false" customHeight="false" outlineLevel="0" collapsed="false">
      <c r="A174" s="152"/>
      <c r="B174" s="153" t="s">
        <v>331</v>
      </c>
      <c r="C174" s="132"/>
      <c r="D174" s="128"/>
      <c r="E174" s="128"/>
      <c r="F174" s="128"/>
      <c r="G174" s="128"/>
      <c r="H174" s="128"/>
      <c r="I174" s="128"/>
      <c r="J174" s="128"/>
      <c r="L174" s="128"/>
      <c r="M174" s="95" t="n">
        <v>0</v>
      </c>
      <c r="N174" s="128"/>
      <c r="P174" s="128"/>
      <c r="Q174" s="96" t="n">
        <f aca="false">45500+45500</f>
        <v>91000</v>
      </c>
      <c r="S174" s="96" t="n">
        <v>0</v>
      </c>
      <c r="AS174" s="95" t="n">
        <f aca="false">SUM(P174:AR174)</f>
        <v>91000</v>
      </c>
      <c r="AT174" s="128"/>
      <c r="AV174" s="128"/>
      <c r="AX174" s="128"/>
      <c r="AY174" s="95" t="n">
        <f aca="false">+AW174+AS174</f>
        <v>91000</v>
      </c>
      <c r="AZ174" s="128"/>
    </row>
    <row r="175" customFormat="false" ht="12.75" hidden="false" customHeight="false" outlineLevel="0" collapsed="false">
      <c r="A175" s="152"/>
      <c r="B175" s="153" t="s">
        <v>332</v>
      </c>
      <c r="C175" s="132"/>
      <c r="D175" s="128"/>
      <c r="E175" s="128"/>
      <c r="F175" s="128"/>
      <c r="G175" s="128"/>
      <c r="H175" s="128"/>
      <c r="I175" s="128"/>
      <c r="J175" s="128"/>
      <c r="K175" s="128"/>
      <c r="L175" s="128"/>
      <c r="M175" s="95" t="n">
        <v>0</v>
      </c>
      <c r="N175" s="128"/>
      <c r="O175" s="128"/>
      <c r="P175" s="128"/>
      <c r="Q175" s="96" t="n">
        <f aca="false">10235.67+3312+1739.49</f>
        <v>15287.16</v>
      </c>
      <c r="S175" s="96" t="n">
        <v>0</v>
      </c>
      <c r="AE175" s="96" t="n">
        <v>4449.95</v>
      </c>
      <c r="AI175" s="96" t="n">
        <v>19502.67</v>
      </c>
      <c r="AK175" s="96" t="n">
        <f aca="false">4260.58+3078.33+7891.4</f>
        <v>15230.31</v>
      </c>
      <c r="AM175" s="96" t="n">
        <v>3271.03</v>
      </c>
      <c r="AS175" s="95" t="n">
        <f aca="false">SUM(P175:AR175)</f>
        <v>57741.12</v>
      </c>
      <c r="AT175" s="128"/>
      <c r="AV175" s="128"/>
      <c r="AX175" s="128"/>
      <c r="AY175" s="95" t="n">
        <f aca="false">+AW175+AS175</f>
        <v>57741.12</v>
      </c>
      <c r="AZ175" s="128"/>
    </row>
    <row r="176" customFormat="false" ht="12.75" hidden="false" customHeight="false" outlineLevel="0" collapsed="false">
      <c r="A176" s="152"/>
      <c r="B176" s="153" t="s">
        <v>333</v>
      </c>
      <c r="C176" s="132"/>
      <c r="D176" s="128"/>
      <c r="E176" s="128"/>
      <c r="F176" s="128"/>
      <c r="G176" s="128"/>
      <c r="H176" s="128"/>
      <c r="I176" s="128"/>
      <c r="J176" s="128"/>
      <c r="K176" s="128"/>
      <c r="L176" s="128"/>
      <c r="M176" s="95" t="n">
        <v>0</v>
      </c>
      <c r="N176" s="128"/>
      <c r="O176" s="128"/>
      <c r="P176" s="128"/>
      <c r="Q176" s="96" t="n">
        <v>651</v>
      </c>
      <c r="S176" s="96" t="n">
        <v>0</v>
      </c>
      <c r="AS176" s="95" t="n">
        <f aca="false">SUM(P176:AR176)</f>
        <v>651</v>
      </c>
      <c r="AT176" s="128"/>
      <c r="AV176" s="128"/>
      <c r="AX176" s="128"/>
      <c r="AY176" s="95" t="n">
        <f aca="false">+AW176+AS176</f>
        <v>651</v>
      </c>
      <c r="AZ176" s="128"/>
    </row>
    <row r="177" customFormat="false" ht="12.75" hidden="false" customHeight="false" outlineLevel="0" collapsed="false">
      <c r="A177" s="152"/>
      <c r="B177" s="153" t="s">
        <v>334</v>
      </c>
      <c r="C177" s="132"/>
      <c r="D177" s="128"/>
      <c r="E177" s="128"/>
      <c r="F177" s="128"/>
      <c r="G177" s="128"/>
      <c r="H177" s="128"/>
      <c r="I177" s="128"/>
      <c r="J177" s="128"/>
      <c r="L177" s="153"/>
      <c r="M177" s="95" t="n">
        <v>0</v>
      </c>
      <c r="N177" s="153"/>
      <c r="P177" s="153"/>
      <c r="Q177" s="96" t="n">
        <v>52.5</v>
      </c>
      <c r="S177" s="96" t="n">
        <v>0</v>
      </c>
      <c r="AS177" s="95" t="n">
        <f aca="false">SUM(P177:AR177)</f>
        <v>52.5</v>
      </c>
      <c r="AT177" s="128"/>
      <c r="AV177" s="128"/>
      <c r="AX177" s="128"/>
      <c r="AY177" s="95" t="n">
        <f aca="false">+AW177+AS177</f>
        <v>52.5</v>
      </c>
      <c r="AZ177" s="128"/>
    </row>
    <row r="178" customFormat="false" ht="12.75" hidden="false" customHeight="false" outlineLevel="0" collapsed="false">
      <c r="A178" s="152"/>
      <c r="B178" s="153" t="s">
        <v>335</v>
      </c>
      <c r="C178" s="132"/>
      <c r="D178" s="128"/>
      <c r="E178" s="128"/>
      <c r="F178" s="128"/>
      <c r="G178" s="128"/>
      <c r="H178" s="128"/>
      <c r="I178" s="128"/>
      <c r="J178" s="128"/>
      <c r="K178" s="140"/>
      <c r="L178" s="128"/>
      <c r="M178" s="140"/>
      <c r="N178" s="128"/>
      <c r="O178" s="140"/>
      <c r="P178" s="128"/>
      <c r="Q178" s="139" t="n">
        <v>0</v>
      </c>
      <c r="S178" s="139" t="n">
        <v>0</v>
      </c>
      <c r="U178" s="139"/>
      <c r="W178" s="139"/>
      <c r="Y178" s="139"/>
      <c r="AA178" s="139"/>
      <c r="AC178" s="139" t="n">
        <f aca="false">33.02+2590.23+2053-99-1</f>
        <v>4576.25</v>
      </c>
      <c r="AE178" s="139"/>
      <c r="AG178" s="139" t="n">
        <f aca="false">1136.91+324.46+3067.15+3202.54+2218.42</f>
        <v>9949.48</v>
      </c>
      <c r="AI178" s="139" t="n">
        <f aca="false">39960.67+10857.6</f>
        <v>50818.27</v>
      </c>
      <c r="AK178" s="139" t="n">
        <f aca="false">1589.29+228.85+136.15+263.97+110.78</f>
        <v>2329.04</v>
      </c>
      <c r="AM178" s="139"/>
      <c r="AO178" s="139" t="n">
        <v>100</v>
      </c>
      <c r="AQ178" s="139"/>
      <c r="AS178" s="140" t="n">
        <f aca="false">SUM(P178:AR178)</f>
        <v>67773.04</v>
      </c>
      <c r="AT178" s="128"/>
      <c r="AV178" s="128"/>
      <c r="AX178" s="128"/>
      <c r="AY178" s="95" t="n">
        <f aca="false">+AW178+AS178</f>
        <v>67773.04</v>
      </c>
      <c r="AZ178" s="128"/>
    </row>
    <row r="179" customFormat="false" ht="12.75" hidden="false" customHeight="false" outlineLevel="0" collapsed="false">
      <c r="A179" s="152"/>
      <c r="B179" s="153" t="s">
        <v>336</v>
      </c>
      <c r="C179" s="132"/>
      <c r="D179" s="128"/>
      <c r="E179" s="128"/>
      <c r="F179" s="128"/>
      <c r="G179" s="128"/>
      <c r="H179" s="128"/>
      <c r="I179" s="128"/>
      <c r="J179" s="128"/>
      <c r="K179" s="24" t="n">
        <v>500000</v>
      </c>
      <c r="L179" s="128"/>
      <c r="M179" s="24" t="n">
        <v>-200000</v>
      </c>
      <c r="N179" s="128"/>
      <c r="O179" s="24" t="n">
        <f aca="false">SUM(K179:N179)</f>
        <v>300000</v>
      </c>
      <c r="P179" s="128"/>
      <c r="Q179" s="129" t="n">
        <f aca="false">SUBTOTAL(9,Q164:Q178)</f>
        <v>194674.78</v>
      </c>
      <c r="S179" s="129" t="n">
        <f aca="false">SUBTOTAL(9,S164:S178)</f>
        <v>5482</v>
      </c>
      <c r="U179" s="129" t="n">
        <f aca="false">SUBTOTAL(9,U164:U178)</f>
        <v>3386.49</v>
      </c>
      <c r="V179" s="97"/>
      <c r="W179" s="129" t="n">
        <f aca="false">SUBTOTAL(9,W164:W178)</f>
        <v>4411.72</v>
      </c>
      <c r="X179" s="97"/>
      <c r="Y179" s="129" t="n">
        <f aca="false">SUBTOTAL(9,Y164:Y178)</f>
        <v>-19953.08</v>
      </c>
      <c r="Z179" s="97"/>
      <c r="AA179" s="129" t="n">
        <f aca="false">SUBTOTAL(9,AA164:AA178)</f>
        <v>3513.88</v>
      </c>
      <c r="AB179" s="97"/>
      <c r="AC179" s="129" t="n">
        <f aca="false">SUBTOTAL(9,AC164:AC178)</f>
        <v>147965.99</v>
      </c>
      <c r="AD179" s="97"/>
      <c r="AE179" s="129" t="n">
        <f aca="false">SUBTOTAL(9,AE164:AE178)</f>
        <v>41583.45</v>
      </c>
      <c r="AF179" s="129"/>
      <c r="AG179" s="129" t="n">
        <f aca="false">SUBTOTAL(9,AG164:AG178)</f>
        <v>64584.06</v>
      </c>
      <c r="AH179" s="129"/>
      <c r="AI179" s="129" t="n">
        <f aca="false">SUBTOTAL(9,AI164:AI178)</f>
        <v>77226.17</v>
      </c>
      <c r="AJ179" s="129"/>
      <c r="AK179" s="129" t="n">
        <f aca="false">SUBTOTAL(9,AK164:AK178)</f>
        <v>25706.08</v>
      </c>
      <c r="AL179" s="129"/>
      <c r="AM179" s="129" t="n">
        <f aca="false">SUBTOTAL(9,AM164:AM178)</f>
        <v>3271.03</v>
      </c>
      <c r="AN179" s="129"/>
      <c r="AO179" s="129" t="n">
        <f aca="false">SUBTOTAL(9,AO164:AO178)</f>
        <v>3462.57</v>
      </c>
      <c r="AP179" s="129"/>
      <c r="AQ179" s="129" t="n">
        <f aca="false">SUBTOTAL(9,AQ164:AQ178)</f>
        <v>0</v>
      </c>
      <c r="AR179" s="97"/>
      <c r="AS179" s="129" t="n">
        <f aca="false">SUBTOTAL(9,AS164:AS178)</f>
        <v>555315.14</v>
      </c>
      <c r="AT179" s="128"/>
      <c r="AU179" s="154" t="n">
        <f aca="false">SUBTOTAL(9,AU164:AU177)</f>
        <v>0</v>
      </c>
      <c r="AV179" s="128"/>
      <c r="AW179" s="155" t="n">
        <f aca="false">IF(+O179-AS179+AU179&gt;0,O179-AS179+AU179,0)</f>
        <v>0</v>
      </c>
      <c r="AX179" s="128"/>
      <c r="AY179" s="155" t="n">
        <f aca="false">+AW179+AS179</f>
        <v>555315.14</v>
      </c>
      <c r="AZ179" s="128"/>
      <c r="BA179" s="154" t="n">
        <f aca="false">+O179-AY179</f>
        <v>-255315.14</v>
      </c>
    </row>
    <row r="180" customFormat="false" ht="12.75" hidden="false" customHeight="false" outlineLevel="0" collapsed="false">
      <c r="A180" s="152"/>
      <c r="B180" s="153"/>
      <c r="C180" s="132"/>
      <c r="D180" s="128"/>
      <c r="E180" s="128"/>
      <c r="F180" s="128"/>
      <c r="G180" s="128"/>
      <c r="H180" s="128"/>
      <c r="I180" s="128"/>
      <c r="J180" s="128"/>
      <c r="L180" s="128"/>
      <c r="N180" s="128"/>
      <c r="P180" s="128"/>
      <c r="AT180" s="128"/>
      <c r="AV180" s="128"/>
      <c r="AX180" s="128"/>
      <c r="AZ180" s="128"/>
    </row>
    <row r="181" customFormat="false" ht="12.75" hidden="false" customHeight="false" outlineLevel="0" collapsed="false">
      <c r="A181" s="152" t="s">
        <v>337</v>
      </c>
      <c r="B181" s="153"/>
      <c r="C181" s="132" t="s">
        <v>147</v>
      </c>
      <c r="D181" s="128"/>
      <c r="E181" s="128" t="s">
        <v>338</v>
      </c>
      <c r="F181" s="128"/>
      <c r="G181" s="128" t="s">
        <v>339</v>
      </c>
      <c r="H181" s="128"/>
      <c r="I181" s="128"/>
      <c r="J181" s="128"/>
      <c r="K181" s="128"/>
      <c r="L181" s="128"/>
      <c r="M181" s="128"/>
      <c r="N181" s="128"/>
      <c r="O181" s="128"/>
      <c r="P181" s="128"/>
      <c r="AT181" s="128"/>
      <c r="AV181" s="128"/>
      <c r="AX181" s="128"/>
      <c r="AZ181" s="128"/>
    </row>
    <row r="182" customFormat="false" ht="12.75" hidden="false" customHeight="false" outlineLevel="0" collapsed="false">
      <c r="A182" s="152"/>
      <c r="B182" s="153" t="s">
        <v>340</v>
      </c>
      <c r="C182" s="132"/>
      <c r="D182" s="128"/>
      <c r="E182" s="128"/>
      <c r="F182" s="128"/>
      <c r="G182" s="128"/>
      <c r="H182" s="128"/>
      <c r="I182" s="128"/>
      <c r="J182" s="128"/>
      <c r="L182" s="128"/>
      <c r="M182" s="95" t="n">
        <v>0</v>
      </c>
      <c r="N182" s="128"/>
      <c r="P182" s="153"/>
      <c r="Q182" s="96" t="n">
        <f aca="false">1761.25+2981.47</f>
        <v>4742.72</v>
      </c>
      <c r="S182" s="96" t="n">
        <v>0</v>
      </c>
      <c r="AS182" s="95" t="n">
        <f aca="false">SUM(P182:AR182)</f>
        <v>4742.72</v>
      </c>
      <c r="AT182" s="128"/>
      <c r="AV182" s="128"/>
      <c r="AX182" s="128"/>
      <c r="AY182" s="95" t="n">
        <f aca="false">+AW182+AS182</f>
        <v>4742.72</v>
      </c>
      <c r="AZ182" s="128"/>
    </row>
    <row r="183" customFormat="false" ht="12.75" hidden="false" customHeight="false" outlineLevel="0" collapsed="false">
      <c r="A183" s="152"/>
      <c r="B183" s="153" t="s">
        <v>341</v>
      </c>
      <c r="C183" s="132"/>
      <c r="D183" s="128"/>
      <c r="E183" s="128"/>
      <c r="F183" s="128"/>
      <c r="G183" s="128"/>
      <c r="H183" s="128"/>
      <c r="I183" s="128"/>
      <c r="J183" s="128"/>
      <c r="L183" s="128"/>
      <c r="M183" s="95" t="n">
        <v>0</v>
      </c>
      <c r="N183" s="128"/>
      <c r="P183" s="153"/>
      <c r="Q183" s="96" t="n">
        <v>0</v>
      </c>
      <c r="S183" s="96" t="n">
        <v>0</v>
      </c>
      <c r="AS183" s="95" t="n">
        <f aca="false">SUM(P183:AR183)</f>
        <v>0</v>
      </c>
      <c r="AT183" s="128"/>
      <c r="AV183" s="128"/>
      <c r="AX183" s="128"/>
      <c r="AY183" s="95" t="n">
        <f aca="false">+AW183+AS183</f>
        <v>0</v>
      </c>
      <c r="AZ183" s="128"/>
    </row>
    <row r="184" customFormat="false" ht="12.75" hidden="false" customHeight="false" outlineLevel="0" collapsed="false">
      <c r="A184" s="152"/>
      <c r="B184" s="153" t="s">
        <v>342</v>
      </c>
      <c r="C184" s="132"/>
      <c r="D184" s="128"/>
      <c r="E184" s="128"/>
      <c r="F184" s="128"/>
      <c r="G184" s="128"/>
      <c r="H184" s="128"/>
      <c r="I184" s="128"/>
      <c r="J184" s="128"/>
      <c r="L184" s="128"/>
      <c r="M184" s="95" t="n">
        <v>0</v>
      </c>
      <c r="N184" s="128"/>
      <c r="O184" s="95" t="n">
        <v>190000</v>
      </c>
      <c r="P184" s="153"/>
      <c r="Q184" s="96" t="n">
        <f aca="false">9144.13+7358.79+165+2323.43+774+135+482.06+3048.05+1575.38+30905.86+6976.23+19149+1239+243</f>
        <v>83518.93</v>
      </c>
      <c r="S184" s="96" t="n">
        <v>0</v>
      </c>
      <c r="U184" s="96" t="n">
        <v>2085.5</v>
      </c>
      <c r="AC184" s="96" t="n">
        <f aca="false">26336.99+1911.01+7532.23+10052.41</f>
        <v>45832.64</v>
      </c>
      <c r="AG184" s="96" t="n">
        <f aca="false">8514.87+9018.07+5514.19+235.32</f>
        <v>23282.45</v>
      </c>
      <c r="AK184" s="96" t="n">
        <f aca="false">2031.75+23047.13</f>
        <v>25078.88</v>
      </c>
      <c r="AS184" s="95" t="n">
        <f aca="false">SUM(P184:AR184)</f>
        <v>179798.4</v>
      </c>
      <c r="AT184" s="128"/>
      <c r="AV184" s="128"/>
      <c r="AX184" s="128"/>
      <c r="AY184" s="95" t="n">
        <f aca="false">+AW184+AS184</f>
        <v>179798.4</v>
      </c>
      <c r="AZ184" s="128"/>
    </row>
    <row r="185" customFormat="false" ht="12.75" hidden="false" customHeight="false" outlineLevel="0" collapsed="false">
      <c r="A185" s="152"/>
      <c r="B185" s="153" t="s">
        <v>343</v>
      </c>
      <c r="C185" s="132"/>
      <c r="D185" s="128"/>
      <c r="E185" s="128"/>
      <c r="F185" s="128"/>
      <c r="G185" s="128"/>
      <c r="H185" s="128"/>
      <c r="I185" s="128"/>
      <c r="J185" s="128"/>
      <c r="L185" s="128"/>
      <c r="M185" s="95" t="n">
        <v>0</v>
      </c>
      <c r="N185" s="128"/>
      <c r="P185" s="153"/>
      <c r="Q185" s="96" t="n">
        <f aca="false">18189.55+22206+23066.11</f>
        <v>63461.66</v>
      </c>
      <c r="S185" s="96" t="n">
        <v>0</v>
      </c>
      <c r="U185" s="96" t="n">
        <f aca="false">2709.34+458.98</f>
        <v>3168.32</v>
      </c>
      <c r="AC185" s="96" t="n">
        <f aca="false">86683.03</f>
        <v>86683.03</v>
      </c>
      <c r="AG185" s="96" t="n">
        <v>869.46</v>
      </c>
      <c r="AK185" s="96" t="n">
        <f aca="false">16529.85+101841.14</f>
        <v>118370.99</v>
      </c>
      <c r="AM185" s="96" t="n">
        <v>5463.38</v>
      </c>
      <c r="AS185" s="95" t="n">
        <f aca="false">SUM(P185:AR185)</f>
        <v>278016.84</v>
      </c>
      <c r="AT185" s="128"/>
      <c r="AV185" s="128"/>
      <c r="AX185" s="128"/>
      <c r="AY185" s="95" t="n">
        <f aca="false">+AW185+AS185</f>
        <v>278016.84</v>
      </c>
      <c r="AZ185" s="128"/>
    </row>
    <row r="186" customFormat="false" ht="12.75" hidden="false" customHeight="false" outlineLevel="0" collapsed="false">
      <c r="A186" s="152"/>
      <c r="B186" s="153" t="s">
        <v>344</v>
      </c>
      <c r="C186" s="132"/>
      <c r="D186" s="128"/>
      <c r="E186" s="128"/>
      <c r="F186" s="128"/>
      <c r="G186" s="128"/>
      <c r="H186" s="128"/>
      <c r="I186" s="128"/>
      <c r="J186" s="128"/>
      <c r="L186" s="128"/>
      <c r="M186" s="95" t="n">
        <v>0</v>
      </c>
      <c r="N186" s="128"/>
      <c r="P186" s="153"/>
      <c r="Q186" s="96" t="n">
        <f aca="false">447.91+4678.3</f>
        <v>5126.21</v>
      </c>
      <c r="S186" s="96" t="n">
        <v>0</v>
      </c>
      <c r="AS186" s="95" t="n">
        <f aca="false">SUM(P186:AR186)</f>
        <v>5126.21</v>
      </c>
      <c r="AT186" s="128"/>
      <c r="AV186" s="128"/>
      <c r="AX186" s="128"/>
      <c r="AY186" s="95" t="n">
        <f aca="false">+AW186+AS186</f>
        <v>5126.21</v>
      </c>
      <c r="AZ186" s="128"/>
    </row>
    <row r="187" customFormat="false" ht="12.75" hidden="false" customHeight="false" outlineLevel="0" collapsed="false">
      <c r="A187" s="152"/>
      <c r="B187" s="153" t="s">
        <v>345</v>
      </c>
      <c r="C187" s="132"/>
      <c r="D187" s="128"/>
      <c r="E187" s="128"/>
      <c r="F187" s="128"/>
      <c r="G187" s="128"/>
      <c r="H187" s="128"/>
      <c r="I187" s="128"/>
      <c r="J187" s="128"/>
      <c r="L187" s="128"/>
      <c r="M187" s="95" t="n">
        <v>0</v>
      </c>
      <c r="N187" s="128"/>
      <c r="O187" s="95" t="n">
        <v>45000</v>
      </c>
      <c r="P187" s="153"/>
      <c r="Q187" s="96" t="n">
        <f aca="false">80.16+4421.03+2229.15+696.5+3738</f>
        <v>11164.84</v>
      </c>
      <c r="S187" s="96" t="n">
        <v>0</v>
      </c>
      <c r="AS187" s="95" t="n">
        <f aca="false">SUM(P187:AR187)</f>
        <v>11164.84</v>
      </c>
      <c r="AT187" s="128"/>
      <c r="AV187" s="128"/>
      <c r="AX187" s="128"/>
      <c r="AY187" s="95" t="n">
        <f aca="false">+AW187+AS187</f>
        <v>11164.84</v>
      </c>
      <c r="AZ187" s="128"/>
    </row>
    <row r="188" customFormat="false" ht="12.75" hidden="false" customHeight="false" outlineLevel="0" collapsed="false">
      <c r="A188" s="152"/>
      <c r="B188" s="153" t="s">
        <v>346</v>
      </c>
      <c r="C188" s="132"/>
      <c r="D188" s="128"/>
      <c r="E188" s="128"/>
      <c r="F188" s="128"/>
      <c r="G188" s="128"/>
      <c r="H188" s="128"/>
      <c r="I188" s="128"/>
      <c r="J188" s="128"/>
      <c r="L188" s="128"/>
      <c r="N188" s="128"/>
      <c r="P188" s="153"/>
      <c r="Q188" s="96" t="n">
        <v>0</v>
      </c>
      <c r="S188" s="96" t="n">
        <v>0</v>
      </c>
      <c r="W188" s="96" t="n">
        <v>2145</v>
      </c>
      <c r="AA188" s="96" t="n">
        <f aca="false">3490.5-1</f>
        <v>3489.5</v>
      </c>
      <c r="AC188" s="96" t="n">
        <f aca="false">3387.1</f>
        <v>3387.1</v>
      </c>
      <c r="AS188" s="95" t="n">
        <f aca="false">SUM(P188:AR188)</f>
        <v>9021.6</v>
      </c>
      <c r="AT188" s="128"/>
      <c r="AV188" s="128"/>
      <c r="AX188" s="128"/>
      <c r="AY188" s="95" t="n">
        <f aca="false">+AW188+AS188</f>
        <v>9021.6</v>
      </c>
      <c r="AZ188" s="128"/>
    </row>
    <row r="189" customFormat="false" ht="12.75" hidden="false" customHeight="false" outlineLevel="0" collapsed="false">
      <c r="A189" s="152"/>
      <c r="B189" s="153" t="s">
        <v>347</v>
      </c>
      <c r="C189" s="132"/>
      <c r="D189" s="128"/>
      <c r="E189" s="128"/>
      <c r="F189" s="128"/>
      <c r="G189" s="128"/>
      <c r="H189" s="128"/>
      <c r="I189" s="128"/>
      <c r="J189" s="128"/>
      <c r="L189" s="128"/>
      <c r="N189" s="128"/>
      <c r="P189" s="153"/>
      <c r="Q189" s="96" t="n">
        <v>0</v>
      </c>
      <c r="S189" s="96" t="n">
        <v>0</v>
      </c>
      <c r="AC189" s="96" t="n">
        <v>2750</v>
      </c>
      <c r="AS189" s="95" t="n">
        <f aca="false">SUM(P189:AR189)</f>
        <v>2750</v>
      </c>
      <c r="AT189" s="128"/>
      <c r="AV189" s="128"/>
      <c r="AX189" s="128"/>
      <c r="AY189" s="95" t="n">
        <f aca="false">+AW189+AS189</f>
        <v>2750</v>
      </c>
      <c r="AZ189" s="128"/>
    </row>
    <row r="190" customFormat="false" ht="12.75" hidden="false" customHeight="false" outlineLevel="0" collapsed="false">
      <c r="A190" s="152"/>
      <c r="B190" s="153" t="s">
        <v>348</v>
      </c>
      <c r="C190" s="132"/>
      <c r="D190" s="128"/>
      <c r="E190" s="128"/>
      <c r="F190" s="128"/>
      <c r="G190" s="128"/>
      <c r="H190" s="128"/>
      <c r="I190" s="128"/>
      <c r="J190" s="128"/>
      <c r="L190" s="153"/>
      <c r="M190" s="95" t="n">
        <v>0</v>
      </c>
      <c r="N190" s="153"/>
      <c r="P190" s="153"/>
      <c r="Q190" s="96" t="n">
        <v>13500.54</v>
      </c>
      <c r="S190" s="96" t="n">
        <v>0</v>
      </c>
      <c r="AK190" s="96" t="n">
        <v>316.3</v>
      </c>
      <c r="AS190" s="95" t="n">
        <f aca="false">SUM(P190:AR190)</f>
        <v>13816.84</v>
      </c>
      <c r="AT190" s="128"/>
      <c r="AV190" s="128"/>
      <c r="AX190" s="128"/>
      <c r="AY190" s="95" t="n">
        <f aca="false">+AW190+AS190</f>
        <v>13816.84</v>
      </c>
      <c r="AZ190" s="128"/>
    </row>
    <row r="191" customFormat="false" ht="12.75" hidden="false" customHeight="false" outlineLevel="0" collapsed="false">
      <c r="A191" s="152"/>
      <c r="B191" s="153" t="s">
        <v>349</v>
      </c>
      <c r="C191" s="132"/>
      <c r="D191" s="128"/>
      <c r="E191" s="128"/>
      <c r="F191" s="128"/>
      <c r="G191" s="128"/>
      <c r="H191" s="128"/>
      <c r="I191" s="128"/>
      <c r="J191" s="128"/>
      <c r="K191" s="140"/>
      <c r="L191" s="128"/>
      <c r="M191" s="140"/>
      <c r="N191" s="128"/>
      <c r="O191" s="140"/>
      <c r="P191" s="153"/>
      <c r="Q191" s="139"/>
      <c r="S191" s="139"/>
      <c r="U191" s="139"/>
      <c r="W191" s="139" t="n">
        <v>126458.5</v>
      </c>
      <c r="Y191" s="139"/>
      <c r="AA191" s="139"/>
      <c r="AC191" s="139" t="n">
        <f aca="false">70.62+7285.45+119286.95</f>
        <v>126643.02</v>
      </c>
      <c r="AE191" s="139"/>
      <c r="AG191" s="139" t="n">
        <f aca="false">3681.01+9-1</f>
        <v>3689.01</v>
      </c>
      <c r="AI191" s="139"/>
      <c r="AK191" s="139" t="n">
        <f aca="false">2747.72+1-1</f>
        <v>2747.72</v>
      </c>
      <c r="AM191" s="139" t="n">
        <f aca="false">299.22+2141.83</f>
        <v>2441.05</v>
      </c>
      <c r="AO191" s="139"/>
      <c r="AQ191" s="139"/>
      <c r="AS191" s="140" t="n">
        <f aca="false">SUM(P191:AR191)</f>
        <v>261979.3</v>
      </c>
      <c r="AT191" s="128"/>
      <c r="AV191" s="128"/>
      <c r="AX191" s="128"/>
      <c r="AY191" s="95" t="n">
        <f aca="false">+AW191+AS191</f>
        <v>261979.3</v>
      </c>
      <c r="AZ191" s="128"/>
    </row>
    <row r="192" customFormat="false" ht="12.75" hidden="false" customHeight="false" outlineLevel="0" collapsed="false">
      <c r="A192" s="148"/>
      <c r="B192" s="128" t="s">
        <v>350</v>
      </c>
      <c r="C192" s="128"/>
      <c r="D192" s="128"/>
      <c r="E192" s="128"/>
      <c r="F192" s="128"/>
      <c r="G192" s="128"/>
      <c r="H192" s="128"/>
      <c r="I192" s="128"/>
      <c r="J192" s="128"/>
      <c r="K192" s="24" t="n">
        <v>850000</v>
      </c>
      <c r="L192" s="128"/>
      <c r="M192" s="24" t="n">
        <v>-350000</v>
      </c>
      <c r="N192" s="128"/>
      <c r="O192" s="24" t="n">
        <f aca="false">SUM(K192:N192)</f>
        <v>500000</v>
      </c>
      <c r="P192" s="153"/>
      <c r="Q192" s="129" t="n">
        <f aca="false">SUBTOTAL(9,Q182:Q191)</f>
        <v>181514.9</v>
      </c>
      <c r="R192" s="129"/>
      <c r="S192" s="129" t="n">
        <f aca="false">SUBTOTAL(9,S182:S191)</f>
        <v>0</v>
      </c>
      <c r="T192" s="129"/>
      <c r="U192" s="129" t="n">
        <f aca="false">SUBTOTAL(9,U182:U191)</f>
        <v>5253.82</v>
      </c>
      <c r="V192" s="129"/>
      <c r="W192" s="129" t="n">
        <f aca="false">SUBTOTAL(9,W182:W191)</f>
        <v>128603.5</v>
      </c>
      <c r="X192" s="129"/>
      <c r="Y192" s="129" t="n">
        <f aca="false">SUBTOTAL(9,Y182:Y191)</f>
        <v>0</v>
      </c>
      <c r="Z192" s="129"/>
      <c r="AA192" s="129" t="n">
        <f aca="false">SUBTOTAL(9,AA182:AA191)</f>
        <v>3489.5</v>
      </c>
      <c r="AB192" s="129"/>
      <c r="AC192" s="129" t="n">
        <f aca="false">SUBTOTAL(9,AC182:AC191)</f>
        <v>265295.79</v>
      </c>
      <c r="AD192" s="129"/>
      <c r="AE192" s="129" t="n">
        <f aca="false">SUBTOTAL(9,AE182:AE191)</f>
        <v>0</v>
      </c>
      <c r="AF192" s="129"/>
      <c r="AG192" s="129" t="n">
        <f aca="false">SUBTOTAL(9,AG182:AG191)</f>
        <v>27840.92</v>
      </c>
      <c r="AH192" s="129"/>
      <c r="AI192" s="129" t="n">
        <f aca="false">SUBTOTAL(9,AI182:AI191)</f>
        <v>0</v>
      </c>
      <c r="AJ192" s="129"/>
      <c r="AK192" s="129" t="n">
        <f aca="false">SUBTOTAL(9,AK182:AK191)</f>
        <v>146513.89</v>
      </c>
      <c r="AL192" s="129"/>
      <c r="AM192" s="129" t="n">
        <f aca="false">SUBTOTAL(9,AM182:AM191)</f>
        <v>7904.43</v>
      </c>
      <c r="AN192" s="129"/>
      <c r="AO192" s="129" t="n">
        <f aca="false">SUBTOTAL(9,AO182:AO191)</f>
        <v>0</v>
      </c>
      <c r="AP192" s="129"/>
      <c r="AQ192" s="129" t="n">
        <f aca="false">SUBTOTAL(9,AQ182:AQ191)</f>
        <v>0</v>
      </c>
      <c r="AR192" s="129"/>
      <c r="AS192" s="129" t="n">
        <f aca="false">SUBTOTAL(9,AS182:AS191)</f>
        <v>766416.75</v>
      </c>
      <c r="AT192" s="128"/>
      <c r="AU192" s="154" t="n">
        <f aca="false">SUBTOTAL(9,AU182:AU190)</f>
        <v>0</v>
      </c>
      <c r="AV192" s="128"/>
      <c r="AW192" s="155" t="n">
        <f aca="false">IF(+O192-AS192+AU192&gt;0,O192-AS192+AU192,0)</f>
        <v>0</v>
      </c>
      <c r="AX192" s="128"/>
      <c r="AY192" s="155" t="n">
        <f aca="false">+AW192+AS192</f>
        <v>766416.75</v>
      </c>
      <c r="AZ192" s="128"/>
      <c r="BA192" s="154" t="n">
        <f aca="false">+O192-AY192</f>
        <v>-266416.75</v>
      </c>
    </row>
    <row r="193" customFormat="false" ht="12.75" hidden="false" customHeight="false" outlineLevel="0" collapsed="false">
      <c r="A193" s="152"/>
      <c r="B193" s="153"/>
      <c r="C193" s="132"/>
      <c r="D193" s="128"/>
      <c r="E193" s="128"/>
      <c r="F193" s="128"/>
      <c r="G193" s="128"/>
      <c r="H193" s="128"/>
      <c r="I193" s="128"/>
      <c r="J193" s="128"/>
      <c r="L193" s="128"/>
      <c r="N193" s="128"/>
      <c r="P193" s="128"/>
      <c r="AT193" s="128"/>
      <c r="AV193" s="128"/>
      <c r="AX193" s="128"/>
      <c r="AZ193" s="128"/>
    </row>
    <row r="194" customFormat="false" ht="12.75" hidden="false" customHeight="false" outlineLevel="0" collapsed="false">
      <c r="A194" s="152" t="s">
        <v>351</v>
      </c>
      <c r="B194" s="153"/>
      <c r="C194" s="132" t="s">
        <v>147</v>
      </c>
      <c r="D194" s="128"/>
      <c r="E194" s="128"/>
      <c r="F194" s="128"/>
      <c r="G194" s="128" t="s">
        <v>352</v>
      </c>
      <c r="H194" s="128"/>
      <c r="I194" s="128"/>
      <c r="J194" s="128"/>
      <c r="K194" s="24" t="n">
        <v>0</v>
      </c>
      <c r="L194" s="128"/>
      <c r="M194" s="24" t="n">
        <v>1000000</v>
      </c>
      <c r="N194" s="128"/>
      <c r="O194" s="24" t="n">
        <f aca="false">SUM(K194:N194)</f>
        <v>1000000</v>
      </c>
      <c r="P194" s="128"/>
      <c r="Q194" s="129" t="n">
        <v>0</v>
      </c>
      <c r="S194" s="129" t="n">
        <v>0</v>
      </c>
      <c r="U194" s="129" t="n">
        <v>0</v>
      </c>
      <c r="W194" s="129"/>
      <c r="Y194" s="129"/>
      <c r="AA194" s="129"/>
      <c r="AC194" s="129" t="n">
        <v>121527.11</v>
      </c>
      <c r="AE194" s="129" t="n">
        <v>58914</v>
      </c>
      <c r="AF194" s="129"/>
      <c r="AG194" s="129" t="n">
        <v>47610</v>
      </c>
      <c r="AH194" s="129"/>
      <c r="AI194" s="129"/>
      <c r="AJ194" s="129"/>
      <c r="AK194" s="129"/>
      <c r="AL194" s="129"/>
      <c r="AM194" s="129"/>
      <c r="AN194" s="129"/>
      <c r="AO194" s="129"/>
      <c r="AP194" s="129"/>
      <c r="AQ194" s="129"/>
      <c r="AR194" s="129"/>
      <c r="AS194" s="95" t="n">
        <f aca="false">SUM(P194:AR194)</f>
        <v>228051.11</v>
      </c>
      <c r="AT194" s="128"/>
      <c r="AU194" s="129" t="n">
        <f aca="false">-650000-121949</f>
        <v>-771949</v>
      </c>
      <c r="AV194" s="128"/>
      <c r="AW194" s="95" t="n">
        <f aca="false">IF(+O194-AS194+AU194&gt;0,O194-AS194+AU194,0)</f>
        <v>0</v>
      </c>
      <c r="AX194" s="128"/>
      <c r="AY194" s="95" t="n">
        <f aca="false">+AW194+AS194</f>
        <v>228051.11</v>
      </c>
      <c r="AZ194" s="128"/>
      <c r="BA194" s="95" t="n">
        <f aca="false">+O194-AY194</f>
        <v>771948.89</v>
      </c>
    </row>
    <row r="195" customFormat="false" ht="12.75" hidden="false" customHeight="false" outlineLevel="0" collapsed="false">
      <c r="A195" s="152"/>
      <c r="B195" s="153"/>
      <c r="C195" s="132"/>
      <c r="D195" s="128"/>
      <c r="E195" s="128"/>
      <c r="F195" s="128"/>
      <c r="G195" s="128"/>
      <c r="H195" s="128"/>
      <c r="I195" s="128"/>
      <c r="J195" s="128"/>
      <c r="L195" s="128"/>
      <c r="N195" s="128"/>
      <c r="P195" s="128"/>
      <c r="AT195" s="128"/>
      <c r="AV195" s="128"/>
      <c r="AX195" s="128"/>
      <c r="AZ195" s="128"/>
    </row>
    <row r="196" customFormat="false" ht="12.75" hidden="false" customHeight="false" outlineLevel="0" collapsed="false">
      <c r="A196" s="145"/>
      <c r="B196" s="183" t="s">
        <v>353</v>
      </c>
      <c r="C196" s="184"/>
      <c r="D196" s="128"/>
      <c r="E196" s="128"/>
      <c r="F196" s="128"/>
      <c r="G196" s="128"/>
      <c r="H196" s="128"/>
      <c r="I196" s="128"/>
      <c r="J196" s="128"/>
      <c r="K196" s="24" t="n">
        <f aca="false">K159+K161+K179+K192+K194</f>
        <v>2850000</v>
      </c>
      <c r="L196" s="128"/>
      <c r="M196" s="24" t="n">
        <f aca="false">M159+M161+M179+M192+M194</f>
        <v>17487</v>
      </c>
      <c r="N196" s="128"/>
      <c r="O196" s="24" t="n">
        <f aca="false">O159+O161+O179+O192+O194</f>
        <v>2867487</v>
      </c>
      <c r="P196" s="128"/>
      <c r="Q196" s="129" t="n">
        <f aca="false">Q159+Q161+Q179+Q192+Q194</f>
        <v>443676.68</v>
      </c>
      <c r="S196" s="129" t="n">
        <f aca="false">S159+S161+S179+S192+S194</f>
        <v>76317.9433333333</v>
      </c>
      <c r="U196" s="129" t="n">
        <f aca="false">U159+U161+U179+U192+U194</f>
        <v>769677.86</v>
      </c>
      <c r="W196" s="129" t="n">
        <f aca="false">W159+W161+W179+W192+W194</f>
        <v>133015.22</v>
      </c>
      <c r="Y196" s="129" t="n">
        <f aca="false">Y159+Y161+Y179+Y192+Y194</f>
        <v>-19953.08</v>
      </c>
      <c r="AA196" s="129" t="n">
        <f aca="false">AA159+AA161+AA179+AA192+AA194</f>
        <v>7003.38</v>
      </c>
      <c r="AC196" s="129" t="n">
        <f aca="false">AC159+AC161+AC179+AC192+AC194</f>
        <v>618122.23</v>
      </c>
      <c r="AE196" s="129" t="n">
        <f aca="false">AE159+AE161+AE179+AE192+AE194</f>
        <v>100497.45</v>
      </c>
      <c r="AF196" s="129"/>
      <c r="AG196" s="129" t="n">
        <f aca="false">AG159+AG161+AG179+AG192+AG194</f>
        <v>140034.98</v>
      </c>
      <c r="AH196" s="129"/>
      <c r="AI196" s="129" t="n">
        <f aca="false">AI159+AI161+AI179+AI192+AI194</f>
        <v>77226.17</v>
      </c>
      <c r="AJ196" s="129"/>
      <c r="AK196" s="129" t="n">
        <f aca="false">AK159+AK161+AK179+AK192+AK194</f>
        <v>172219.97</v>
      </c>
      <c r="AL196" s="129"/>
      <c r="AM196" s="129" t="n">
        <f aca="false">AM159+AM161+AM179+AM192+AM194</f>
        <v>11175.46</v>
      </c>
      <c r="AN196" s="129"/>
      <c r="AO196" s="129" t="n">
        <f aca="false">AO159+AO161+AO179+AO192+AO194</f>
        <v>86795.9</v>
      </c>
      <c r="AP196" s="129"/>
      <c r="AQ196" s="129" t="n">
        <f aca="false">AQ159+AQ161+AQ179+AQ192+AQ194</f>
        <v>107679.56</v>
      </c>
      <c r="AR196" s="129"/>
      <c r="AS196" s="24" t="n">
        <f aca="false">AS159+AS161+AS179+AS192+AS194</f>
        <v>2723489.72333333</v>
      </c>
      <c r="AT196" s="128"/>
      <c r="AU196" s="129" t="n">
        <f aca="false">AU159+AU161+AU179+AU192+AU194</f>
        <v>-628887</v>
      </c>
      <c r="AV196" s="128"/>
      <c r="AW196" s="24" t="n">
        <f aca="false">AW159+AW161+AW179+AW192+AW194</f>
        <v>0</v>
      </c>
      <c r="AX196" s="128"/>
      <c r="AY196" s="24" t="n">
        <f aca="false">+AW196+AS196</f>
        <v>2723489.72333333</v>
      </c>
      <c r="AZ196" s="128"/>
      <c r="BA196" s="129" t="n">
        <f aca="false">+O196-AY196</f>
        <v>143997.276666667</v>
      </c>
    </row>
    <row r="197" customFormat="false" ht="13.5" hidden="false" customHeight="false" outlineLevel="0" collapsed="false">
      <c r="A197" s="185" t="s">
        <v>354</v>
      </c>
      <c r="B197" s="186"/>
      <c r="C197" s="165"/>
      <c r="D197" s="128"/>
      <c r="E197" s="128"/>
      <c r="F197" s="128"/>
      <c r="G197" s="128"/>
      <c r="H197" s="128"/>
      <c r="I197" s="128"/>
      <c r="J197" s="128"/>
      <c r="K197" s="149" t="n">
        <f aca="false">K196+K152</f>
        <v>123921212.472</v>
      </c>
      <c r="L197" s="128"/>
      <c r="M197" s="149" t="n">
        <f aca="false">M196+M152</f>
        <v>-179227</v>
      </c>
      <c r="N197" s="128"/>
      <c r="O197" s="149" t="n">
        <f aca="false">O196+O152</f>
        <v>123741985.472</v>
      </c>
      <c r="P197" s="128"/>
      <c r="Q197" s="150" t="n">
        <f aca="false">Q196+Q152</f>
        <v>61516764.23</v>
      </c>
      <c r="S197" s="150" t="n">
        <f aca="false">S196+S152</f>
        <v>5269296.29333333</v>
      </c>
      <c r="U197" s="150" t="n">
        <f aca="false">U196+U152</f>
        <v>7536552.38</v>
      </c>
      <c r="W197" s="150" t="n">
        <f aca="false">W196+W152</f>
        <v>6111434.66</v>
      </c>
      <c r="Y197" s="150" t="n">
        <f aca="false">Y196+Y152</f>
        <v>7809255.54</v>
      </c>
      <c r="AA197" s="150" t="n">
        <f aca="false">AA196+AA152</f>
        <v>4255617.59</v>
      </c>
      <c r="AC197" s="150" t="n">
        <f aca="false">AC196+AC152</f>
        <v>6966019.55</v>
      </c>
      <c r="AE197" s="150" t="n">
        <f aca="false">AE196+AE152</f>
        <v>7593243.8</v>
      </c>
      <c r="AF197" s="129"/>
      <c r="AG197" s="150" t="n">
        <f aca="false">AG196+AG152</f>
        <v>6489464.99</v>
      </c>
      <c r="AH197" s="129"/>
      <c r="AI197" s="150" t="n">
        <f aca="false">AI196+AI152</f>
        <v>7724026.65</v>
      </c>
      <c r="AJ197" s="129"/>
      <c r="AK197" s="150" t="n">
        <f aca="false">AK196+AK152</f>
        <v>1383720.88</v>
      </c>
      <c r="AL197" s="129"/>
      <c r="AM197" s="150" t="n">
        <f aca="false">AM196+AM152</f>
        <v>1930064.02</v>
      </c>
      <c r="AN197" s="129"/>
      <c r="AO197" s="150" t="n">
        <f aca="false">AO196+AO152</f>
        <v>551014.26</v>
      </c>
      <c r="AP197" s="129"/>
      <c r="AQ197" s="150" t="n">
        <f aca="false">AQ196+AQ152</f>
        <v>130326.69</v>
      </c>
      <c r="AR197" s="129"/>
      <c r="AS197" s="149" t="n">
        <f aca="false">AS196+AS152</f>
        <v>125266801.533333</v>
      </c>
      <c r="AT197" s="128"/>
      <c r="AU197" s="150" t="n">
        <f aca="false">AU196+AU152</f>
        <v>-201448.67</v>
      </c>
      <c r="AV197" s="128"/>
      <c r="AW197" s="149" t="n">
        <f aca="false">AW196+AW152+AW33</f>
        <v>2972876.162</v>
      </c>
      <c r="AX197" s="128"/>
      <c r="AY197" s="149" t="n">
        <f aca="false">+AW197+AS197-1</f>
        <v>128239676.695333</v>
      </c>
      <c r="AZ197" s="128"/>
      <c r="BA197" s="150" t="n">
        <f aca="false">+O197-AY197</f>
        <v>-4497691.22333331</v>
      </c>
      <c r="BC197" s="16"/>
    </row>
    <row r="198" customFormat="false" ht="5.25" hidden="false" customHeight="true" outlineLevel="0" collapsed="false">
      <c r="A198" s="164"/>
      <c r="B198" s="167"/>
      <c r="C198" s="167"/>
      <c r="D198" s="128"/>
      <c r="E198" s="128"/>
      <c r="F198" s="128"/>
      <c r="G198" s="128"/>
      <c r="H198" s="128"/>
      <c r="I198" s="128"/>
      <c r="J198" s="128"/>
      <c r="L198" s="128"/>
      <c r="N198" s="128"/>
      <c r="P198" s="128"/>
      <c r="AT198" s="128"/>
      <c r="AV198" s="128"/>
      <c r="AX198" s="128"/>
      <c r="AZ198" s="128"/>
      <c r="BA198" s="96"/>
    </row>
    <row r="199" customFormat="false" ht="13.5" hidden="false" customHeight="false" outlineLevel="0" collapsed="false">
      <c r="A199" s="185" t="s">
        <v>355</v>
      </c>
      <c r="B199" s="167"/>
      <c r="C199" s="167"/>
      <c r="D199" s="128"/>
      <c r="E199" s="128"/>
      <c r="F199" s="128"/>
      <c r="G199" s="128"/>
      <c r="H199" s="128"/>
      <c r="I199" s="128"/>
      <c r="J199" s="128"/>
      <c r="K199" s="187" t="n">
        <f aca="false">K197/460</f>
        <v>269393.940156522</v>
      </c>
      <c r="L199" s="128"/>
      <c r="N199" s="128"/>
      <c r="O199" s="187" t="n">
        <f aca="false">O197/460</f>
        <v>269004.316243478</v>
      </c>
      <c r="P199" s="128"/>
      <c r="AT199" s="128"/>
      <c r="AV199" s="128"/>
      <c r="AX199" s="128"/>
      <c r="AY199" s="187" t="n">
        <f aca="false">AY197/460</f>
        <v>278781.90585942</v>
      </c>
      <c r="AZ199" s="128"/>
    </row>
    <row r="200" customFormat="false" ht="12.75" hidden="false" customHeight="false" outlineLevel="0" collapsed="false">
      <c r="A200" s="188"/>
      <c r="B200" s="188"/>
      <c r="C200" s="188"/>
      <c r="D200" s="188"/>
      <c r="E200" s="188"/>
      <c r="F200" s="188"/>
      <c r="G200" s="188"/>
      <c r="H200" s="188"/>
      <c r="I200" s="188"/>
      <c r="J200" s="188"/>
      <c r="K200" s="188"/>
      <c r="L200" s="188"/>
      <c r="M200" s="188"/>
      <c r="N200" s="188"/>
      <c r="O200" s="188"/>
      <c r="P200" s="188"/>
      <c r="Q200" s="188"/>
      <c r="R200" s="189"/>
      <c r="S200" s="188"/>
      <c r="T200" s="189"/>
      <c r="U200" s="188"/>
      <c r="V200" s="188"/>
      <c r="W200" s="188"/>
      <c r="X200" s="188"/>
      <c r="Y200" s="188"/>
      <c r="Z200" s="188"/>
      <c r="AA200" s="188"/>
      <c r="AB200" s="188"/>
      <c r="AC200" s="190"/>
      <c r="AD200" s="188"/>
      <c r="AE200" s="190"/>
      <c r="AF200" s="188"/>
      <c r="AG200" s="190"/>
      <c r="AH200" s="188"/>
      <c r="AI200" s="188"/>
      <c r="AJ200" s="188"/>
      <c r="AK200" s="188"/>
      <c r="AL200" s="188"/>
      <c r="AM200" s="188"/>
      <c r="AN200" s="188"/>
      <c r="AO200" s="188"/>
      <c r="AP200" s="188"/>
      <c r="AQ200" s="188"/>
      <c r="AR200" s="188"/>
      <c r="AS200" s="188"/>
      <c r="AT200" s="188"/>
      <c r="AU200" s="188"/>
      <c r="AV200" s="188"/>
      <c r="AW200" s="188"/>
      <c r="AX200" s="188"/>
      <c r="AY200" s="188"/>
      <c r="AZ200" s="188"/>
      <c r="BB200" s="0"/>
      <c r="BC200" s="0"/>
      <c r="BD200" s="0"/>
      <c r="BE200" s="0"/>
      <c r="BF200" s="0"/>
      <c r="BG200" s="0"/>
      <c r="BH200" s="0"/>
      <c r="BI200" s="0"/>
      <c r="BJ200" s="0"/>
      <c r="BK200" s="0"/>
      <c r="BL200" s="0"/>
      <c r="BM200" s="0"/>
      <c r="BN200" s="0"/>
      <c r="BO200" s="0"/>
      <c r="BP200" s="0"/>
      <c r="BQ200" s="0"/>
      <c r="BR200" s="0"/>
      <c r="BS200" s="0"/>
      <c r="BT200" s="0"/>
      <c r="BU200" s="0"/>
      <c r="BV200" s="0"/>
      <c r="BW200" s="0"/>
      <c r="BX200" s="0"/>
      <c r="BY200" s="0"/>
      <c r="BZ200" s="0"/>
      <c r="CA200" s="0"/>
      <c r="CB200" s="0"/>
      <c r="CC200" s="0"/>
      <c r="CD200" s="0"/>
      <c r="CE200" s="0"/>
      <c r="CF200" s="0"/>
      <c r="CG200" s="0"/>
      <c r="CH200" s="0"/>
      <c r="CI200" s="0"/>
      <c r="CJ200" s="0"/>
      <c r="CK200" s="0"/>
      <c r="CL200" s="0"/>
      <c r="CM200" s="0"/>
      <c r="CN200" s="0"/>
      <c r="CO200" s="0"/>
      <c r="CP200" s="0"/>
      <c r="CQ200" s="0"/>
      <c r="CR200" s="0"/>
      <c r="CS200" s="0"/>
      <c r="CT200" s="0"/>
      <c r="CU200" s="0"/>
      <c r="CV200" s="0"/>
      <c r="CW200" s="0"/>
      <c r="CX200" s="0"/>
      <c r="CY200" s="0"/>
      <c r="CZ200" s="0"/>
      <c r="DA200" s="0"/>
      <c r="DB200" s="0"/>
      <c r="DC200" s="0"/>
      <c r="DD200" s="0"/>
      <c r="DE200" s="0"/>
      <c r="DF200" s="0"/>
      <c r="DG200" s="0"/>
      <c r="DH200" s="0"/>
      <c r="DI200" s="0"/>
      <c r="DJ200" s="0"/>
      <c r="DK200" s="0"/>
      <c r="DL200" s="0"/>
      <c r="DM200" s="0"/>
      <c r="DN200" s="0"/>
      <c r="DO200" s="0"/>
      <c r="DP200" s="0"/>
      <c r="DQ200" s="0"/>
      <c r="DR200" s="0"/>
      <c r="DS200" s="0"/>
      <c r="DT200" s="0"/>
      <c r="DU200" s="0"/>
      <c r="DV200" s="0"/>
      <c r="DW200" s="0"/>
      <c r="DX200" s="0"/>
      <c r="DY200" s="0"/>
      <c r="DZ200" s="0"/>
      <c r="EA200" s="0"/>
      <c r="EB200" s="0"/>
      <c r="EC200" s="0"/>
      <c r="ED200" s="0"/>
      <c r="EE200" s="0"/>
      <c r="EF200" s="0"/>
      <c r="EG200" s="0"/>
      <c r="EH200" s="0"/>
      <c r="EI200" s="0"/>
      <c r="EJ200" s="0"/>
      <c r="EK200" s="0"/>
      <c r="EL200" s="0"/>
      <c r="EM200" s="0"/>
      <c r="EN200" s="0"/>
      <c r="EO200" s="0"/>
      <c r="EP200" s="0"/>
      <c r="EQ200" s="0"/>
      <c r="ER200" s="0"/>
      <c r="ES200" s="0"/>
      <c r="ET200" s="0"/>
      <c r="EU200" s="0"/>
      <c r="EV200" s="0"/>
      <c r="EW200" s="0"/>
      <c r="EX200" s="0"/>
      <c r="EY200" s="0"/>
      <c r="EZ200" s="0"/>
      <c r="FA200" s="0"/>
      <c r="FB200" s="0"/>
      <c r="FC200" s="0"/>
      <c r="FD200" s="0"/>
      <c r="FE200" s="0"/>
      <c r="FF200" s="0"/>
      <c r="FG200" s="0"/>
      <c r="FH200" s="0"/>
      <c r="FI200" s="0"/>
      <c r="FJ200" s="0"/>
      <c r="FK200" s="0"/>
      <c r="FL200" s="0"/>
      <c r="FM200" s="0"/>
      <c r="FN200" s="0"/>
      <c r="FO200" s="0"/>
      <c r="FP200" s="0"/>
      <c r="FQ200" s="0"/>
      <c r="FR200" s="0"/>
      <c r="FS200" s="0"/>
      <c r="FT200" s="0"/>
      <c r="FU200" s="0"/>
      <c r="FV200" s="0"/>
      <c r="FW200" s="0"/>
      <c r="FX200" s="0"/>
      <c r="FY200" s="0"/>
      <c r="FZ200" s="0"/>
      <c r="GA200" s="0"/>
      <c r="GB200" s="0"/>
      <c r="GC200" s="0"/>
      <c r="GD200" s="0"/>
      <c r="GE200" s="0"/>
      <c r="GF200" s="0"/>
      <c r="GG200" s="0"/>
      <c r="GH200" s="0"/>
      <c r="GI200" s="0"/>
      <c r="GJ200" s="0"/>
      <c r="GK200" s="0"/>
      <c r="GL200" s="0"/>
      <c r="GM200" s="0"/>
      <c r="GN200" s="0"/>
      <c r="GO200" s="0"/>
      <c r="GP200" s="0"/>
      <c r="GQ200" s="0"/>
      <c r="GR200" s="0"/>
      <c r="GS200" s="0"/>
      <c r="GT200" s="0"/>
      <c r="GU200" s="0"/>
      <c r="GV200" s="0"/>
      <c r="GW200" s="0"/>
      <c r="GX200" s="0"/>
      <c r="GY200" s="0"/>
      <c r="GZ200" s="0"/>
      <c r="HA200" s="0"/>
      <c r="HB200" s="0"/>
      <c r="HC200" s="0"/>
      <c r="HD200" s="0"/>
      <c r="HE200" s="0"/>
      <c r="HF200" s="0"/>
      <c r="HG200" s="0"/>
      <c r="HH200" s="0"/>
      <c r="HI200" s="0"/>
      <c r="HJ200" s="0"/>
      <c r="HK200" s="0"/>
      <c r="HL200" s="0"/>
      <c r="HM200" s="0"/>
      <c r="HN200" s="0"/>
      <c r="HO200" s="0"/>
      <c r="HP200" s="0"/>
      <c r="HQ200" s="0"/>
      <c r="HR200" s="0"/>
      <c r="HS200" s="0"/>
      <c r="HT200" s="0"/>
      <c r="HU200" s="0"/>
      <c r="HV200" s="0"/>
      <c r="HW200" s="0"/>
      <c r="HX200" s="0"/>
      <c r="HY200" s="0"/>
      <c r="HZ200" s="0"/>
      <c r="IA200" s="0"/>
      <c r="IB200" s="0"/>
      <c r="IC200" s="0"/>
      <c r="ID200" s="0"/>
      <c r="IE200" s="0"/>
      <c r="IF200" s="0"/>
      <c r="IG200" s="0"/>
      <c r="IH200" s="0"/>
      <c r="II200" s="0"/>
      <c r="IJ200" s="0"/>
      <c r="IK200" s="0"/>
      <c r="IL200" s="0"/>
      <c r="IM200" s="0"/>
      <c r="IN200" s="0"/>
      <c r="IO200" s="0"/>
      <c r="IP200" s="0"/>
      <c r="IQ200" s="0"/>
      <c r="IR200" s="0"/>
      <c r="IS200" s="0"/>
      <c r="IT200" s="0"/>
      <c r="IU200" s="0"/>
      <c r="IV200" s="0"/>
      <c r="IW200" s="0"/>
    </row>
    <row r="201" customFormat="false" ht="12.75" hidden="false" customHeight="false" outlineLevel="0" collapsed="false">
      <c r="A201" s="158"/>
      <c r="B201" s="188"/>
      <c r="C201" s="188"/>
      <c r="D201" s="188"/>
      <c r="E201" s="188"/>
      <c r="F201" s="188"/>
      <c r="G201" s="188"/>
      <c r="H201" s="188"/>
      <c r="I201" s="188"/>
      <c r="J201" s="188"/>
      <c r="K201" s="188"/>
      <c r="L201" s="188"/>
      <c r="M201" s="188"/>
      <c r="N201" s="188"/>
      <c r="O201" s="188"/>
      <c r="P201" s="188"/>
      <c r="Q201" s="188"/>
      <c r="R201" s="189"/>
      <c r="S201" s="188"/>
      <c r="T201" s="189"/>
      <c r="U201" s="188"/>
      <c r="V201" s="188"/>
      <c r="W201" s="188"/>
      <c r="X201" s="188"/>
      <c r="Y201" s="188"/>
      <c r="Z201" s="188"/>
      <c r="AA201" s="190"/>
      <c r="AB201" s="188"/>
      <c r="AC201" s="190"/>
      <c r="AD201" s="188"/>
      <c r="AE201" s="190"/>
      <c r="AF201" s="188"/>
      <c r="AG201" s="188"/>
      <c r="AH201" s="188"/>
      <c r="AI201" s="188"/>
      <c r="AJ201" s="188"/>
      <c r="AK201" s="188"/>
      <c r="AL201" s="188"/>
      <c r="AM201" s="188"/>
      <c r="AN201" s="188"/>
      <c r="AO201" s="188"/>
      <c r="AP201" s="188"/>
      <c r="AQ201" s="188"/>
      <c r="AR201" s="188"/>
      <c r="AS201" s="188"/>
      <c r="AT201" s="188"/>
      <c r="AU201" s="188"/>
      <c r="AV201" s="188"/>
      <c r="AW201" s="188"/>
      <c r="AX201" s="188"/>
      <c r="AY201" s="188"/>
      <c r="AZ201" s="188"/>
      <c r="BB201" s="0"/>
      <c r="BC201" s="0"/>
      <c r="BD201" s="0"/>
      <c r="BE201" s="0"/>
      <c r="BF201" s="0"/>
      <c r="BG201" s="0"/>
      <c r="BH201" s="0"/>
      <c r="BI201" s="0"/>
      <c r="BJ201" s="0"/>
      <c r="BK201" s="0"/>
      <c r="BL201" s="0"/>
      <c r="BM201" s="0"/>
      <c r="BN201" s="0"/>
      <c r="BO201" s="0"/>
      <c r="BP201" s="0"/>
      <c r="BQ201" s="0"/>
      <c r="BR201" s="0"/>
      <c r="BS201" s="0"/>
      <c r="BT201" s="0"/>
      <c r="BU201" s="0"/>
      <c r="BV201" s="0"/>
      <c r="BW201" s="0"/>
      <c r="BX201" s="0"/>
      <c r="BY201" s="0"/>
      <c r="BZ201" s="0"/>
      <c r="CA201" s="0"/>
      <c r="CB201" s="0"/>
      <c r="CC201" s="0"/>
      <c r="CD201" s="0"/>
      <c r="CE201" s="0"/>
      <c r="CF201" s="0"/>
      <c r="CG201" s="0"/>
      <c r="CH201" s="0"/>
      <c r="CI201" s="0"/>
      <c r="CJ201" s="0"/>
      <c r="CK201" s="0"/>
      <c r="CL201" s="0"/>
      <c r="CM201" s="0"/>
      <c r="CN201" s="0"/>
      <c r="CO201" s="0"/>
      <c r="CP201" s="0"/>
      <c r="CQ201" s="0"/>
      <c r="CR201" s="0"/>
      <c r="CS201" s="0"/>
      <c r="CT201" s="0"/>
      <c r="CU201" s="0"/>
      <c r="CV201" s="0"/>
      <c r="CW201" s="0"/>
      <c r="CX201" s="0"/>
      <c r="CY201" s="0"/>
      <c r="CZ201" s="0"/>
      <c r="DA201" s="0"/>
      <c r="DB201" s="0"/>
      <c r="DC201" s="0"/>
      <c r="DD201" s="0"/>
      <c r="DE201" s="0"/>
      <c r="DF201" s="0"/>
      <c r="DG201" s="0"/>
      <c r="DH201" s="0"/>
      <c r="DI201" s="0"/>
      <c r="DJ201" s="0"/>
      <c r="DK201" s="0"/>
      <c r="DL201" s="0"/>
      <c r="DM201" s="0"/>
      <c r="DN201" s="0"/>
      <c r="DO201" s="0"/>
      <c r="DP201" s="0"/>
      <c r="DQ201" s="0"/>
      <c r="DR201" s="0"/>
      <c r="DS201" s="0"/>
      <c r="DT201" s="0"/>
      <c r="DU201" s="0"/>
      <c r="DV201" s="0"/>
      <c r="DW201" s="0"/>
      <c r="DX201" s="0"/>
      <c r="DY201" s="0"/>
      <c r="DZ201" s="0"/>
      <c r="EA201" s="0"/>
      <c r="EB201" s="0"/>
      <c r="EC201" s="0"/>
      <c r="ED201" s="0"/>
      <c r="EE201" s="0"/>
      <c r="EF201" s="0"/>
      <c r="EG201" s="0"/>
      <c r="EH201" s="0"/>
      <c r="EI201" s="0"/>
      <c r="EJ201" s="0"/>
      <c r="EK201" s="0"/>
      <c r="EL201" s="0"/>
      <c r="EM201" s="0"/>
      <c r="EN201" s="0"/>
      <c r="EO201" s="0"/>
      <c r="EP201" s="0"/>
      <c r="EQ201" s="0"/>
      <c r="ER201" s="0"/>
      <c r="ES201" s="0"/>
      <c r="ET201" s="0"/>
      <c r="EU201" s="0"/>
      <c r="EV201" s="0"/>
      <c r="EW201" s="0"/>
      <c r="EX201" s="0"/>
      <c r="EY201" s="0"/>
      <c r="EZ201" s="0"/>
      <c r="FA201" s="0"/>
      <c r="FB201" s="0"/>
      <c r="FC201" s="0"/>
      <c r="FD201" s="0"/>
      <c r="FE201" s="0"/>
      <c r="FF201" s="0"/>
      <c r="FG201" s="0"/>
      <c r="FH201" s="0"/>
      <c r="FI201" s="0"/>
      <c r="FJ201" s="0"/>
      <c r="FK201" s="0"/>
      <c r="FL201" s="0"/>
      <c r="FM201" s="0"/>
      <c r="FN201" s="0"/>
      <c r="FO201" s="0"/>
      <c r="FP201" s="0"/>
      <c r="FQ201" s="0"/>
      <c r="FR201" s="0"/>
      <c r="FS201" s="0"/>
      <c r="FT201" s="0"/>
      <c r="FU201" s="0"/>
      <c r="FV201" s="0"/>
      <c r="FW201" s="0"/>
      <c r="FX201" s="0"/>
      <c r="FY201" s="0"/>
      <c r="FZ201" s="0"/>
      <c r="GA201" s="0"/>
      <c r="GB201" s="0"/>
      <c r="GC201" s="0"/>
      <c r="GD201" s="0"/>
      <c r="GE201" s="0"/>
      <c r="GF201" s="0"/>
      <c r="GG201" s="0"/>
      <c r="GH201" s="0"/>
      <c r="GI201" s="0"/>
      <c r="GJ201" s="0"/>
      <c r="GK201" s="0"/>
      <c r="GL201" s="0"/>
      <c r="GM201" s="0"/>
      <c r="GN201" s="0"/>
      <c r="GO201" s="0"/>
      <c r="GP201" s="0"/>
      <c r="GQ201" s="0"/>
      <c r="GR201" s="0"/>
      <c r="GS201" s="0"/>
      <c r="GT201" s="0"/>
      <c r="GU201" s="0"/>
      <c r="GV201" s="0"/>
      <c r="GW201" s="0"/>
      <c r="GX201" s="0"/>
      <c r="GY201" s="0"/>
      <c r="GZ201" s="0"/>
      <c r="HA201" s="0"/>
      <c r="HB201" s="0"/>
      <c r="HC201" s="0"/>
      <c r="HD201" s="0"/>
      <c r="HE201" s="0"/>
      <c r="HF201" s="0"/>
      <c r="HG201" s="0"/>
      <c r="HH201" s="0"/>
      <c r="HI201" s="0"/>
      <c r="HJ201" s="0"/>
      <c r="HK201" s="0"/>
      <c r="HL201" s="0"/>
      <c r="HM201" s="0"/>
      <c r="HN201" s="0"/>
      <c r="HO201" s="0"/>
      <c r="HP201" s="0"/>
      <c r="HQ201" s="0"/>
      <c r="HR201" s="0"/>
      <c r="HS201" s="0"/>
      <c r="HT201" s="0"/>
      <c r="HU201" s="0"/>
      <c r="HV201" s="0"/>
      <c r="HW201" s="0"/>
      <c r="HX201" s="0"/>
      <c r="HY201" s="0"/>
      <c r="HZ201" s="0"/>
      <c r="IA201" s="0"/>
      <c r="IB201" s="0"/>
      <c r="IC201" s="0"/>
      <c r="ID201" s="0"/>
      <c r="IE201" s="0"/>
      <c r="IF201" s="0"/>
      <c r="IG201" s="0"/>
      <c r="IH201" s="0"/>
      <c r="II201" s="0"/>
      <c r="IJ201" s="0"/>
      <c r="IK201" s="0"/>
      <c r="IL201" s="0"/>
      <c r="IM201" s="0"/>
      <c r="IN201" s="0"/>
      <c r="IO201" s="0"/>
      <c r="IP201" s="0"/>
      <c r="IQ201" s="0"/>
      <c r="IR201" s="0"/>
      <c r="IS201" s="0"/>
      <c r="IT201" s="0"/>
      <c r="IU201" s="0"/>
      <c r="IV201" s="0"/>
      <c r="IW201" s="0"/>
    </row>
    <row r="202" customFormat="false" ht="12.75" hidden="false" customHeight="false" outlineLevel="0" collapsed="false">
      <c r="A202" s="158"/>
      <c r="B202" s="188"/>
      <c r="C202" s="188"/>
      <c r="D202" s="188"/>
      <c r="E202" s="188"/>
      <c r="F202" s="188"/>
      <c r="G202" s="188"/>
      <c r="H202" s="188"/>
      <c r="I202" s="188"/>
      <c r="J202" s="188"/>
      <c r="K202" s="188"/>
      <c r="L202" s="188"/>
      <c r="M202" s="188"/>
      <c r="N202" s="188"/>
      <c r="O202" s="188"/>
      <c r="P202" s="188"/>
      <c r="Q202" s="190"/>
      <c r="R202" s="189"/>
      <c r="S202" s="190"/>
      <c r="T202" s="189"/>
      <c r="U202" s="190"/>
      <c r="V202" s="188"/>
      <c r="W202" s="190"/>
      <c r="X202" s="188"/>
      <c r="Y202" s="190"/>
      <c r="Z202" s="188"/>
      <c r="AA202" s="190"/>
      <c r="AB202" s="188"/>
      <c r="AC202" s="190"/>
      <c r="AD202" s="188"/>
      <c r="AE202" s="190"/>
      <c r="AF202" s="188"/>
      <c r="AG202" s="188"/>
      <c r="AH202" s="188"/>
      <c r="AI202" s="188"/>
      <c r="AJ202" s="188"/>
      <c r="AK202" s="188"/>
      <c r="AL202" s="188"/>
      <c r="AM202" s="188"/>
      <c r="AN202" s="188"/>
      <c r="AO202" s="188"/>
      <c r="AP202" s="188"/>
      <c r="AQ202" s="188"/>
      <c r="AR202" s="188"/>
      <c r="AS202" s="188"/>
      <c r="AT202" s="188"/>
      <c r="AU202" s="188"/>
      <c r="AV202" s="188"/>
      <c r="AW202" s="188"/>
      <c r="AX202" s="188"/>
      <c r="AY202" s="188"/>
      <c r="AZ202" s="188"/>
      <c r="BB202" s="0"/>
      <c r="BC202" s="0"/>
      <c r="BD202" s="0"/>
      <c r="BE202" s="0"/>
      <c r="BF202" s="0"/>
      <c r="BG202" s="0"/>
      <c r="BH202" s="0"/>
      <c r="BI202" s="0"/>
      <c r="BJ202" s="0"/>
      <c r="BK202" s="0"/>
      <c r="BL202" s="0"/>
      <c r="BM202" s="0"/>
      <c r="BN202" s="0"/>
      <c r="BO202" s="0"/>
      <c r="BP202" s="0"/>
      <c r="BQ202" s="0"/>
      <c r="BR202" s="0"/>
      <c r="BS202" s="0"/>
      <c r="BT202" s="0"/>
      <c r="BU202" s="0"/>
      <c r="BV202" s="0"/>
      <c r="BW202" s="0"/>
      <c r="BX202" s="0"/>
      <c r="BY202" s="0"/>
      <c r="BZ202" s="0"/>
      <c r="CA202" s="0"/>
      <c r="CB202" s="0"/>
      <c r="CC202" s="0"/>
      <c r="CD202" s="0"/>
      <c r="CE202" s="0"/>
      <c r="CF202" s="0"/>
      <c r="CG202" s="0"/>
      <c r="CH202" s="0"/>
      <c r="CI202" s="0"/>
      <c r="CJ202" s="0"/>
      <c r="CK202" s="0"/>
      <c r="CL202" s="0"/>
      <c r="CM202" s="0"/>
      <c r="CN202" s="0"/>
      <c r="CO202" s="0"/>
      <c r="CP202" s="0"/>
      <c r="CQ202" s="0"/>
      <c r="CR202" s="0"/>
      <c r="CS202" s="0"/>
      <c r="CT202" s="0"/>
      <c r="CU202" s="0"/>
      <c r="CV202" s="0"/>
      <c r="CW202" s="0"/>
      <c r="CX202" s="0"/>
      <c r="CY202" s="0"/>
      <c r="CZ202" s="0"/>
      <c r="DA202" s="0"/>
      <c r="DB202" s="0"/>
      <c r="DC202" s="0"/>
      <c r="DD202" s="0"/>
      <c r="DE202" s="0"/>
      <c r="DF202" s="0"/>
      <c r="DG202" s="0"/>
      <c r="DH202" s="0"/>
      <c r="DI202" s="0"/>
      <c r="DJ202" s="0"/>
      <c r="DK202" s="0"/>
      <c r="DL202" s="0"/>
      <c r="DM202" s="0"/>
      <c r="DN202" s="0"/>
      <c r="DO202" s="0"/>
      <c r="DP202" s="0"/>
      <c r="DQ202" s="0"/>
      <c r="DR202" s="0"/>
      <c r="DS202" s="0"/>
      <c r="DT202" s="0"/>
      <c r="DU202" s="0"/>
      <c r="DV202" s="0"/>
      <c r="DW202" s="0"/>
      <c r="DX202" s="0"/>
      <c r="DY202" s="0"/>
      <c r="DZ202" s="0"/>
      <c r="EA202" s="0"/>
      <c r="EB202" s="0"/>
      <c r="EC202" s="0"/>
      <c r="ED202" s="0"/>
      <c r="EE202" s="0"/>
      <c r="EF202" s="0"/>
      <c r="EG202" s="0"/>
      <c r="EH202" s="0"/>
      <c r="EI202" s="0"/>
      <c r="EJ202" s="0"/>
      <c r="EK202" s="0"/>
      <c r="EL202" s="0"/>
      <c r="EM202" s="0"/>
      <c r="EN202" s="0"/>
      <c r="EO202" s="0"/>
      <c r="EP202" s="0"/>
      <c r="EQ202" s="0"/>
      <c r="ER202" s="0"/>
      <c r="ES202" s="0"/>
      <c r="ET202" s="0"/>
      <c r="EU202" s="0"/>
      <c r="EV202" s="0"/>
      <c r="EW202" s="0"/>
      <c r="EX202" s="0"/>
      <c r="EY202" s="0"/>
      <c r="EZ202" s="0"/>
      <c r="FA202" s="0"/>
      <c r="FB202" s="0"/>
      <c r="FC202" s="0"/>
      <c r="FD202" s="0"/>
      <c r="FE202" s="0"/>
      <c r="FF202" s="0"/>
      <c r="FG202" s="0"/>
      <c r="FH202" s="0"/>
      <c r="FI202" s="0"/>
      <c r="FJ202" s="0"/>
      <c r="FK202" s="0"/>
      <c r="FL202" s="0"/>
      <c r="FM202" s="0"/>
      <c r="FN202" s="0"/>
      <c r="FO202" s="0"/>
      <c r="FP202" s="0"/>
      <c r="FQ202" s="0"/>
      <c r="FR202" s="0"/>
      <c r="FS202" s="0"/>
      <c r="FT202" s="0"/>
      <c r="FU202" s="0"/>
      <c r="FV202" s="0"/>
      <c r="FW202" s="0"/>
      <c r="FX202" s="0"/>
      <c r="FY202" s="0"/>
      <c r="FZ202" s="0"/>
      <c r="GA202" s="0"/>
      <c r="GB202" s="0"/>
      <c r="GC202" s="0"/>
      <c r="GD202" s="0"/>
      <c r="GE202" s="0"/>
      <c r="GF202" s="0"/>
      <c r="GG202" s="0"/>
      <c r="GH202" s="0"/>
      <c r="GI202" s="0"/>
      <c r="GJ202" s="0"/>
      <c r="GK202" s="0"/>
      <c r="GL202" s="0"/>
      <c r="GM202" s="0"/>
      <c r="GN202" s="0"/>
      <c r="GO202" s="0"/>
      <c r="GP202" s="0"/>
      <c r="GQ202" s="0"/>
      <c r="GR202" s="0"/>
      <c r="GS202" s="0"/>
      <c r="GT202" s="0"/>
      <c r="GU202" s="0"/>
      <c r="GV202" s="0"/>
      <c r="GW202" s="0"/>
      <c r="GX202" s="0"/>
      <c r="GY202" s="0"/>
      <c r="GZ202" s="0"/>
      <c r="HA202" s="0"/>
      <c r="HB202" s="0"/>
      <c r="HC202" s="0"/>
      <c r="HD202" s="0"/>
      <c r="HE202" s="0"/>
      <c r="HF202" s="0"/>
      <c r="HG202" s="0"/>
      <c r="HH202" s="0"/>
      <c r="HI202" s="0"/>
      <c r="HJ202" s="0"/>
      <c r="HK202" s="0"/>
      <c r="HL202" s="0"/>
      <c r="HM202" s="0"/>
      <c r="HN202" s="0"/>
      <c r="HO202" s="0"/>
      <c r="HP202" s="0"/>
      <c r="HQ202" s="0"/>
      <c r="HR202" s="0"/>
      <c r="HS202" s="0"/>
      <c r="HT202" s="0"/>
      <c r="HU202" s="0"/>
      <c r="HV202" s="0"/>
      <c r="HW202" s="0"/>
      <c r="HX202" s="0"/>
      <c r="HY202" s="0"/>
      <c r="HZ202" s="0"/>
      <c r="IA202" s="0"/>
      <c r="IB202" s="0"/>
      <c r="IC202" s="0"/>
      <c r="ID202" s="0"/>
      <c r="IE202" s="0"/>
      <c r="IF202" s="0"/>
      <c r="IG202" s="0"/>
      <c r="IH202" s="0"/>
      <c r="II202" s="0"/>
      <c r="IJ202" s="0"/>
      <c r="IK202" s="0"/>
      <c r="IL202" s="0"/>
      <c r="IM202" s="0"/>
      <c r="IN202" s="0"/>
      <c r="IO202" s="0"/>
      <c r="IP202" s="0"/>
      <c r="IQ202" s="0"/>
      <c r="IR202" s="0"/>
      <c r="IS202" s="0"/>
      <c r="IT202" s="0"/>
      <c r="IU202" s="0"/>
      <c r="IV202" s="0"/>
      <c r="IW202" s="0"/>
    </row>
    <row r="203" customFormat="false" ht="12.75" hidden="false" customHeight="false" outlineLevel="0" collapsed="false">
      <c r="A203" s="128"/>
      <c r="B203" s="128"/>
      <c r="C203" s="128"/>
      <c r="D203" s="128"/>
      <c r="E203" s="128"/>
      <c r="F203" s="128"/>
      <c r="G203" s="128"/>
      <c r="H203" s="128"/>
      <c r="I203" s="128"/>
      <c r="J203" s="128"/>
      <c r="L203" s="128"/>
      <c r="N203" s="128"/>
      <c r="P203" s="128"/>
      <c r="AT203" s="128"/>
      <c r="AV203" s="128"/>
      <c r="AX203" s="128"/>
      <c r="AZ203" s="128"/>
    </row>
    <row r="204" customFormat="false" ht="12.75" hidden="false" customHeight="false" outlineLevel="0" collapsed="false">
      <c r="A204" s="158" t="s">
        <v>356</v>
      </c>
      <c r="B204" s="158"/>
      <c r="C204" s="158"/>
      <c r="D204" s="158"/>
      <c r="E204" s="158"/>
      <c r="F204" s="158"/>
      <c r="G204" s="158"/>
      <c r="H204" s="158"/>
      <c r="I204" s="158"/>
      <c r="J204" s="158"/>
      <c r="K204" s="24" t="n">
        <v>0</v>
      </c>
      <c r="L204" s="158"/>
      <c r="M204" s="24"/>
      <c r="N204" s="158"/>
      <c r="O204" s="24" t="n">
        <f aca="false">SUM(K204:N204)</f>
        <v>0</v>
      </c>
      <c r="P204" s="158"/>
      <c r="Q204" s="129"/>
      <c r="R204" s="191"/>
      <c r="S204" s="129"/>
      <c r="T204" s="191"/>
      <c r="U204" s="129" t="n">
        <v>0</v>
      </c>
      <c r="V204" s="24"/>
      <c r="W204" s="129"/>
      <c r="X204" s="129"/>
      <c r="Y204" s="129"/>
      <c r="Z204" s="129"/>
      <c r="AA204" s="129"/>
      <c r="AB204" s="129"/>
      <c r="AC204" s="129"/>
      <c r="AD204" s="129"/>
      <c r="AE204" s="129"/>
      <c r="AF204" s="129"/>
      <c r="AG204" s="129"/>
      <c r="AH204" s="129"/>
      <c r="AI204" s="129"/>
      <c r="AJ204" s="129"/>
      <c r="AK204" s="129"/>
      <c r="AL204" s="129"/>
      <c r="AM204" s="129"/>
      <c r="AN204" s="129"/>
      <c r="AO204" s="129"/>
      <c r="AP204" s="129"/>
      <c r="AQ204" s="129"/>
      <c r="AR204" s="129"/>
      <c r="AS204" s="24" t="n">
        <f aca="false">SUM(P204:AR204)</f>
        <v>0</v>
      </c>
      <c r="AT204" s="158"/>
      <c r="AU204" s="129" t="n">
        <v>0</v>
      </c>
      <c r="AV204" s="158"/>
      <c r="AW204" s="24" t="n">
        <f aca="false">IF(+O204-AS204+AU204&gt;0,O204-AS204+AU204,0)</f>
        <v>0</v>
      </c>
      <c r="AX204" s="158"/>
      <c r="AY204" s="24" t="n">
        <f aca="false">+AW204+AS204</f>
        <v>0</v>
      </c>
      <c r="AZ204" s="158"/>
      <c r="BA204" s="24" t="n">
        <f aca="false">+O204-AY204</f>
        <v>0</v>
      </c>
      <c r="BB204" s="2"/>
      <c r="BC204" s="2"/>
      <c r="BD204" s="2"/>
      <c r="BE204" s="2"/>
      <c r="BF204" s="2"/>
      <c r="BG204" s="2"/>
      <c r="BH204" s="2"/>
      <c r="BI204" s="2"/>
      <c r="BJ204" s="2"/>
      <c r="BK204" s="2"/>
      <c r="BL204" s="2"/>
      <c r="BM204" s="2"/>
      <c r="BN204" s="2"/>
      <c r="BO204" s="2"/>
      <c r="BP204" s="2"/>
      <c r="BQ204" s="2"/>
      <c r="BR204" s="2"/>
      <c r="BS204" s="2"/>
      <c r="BT204" s="2"/>
      <c r="BU204" s="2"/>
      <c r="BV204" s="2"/>
      <c r="BW204" s="2"/>
      <c r="BX204" s="2"/>
      <c r="BY204" s="2"/>
      <c r="BZ204" s="2"/>
      <c r="CA204" s="2"/>
      <c r="CB204" s="2"/>
      <c r="CC204" s="2"/>
      <c r="CD204" s="2"/>
      <c r="CE204" s="2"/>
      <c r="CF204" s="2"/>
      <c r="CG204" s="2"/>
      <c r="CH204" s="2"/>
      <c r="CI204" s="2"/>
      <c r="CJ204" s="2"/>
      <c r="CK204" s="2"/>
      <c r="CL204" s="2"/>
      <c r="CM204" s="2"/>
      <c r="CN204" s="2"/>
      <c r="CO204" s="2"/>
      <c r="CP204" s="2"/>
      <c r="CQ204" s="2"/>
      <c r="CR204" s="2"/>
      <c r="CS204" s="2"/>
      <c r="CT204" s="2"/>
      <c r="CU204" s="2"/>
      <c r="CV204" s="2"/>
      <c r="CW204" s="2"/>
      <c r="CX204" s="2"/>
      <c r="CY204" s="2"/>
      <c r="CZ204" s="2"/>
      <c r="DA204" s="2"/>
      <c r="DB204" s="2"/>
      <c r="DC204" s="2"/>
      <c r="DD204" s="2"/>
      <c r="DE204" s="2"/>
      <c r="DF204" s="2"/>
      <c r="DG204" s="2"/>
      <c r="DH204" s="2"/>
      <c r="DI204" s="2"/>
      <c r="DJ204" s="2"/>
      <c r="DK204" s="2"/>
      <c r="DL204" s="2"/>
      <c r="DM204" s="2"/>
      <c r="DN204" s="2"/>
      <c r="DO204" s="2"/>
      <c r="DP204" s="2"/>
      <c r="DQ204" s="2"/>
      <c r="DR204" s="2"/>
      <c r="DS204" s="2"/>
      <c r="DT204" s="2"/>
      <c r="DU204" s="2"/>
      <c r="DV204" s="2"/>
      <c r="DW204" s="2"/>
      <c r="DX204" s="2"/>
      <c r="DY204" s="2"/>
      <c r="DZ204" s="2"/>
      <c r="EA204" s="2"/>
      <c r="EB204" s="2"/>
      <c r="EC204" s="2"/>
      <c r="ED204" s="2"/>
      <c r="EE204" s="2"/>
      <c r="EF204" s="2"/>
      <c r="EG204" s="2"/>
      <c r="EH204" s="2"/>
      <c r="EI204" s="2"/>
      <c r="EJ204" s="2"/>
      <c r="EK204" s="2"/>
      <c r="EL204" s="2"/>
      <c r="EM204" s="2"/>
      <c r="EN204" s="2"/>
      <c r="EO204" s="2"/>
      <c r="EP204" s="2"/>
      <c r="EQ204" s="2"/>
      <c r="ER204" s="2"/>
      <c r="ES204" s="2"/>
      <c r="ET204" s="2"/>
      <c r="EU204" s="2"/>
      <c r="EV204" s="2"/>
      <c r="EW204" s="2"/>
      <c r="EX204" s="2"/>
      <c r="EY204" s="2"/>
      <c r="EZ204" s="2"/>
      <c r="FA204" s="2"/>
      <c r="FB204" s="2"/>
      <c r="FC204" s="2"/>
      <c r="FD204" s="2"/>
      <c r="FE204" s="2"/>
      <c r="FF204" s="2"/>
      <c r="FG204" s="2"/>
      <c r="FH204" s="2"/>
      <c r="FI204" s="2"/>
      <c r="FJ204" s="2"/>
      <c r="FK204" s="2"/>
      <c r="FL204" s="2"/>
      <c r="FM204" s="2"/>
      <c r="FN204" s="2"/>
      <c r="FO204" s="2"/>
      <c r="FP204" s="2"/>
      <c r="FQ204" s="2"/>
      <c r="FR204" s="2"/>
      <c r="FS204" s="2"/>
      <c r="FT204" s="2"/>
      <c r="FU204" s="2"/>
      <c r="FV204" s="2"/>
      <c r="FW204" s="2"/>
      <c r="FX204" s="2"/>
      <c r="FY204" s="2"/>
      <c r="FZ204" s="2"/>
      <c r="GA204" s="2"/>
      <c r="GB204" s="2"/>
      <c r="GC204" s="2"/>
      <c r="GD204" s="2"/>
      <c r="GE204" s="2"/>
      <c r="GF204" s="2"/>
      <c r="GG204" s="2"/>
      <c r="GH204" s="2"/>
      <c r="GI204" s="2"/>
      <c r="GJ204" s="2"/>
      <c r="GK204" s="2"/>
      <c r="GL204" s="2"/>
      <c r="GM204" s="2"/>
      <c r="GN204" s="2"/>
      <c r="GO204" s="2"/>
      <c r="GP204" s="2"/>
      <c r="GQ204" s="2"/>
      <c r="GR204" s="2"/>
      <c r="GS204" s="2"/>
      <c r="GT204" s="2"/>
      <c r="GU204" s="2"/>
      <c r="GV204" s="2"/>
      <c r="GW204" s="2"/>
      <c r="GX204" s="2"/>
      <c r="GY204" s="2"/>
      <c r="GZ204" s="2"/>
      <c r="HA204" s="2"/>
      <c r="HB204" s="2"/>
      <c r="HC204" s="2"/>
      <c r="HD204" s="2"/>
      <c r="HE204" s="2"/>
      <c r="HF204" s="2"/>
      <c r="HG204" s="2"/>
      <c r="HH204" s="2"/>
      <c r="HI204" s="2"/>
      <c r="HJ204" s="2"/>
      <c r="HK204" s="2"/>
      <c r="HL204" s="2"/>
      <c r="HM204" s="2"/>
      <c r="HN204" s="2"/>
      <c r="HO204" s="2"/>
      <c r="HP204" s="2"/>
      <c r="HQ204" s="2"/>
      <c r="HR204" s="2"/>
      <c r="HS204" s="2"/>
      <c r="HT204" s="2"/>
      <c r="HU204" s="2"/>
      <c r="HV204" s="2"/>
      <c r="HW204" s="2"/>
      <c r="HX204" s="2"/>
      <c r="HY204" s="2"/>
      <c r="HZ204" s="2"/>
      <c r="IA204" s="2"/>
      <c r="IB204" s="2"/>
      <c r="IC204" s="2"/>
      <c r="ID204" s="2"/>
      <c r="IE204" s="2"/>
      <c r="IF204" s="2"/>
      <c r="IG204" s="2"/>
      <c r="IH204" s="2"/>
      <c r="II204" s="2"/>
      <c r="IJ204" s="2"/>
      <c r="IK204" s="2"/>
      <c r="IL204" s="2"/>
      <c r="IM204" s="2"/>
      <c r="IN204" s="2"/>
      <c r="IO204" s="2"/>
      <c r="IP204" s="2"/>
      <c r="IQ204" s="2"/>
      <c r="IR204" s="2"/>
      <c r="IS204" s="2"/>
      <c r="IT204" s="2"/>
      <c r="IU204" s="2"/>
      <c r="IV204" s="2"/>
      <c r="IW204" s="2"/>
    </row>
    <row r="205" customFormat="false" ht="12.75" hidden="false" customHeight="false" outlineLevel="0" collapsed="false">
      <c r="A205" s="158" t="s">
        <v>357</v>
      </c>
      <c r="B205" s="128"/>
      <c r="C205" s="128"/>
      <c r="D205" s="128"/>
      <c r="E205" s="128"/>
      <c r="F205" s="128"/>
      <c r="G205" s="128"/>
      <c r="H205" s="128"/>
      <c r="I205" s="128"/>
      <c r="J205" s="128"/>
      <c r="L205" s="128"/>
      <c r="N205" s="128"/>
      <c r="P205" s="128"/>
      <c r="AS205" s="192" t="n">
        <f aca="false">+[1]Deprec!$D$28</f>
        <v>-1412567.867985</v>
      </c>
      <c r="AT205" s="128"/>
      <c r="AV205" s="128"/>
      <c r="AX205" s="128"/>
      <c r="AY205" s="24" t="n">
        <f aca="false">+AS205</f>
        <v>-1412567.867985</v>
      </c>
      <c r="AZ205" s="128"/>
    </row>
    <row r="206" customFormat="false" ht="13.5" hidden="false" customHeight="false" outlineLevel="0" collapsed="false">
      <c r="A206" s="185" t="s">
        <v>358</v>
      </c>
      <c r="B206" s="186"/>
      <c r="C206" s="128"/>
      <c r="D206" s="128"/>
      <c r="E206" s="128"/>
      <c r="F206" s="128"/>
      <c r="G206" s="128"/>
      <c r="H206" s="128"/>
      <c r="I206" s="128"/>
      <c r="J206" s="128"/>
      <c r="K206" s="193" t="n">
        <f aca="false">+K197+K204</f>
        <v>123921212.472</v>
      </c>
      <c r="L206" s="128"/>
      <c r="M206" s="193" t="n">
        <f aca="false">+M197+M204</f>
        <v>-179227</v>
      </c>
      <c r="N206" s="128"/>
      <c r="O206" s="193" t="n">
        <f aca="false">+O197+O204</f>
        <v>123741985.472</v>
      </c>
      <c r="P206" s="128"/>
      <c r="AS206" s="193" t="n">
        <f aca="false">+AS197+AS204+AS205</f>
        <v>123854233.665348</v>
      </c>
      <c r="AT206" s="128"/>
      <c r="AV206" s="128"/>
      <c r="AW206" s="193" t="n">
        <f aca="false">+AW197+AW204</f>
        <v>2972876.162</v>
      </c>
      <c r="AX206" s="128"/>
      <c r="AY206" s="193" t="n">
        <f aca="false">+AY197+AY204+AY205</f>
        <v>126827108.827348</v>
      </c>
      <c r="AZ206" s="128"/>
      <c r="BA206" s="193" t="n">
        <f aca="false">+BA197+BA204</f>
        <v>-4497691.22333331</v>
      </c>
    </row>
    <row r="207" customFormat="false" ht="4.5" hidden="false" customHeight="true" outlineLevel="0" collapsed="false">
      <c r="A207" s="164"/>
      <c r="B207" s="167"/>
      <c r="C207" s="128"/>
      <c r="D207" s="128"/>
      <c r="E207" s="128"/>
      <c r="F207" s="128"/>
      <c r="G207" s="128"/>
      <c r="H207" s="128"/>
      <c r="I207" s="128"/>
      <c r="J207" s="128"/>
      <c r="L207" s="128"/>
      <c r="N207" s="128"/>
      <c r="P207" s="128"/>
      <c r="AT207" s="128"/>
      <c r="AV207" s="128"/>
      <c r="AX207" s="128"/>
      <c r="AZ207" s="128"/>
    </row>
    <row r="208" customFormat="false" ht="13.5" hidden="false" customHeight="false" outlineLevel="0" collapsed="false">
      <c r="A208" s="185" t="s">
        <v>355</v>
      </c>
      <c r="B208" s="167"/>
      <c r="C208" s="128"/>
      <c r="D208" s="128"/>
      <c r="E208" s="128"/>
      <c r="F208" s="128"/>
      <c r="G208" s="128"/>
      <c r="H208" s="128"/>
      <c r="I208" s="128"/>
      <c r="J208" s="128"/>
      <c r="K208" s="187" t="n">
        <f aca="false">K206/$K$3</f>
        <v>270570.332908297</v>
      </c>
      <c r="L208" s="128"/>
      <c r="N208" s="128"/>
      <c r="O208" s="187" t="n">
        <f aca="false">O206/$K$3</f>
        <v>270179.007580786</v>
      </c>
      <c r="P208" s="128"/>
      <c r="AT208" s="128"/>
      <c r="AV208" s="128"/>
      <c r="AX208" s="128"/>
      <c r="AY208" s="187" t="n">
        <f aca="false">AY206/$K$3</f>
        <v>276915.08477587</v>
      </c>
      <c r="AZ208" s="128"/>
    </row>
    <row r="209" customFormat="false" ht="12.75" hidden="false" customHeight="false" outlineLevel="0" collapsed="false">
      <c r="A209" s="128"/>
      <c r="B209" s="128"/>
      <c r="C209" s="128"/>
      <c r="D209" s="128"/>
      <c r="E209" s="128"/>
      <c r="F209" s="128"/>
      <c r="G209" s="128"/>
      <c r="H209" s="128"/>
      <c r="I209" s="128"/>
      <c r="J209" s="128"/>
      <c r="L209" s="128"/>
      <c r="N209" s="128"/>
      <c r="P209" s="128"/>
      <c r="AT209" s="128"/>
      <c r="AV209" s="128"/>
      <c r="AX209" s="128"/>
      <c r="AZ209" s="128"/>
    </row>
    <row r="210" customFormat="false" ht="12.75" hidden="false" customHeight="false" outlineLevel="0" collapsed="false">
      <c r="A210" s="128"/>
      <c r="B210" s="128"/>
      <c r="C210" s="128"/>
      <c r="D210" s="128"/>
      <c r="E210" s="128"/>
      <c r="F210" s="128"/>
      <c r="G210" s="128"/>
      <c r="H210" s="128"/>
      <c r="I210" s="128"/>
      <c r="J210" s="128"/>
      <c r="L210" s="128"/>
      <c r="N210" s="128"/>
      <c r="P210" s="128"/>
      <c r="AT210" s="128"/>
      <c r="AV210" s="128"/>
      <c r="AX210" s="128"/>
      <c r="AZ210" s="128"/>
      <c r="BA210" s="194" t="str">
        <f aca="true">CELL("filename")</f>
        <v>'file:///mnt/12tb/@roms/datasets/enron/EDRM Enron Email Data Set v2 XML/filtered-attachments/xls/TVA_Wkly_Anal___121499.xls'#$Brownsville</v>
      </c>
    </row>
    <row r="211" customFormat="false" ht="12.75" hidden="false" customHeight="false" outlineLevel="0" collapsed="false">
      <c r="A211" s="128"/>
      <c r="B211" s="128"/>
      <c r="C211" s="128"/>
      <c r="D211" s="128"/>
      <c r="E211" s="128"/>
      <c r="F211" s="128"/>
      <c r="G211" s="128"/>
      <c r="H211" s="128"/>
      <c r="I211" s="128"/>
      <c r="J211" s="128"/>
      <c r="L211" s="128"/>
      <c r="N211" s="128"/>
      <c r="P211" s="128"/>
      <c r="AT211" s="128"/>
      <c r="AV211" s="128"/>
      <c r="AX211" s="128"/>
      <c r="AZ211" s="128"/>
    </row>
    <row r="213" customFormat="false" ht="12.75" hidden="false" customHeight="false" outlineLevel="0" collapsed="false">
      <c r="B213" s="2" t="s">
        <v>359</v>
      </c>
    </row>
    <row r="215" customFormat="false" ht="12.75" hidden="false" customHeight="false" outlineLevel="0" collapsed="false">
      <c r="B215" s="90" t="s">
        <v>360</v>
      </c>
      <c r="O215" s="95" t="n">
        <f aca="false">885.42+4983.56+68142828.45+19073516.93</f>
        <v>87222214.36</v>
      </c>
      <c r="U215" s="96" t="n">
        <f aca="false">0+0-Q215</f>
        <v>0</v>
      </c>
      <c r="W215" s="96" t="n">
        <f aca="false">68142828.45-U215</f>
        <v>68142828.45</v>
      </c>
      <c r="AY215" s="95" t="n">
        <f aca="false">1788518.99+121026807.21-102</f>
        <v>122815224.2</v>
      </c>
    </row>
    <row r="219" customFormat="false" ht="12.75" hidden="false" customHeight="false" outlineLevel="0" collapsed="false">
      <c r="B219" s="90" t="s">
        <v>361</v>
      </c>
      <c r="O219" s="95" t="n">
        <f aca="false">SUM(O215:O218)</f>
        <v>87222214.36</v>
      </c>
      <c r="R219" s="96"/>
      <c r="T219" s="96"/>
      <c r="U219" s="96" t="n">
        <f aca="false">+U197</f>
        <v>7536552.38</v>
      </c>
      <c r="V219" s="96" t="n">
        <f aca="false">+V197</f>
        <v>0</v>
      </c>
      <c r="W219" s="96" t="n">
        <f aca="false">+W197</f>
        <v>6111434.66</v>
      </c>
      <c r="X219" s="96" t="n">
        <f aca="false">+X197</f>
        <v>0</v>
      </c>
      <c r="Y219" s="96" t="n">
        <f aca="false">+Y197</f>
        <v>7809255.54</v>
      </c>
      <c r="Z219" s="96" t="n">
        <f aca="false">+Z197</f>
        <v>0</v>
      </c>
      <c r="AY219" s="95" t="n">
        <f aca="false">+AS206-AS205-AS115-AS111+U111+Q111</f>
        <v>123282213.033333</v>
      </c>
    </row>
    <row r="222" customFormat="false" ht="12.75" hidden="false" customHeight="false" outlineLevel="0" collapsed="false">
      <c r="B222" s="90" t="s">
        <v>362</v>
      </c>
      <c r="O222" s="95" t="n">
        <f aca="false">O219-Q219</f>
        <v>87222214.36</v>
      </c>
      <c r="R222" s="96"/>
      <c r="T222" s="96"/>
      <c r="U222" s="96" t="n">
        <f aca="false">+U215-U219</f>
        <v>-7536552.38</v>
      </c>
      <c r="V222" s="96" t="n">
        <f aca="false">+V215-V219</f>
        <v>0</v>
      </c>
      <c r="W222" s="96" t="n">
        <f aca="false">+W215-W219</f>
        <v>62031393.79</v>
      </c>
      <c r="X222" s="96" t="n">
        <f aca="false">+X215-X219</f>
        <v>0</v>
      </c>
      <c r="Y222" s="96" t="n">
        <f aca="false">+Y215-Y219</f>
        <v>-7809255.54</v>
      </c>
      <c r="Z222" s="96" t="n">
        <f aca="false">+Z215-Z219</f>
        <v>0</v>
      </c>
      <c r="AY222" s="95" t="n">
        <f aca="false">+AY215-AY219</f>
        <v>-466988.833333313</v>
      </c>
    </row>
  </sheetData>
  <printOptions headings="false" gridLines="false" gridLinesSet="true" horizontalCentered="true" verticalCentered="false"/>
  <pageMargins left="0.25" right="0.25" top="0.25" bottom="0.25" header="0.511811023622047" footer="0.511811023622047"/>
  <pageSetup paperSize="1" scale="100" fitToWidth="1" fitToHeight="3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2" manualBreakCount="2">
    <brk id="109" man="true" max="16383" min="0"/>
    <brk id="212" man="true" max="16383" min="0"/>
  </rowBreaks>
  <colBreaks count="1" manualBreakCount="1">
    <brk id="54" man="true" max="65535" min="0"/>
  </colBreak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23"/>
  <sheetViews>
    <sheetView showFormulas="false" showGridLines="true" showRowColHeaders="true" showZeros="true" rightToLeft="false" tabSelected="false" showOutlineSymbols="true" defaultGridColor="true" view="pageBreakPreview" topLeftCell="A1" colorId="64" zoomScale="75" zoomScaleNormal="75" zoomScalePageLayoutView="75" workbookViewId="0">
      <pane xSplit="9" ySplit="6" topLeftCell="AP176" activePane="bottomRight" state="frozen"/>
      <selection pane="topLeft" activeCell="A1" activeCellId="0" sqref="A1"/>
      <selection pane="topRight" activeCell="AP1" activeCellId="0" sqref="AP1"/>
      <selection pane="bottomLeft" activeCell="A176" activeCellId="0" sqref="A176"/>
      <selection pane="bottomRight" activeCell="AY199" activeCellId="0" sqref="AY199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90" width="4.7"/>
    <col collapsed="false" customWidth="true" hidden="false" outlineLevel="0" max="2" min="2" style="90" width="47.99"/>
    <col collapsed="false" customWidth="true" hidden="true" outlineLevel="0" max="3" min="3" style="90" width="9.41"/>
    <col collapsed="false" customWidth="true" hidden="true" outlineLevel="0" max="4" min="4" style="90" width="0.85"/>
    <col collapsed="false" customWidth="true" hidden="true" outlineLevel="0" max="5" min="5" style="90" width="16.84"/>
    <col collapsed="false" customWidth="true" hidden="true" outlineLevel="0" max="6" min="6" style="90" width="0.85"/>
    <col collapsed="false" customWidth="true" hidden="true" outlineLevel="0" max="7" min="7" style="94" width="22.56"/>
    <col collapsed="false" customWidth="true" hidden="true" outlineLevel="0" max="8" min="8" style="90" width="0.85"/>
    <col collapsed="false" customWidth="true" hidden="true" outlineLevel="0" max="9" min="9" style="94" width="11.99"/>
    <col collapsed="false" customWidth="true" hidden="true" outlineLevel="0" max="10" min="10" style="90" width="0.85"/>
    <col collapsed="false" customWidth="true" hidden="true" outlineLevel="0" max="11" min="11" style="95" width="24.56"/>
    <col collapsed="false" customWidth="true" hidden="true" outlineLevel="0" max="12" min="12" style="90" width="0.85"/>
    <col collapsed="false" customWidth="true" hidden="true" outlineLevel="0" max="13" min="13" style="95" width="22.99"/>
    <col collapsed="false" customWidth="true" hidden="true" outlineLevel="0" max="14" min="14" style="90" width="0.85"/>
    <col collapsed="false" customWidth="true" hidden="true" outlineLevel="0" max="15" min="15" style="95" width="26.42"/>
    <col collapsed="false" customWidth="true" hidden="false" outlineLevel="0" max="16" min="16" style="90" width="3.28"/>
    <col collapsed="false" customWidth="true" hidden="true" outlineLevel="0" max="17" min="17" style="96" width="19.14"/>
    <col collapsed="false" customWidth="true" hidden="true" outlineLevel="0" max="18" min="18" style="195" width="0.85"/>
    <col collapsed="false" customWidth="true" hidden="true" outlineLevel="0" max="19" min="19" style="96" width="19.14"/>
    <col collapsed="false" customWidth="true" hidden="true" outlineLevel="0" max="20" min="20" style="195" width="0.85"/>
    <col collapsed="false" customWidth="true" hidden="true" outlineLevel="0" max="21" min="21" style="157" width="15.99"/>
    <col collapsed="false" customWidth="true" hidden="true" outlineLevel="0" max="22" min="22" style="157" width="0.85"/>
    <col collapsed="false" customWidth="true" hidden="true" outlineLevel="0" max="23" min="23" style="157" width="15.99"/>
    <col collapsed="false" customWidth="true" hidden="true" outlineLevel="0" max="24" min="24" style="157" width="0.85"/>
    <col collapsed="false" customWidth="true" hidden="true" outlineLevel="0" max="25" min="25" style="157" width="15.99"/>
    <col collapsed="false" customWidth="true" hidden="true" outlineLevel="0" max="26" min="26" style="157" width="0.85"/>
    <col collapsed="false" customWidth="true" hidden="true" outlineLevel="0" max="27" min="27" style="157" width="15.99"/>
    <col collapsed="false" customWidth="true" hidden="true" outlineLevel="0" max="28" min="28" style="90" width="0.85"/>
    <col collapsed="false" customWidth="true" hidden="true" outlineLevel="0" max="29" min="29" style="157" width="15.99"/>
    <col collapsed="false" customWidth="true" hidden="true" outlineLevel="0" max="30" min="30" style="90" width="0.85"/>
    <col collapsed="false" customWidth="true" hidden="true" outlineLevel="0" max="31" min="31" style="157" width="15.99"/>
    <col collapsed="false" customWidth="true" hidden="true" outlineLevel="0" max="32" min="32" style="157" width="0.56"/>
    <col collapsed="false" customWidth="true" hidden="true" outlineLevel="0" max="33" min="33" style="157" width="15.99"/>
    <col collapsed="false" customWidth="true" hidden="true" outlineLevel="0" max="34" min="34" style="157" width="1.28"/>
    <col collapsed="false" customWidth="true" hidden="true" outlineLevel="0" max="35" min="35" style="157" width="15.99"/>
    <col collapsed="false" customWidth="true" hidden="false" outlineLevel="0" max="36" min="36" style="157" width="1.13"/>
    <col collapsed="false" customWidth="true" hidden="false" outlineLevel="0" max="37" min="37" style="157" width="15.99"/>
    <col collapsed="false" customWidth="true" hidden="false" outlineLevel="0" max="38" min="38" style="157" width="1.28"/>
    <col collapsed="false" customWidth="true" hidden="false" outlineLevel="0" max="39" min="39" style="157" width="17.14"/>
    <col collapsed="false" customWidth="true" hidden="false" outlineLevel="0" max="40" min="40" style="157" width="1.7"/>
    <col collapsed="false" customWidth="true" hidden="false" outlineLevel="0" max="41" min="41" style="157" width="22.85"/>
    <col collapsed="false" customWidth="true" hidden="false" outlineLevel="0" max="42" min="42" style="157" width="1.28"/>
    <col collapsed="false" customWidth="true" hidden="false" outlineLevel="0" max="43" min="43" style="157" width="22.85"/>
    <col collapsed="false" customWidth="true" hidden="false" outlineLevel="0" max="44" min="44" style="90" width="0.85"/>
    <col collapsed="false" customWidth="true" hidden="false" outlineLevel="0" max="45" min="45" style="90" width="21.99"/>
    <col collapsed="false" customWidth="true" hidden="false" outlineLevel="0" max="46" min="46" style="90" width="2.7"/>
    <col collapsed="false" customWidth="true" hidden="false" outlineLevel="0" max="47" min="47" style="157" width="24.56"/>
    <col collapsed="false" customWidth="true" hidden="false" outlineLevel="0" max="48" min="48" style="90" width="2.7"/>
    <col collapsed="false" customWidth="true" hidden="false" outlineLevel="0" max="49" min="49" style="90" width="23.56"/>
    <col collapsed="false" customWidth="true" hidden="false" outlineLevel="0" max="50" min="50" style="90" width="0.85"/>
    <col collapsed="false" customWidth="true" hidden="false" outlineLevel="0" max="51" min="51" style="90" width="21.99"/>
    <col collapsed="false" customWidth="true" hidden="false" outlineLevel="0" max="52" min="52" style="90" width="3.28"/>
    <col collapsed="false" customWidth="true" hidden="false" outlineLevel="0" max="53" min="53" style="95" width="14.99"/>
    <col collapsed="false" customWidth="true" hidden="false" outlineLevel="0" max="54" min="54" style="90" width="0.85"/>
    <col collapsed="false" customWidth="true" hidden="true" outlineLevel="0" max="55" min="55" style="90" width="49.99"/>
    <col collapsed="false" customWidth="true" hidden="true" outlineLevel="0" max="56" min="56" style="90" width="9.06"/>
    <col collapsed="false" customWidth="false" hidden="false" outlineLevel="0" max="257" min="57" style="90" width="9.14"/>
  </cols>
  <sheetData>
    <row r="1" customFormat="false" ht="15.75" hidden="false" customHeight="false" outlineLevel="0" collapsed="false">
      <c r="A1" s="196" t="str">
        <f aca="false">+Summary!A1</f>
        <v>ENRON CAPITAL &amp; TRADE RESOURCES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  <c r="L1" s="197"/>
      <c r="M1" s="197"/>
      <c r="N1" s="104"/>
      <c r="O1" s="101"/>
      <c r="P1" s="104"/>
      <c r="Q1" s="102"/>
      <c r="R1" s="198"/>
      <c r="S1" s="102"/>
      <c r="T1" s="198"/>
      <c r="U1" s="199"/>
      <c r="V1" s="199"/>
      <c r="W1" s="199"/>
      <c r="X1" s="199"/>
      <c r="Y1" s="199"/>
      <c r="Z1" s="199"/>
      <c r="AA1" s="199"/>
      <c r="AB1" s="104"/>
      <c r="AC1" s="199"/>
      <c r="AD1" s="104"/>
      <c r="AE1" s="199"/>
      <c r="AF1" s="199"/>
      <c r="AG1" s="199"/>
      <c r="AH1" s="199"/>
      <c r="AI1" s="199"/>
      <c r="AJ1" s="199"/>
      <c r="AK1" s="199"/>
      <c r="AL1" s="199"/>
      <c r="AM1" s="199"/>
      <c r="AN1" s="199"/>
      <c r="AO1" s="199"/>
      <c r="AP1" s="199"/>
      <c r="AQ1" s="199"/>
      <c r="AR1" s="104"/>
      <c r="AS1" s="104"/>
      <c r="AT1" s="104"/>
      <c r="AU1" s="199"/>
      <c r="AV1" s="104"/>
      <c r="AW1" s="104"/>
      <c r="AX1" s="104"/>
      <c r="AY1" s="104"/>
      <c r="AZ1" s="104"/>
      <c r="BA1" s="101"/>
      <c r="BB1" s="104"/>
      <c r="BC1" s="104"/>
      <c r="BD1" s="104"/>
      <c r="BE1" s="104"/>
      <c r="BF1" s="104"/>
      <c r="BG1" s="104"/>
      <c r="BH1" s="104"/>
      <c r="BI1" s="104"/>
      <c r="BJ1" s="104"/>
      <c r="BK1" s="104"/>
      <c r="BL1" s="104"/>
      <c r="BM1" s="104"/>
      <c r="BN1" s="104"/>
      <c r="BO1" s="104"/>
      <c r="BP1" s="104"/>
      <c r="BQ1" s="104"/>
      <c r="BR1" s="104"/>
      <c r="BS1" s="104"/>
      <c r="BT1" s="104"/>
      <c r="BU1" s="104"/>
      <c r="BV1" s="104"/>
      <c r="BW1" s="104"/>
      <c r="BX1" s="104"/>
      <c r="BY1" s="104"/>
      <c r="BZ1" s="104"/>
      <c r="CA1" s="104"/>
      <c r="CB1" s="104"/>
      <c r="CC1" s="104"/>
      <c r="CD1" s="104"/>
      <c r="CE1" s="104"/>
      <c r="CF1" s="104"/>
      <c r="CG1" s="104"/>
      <c r="CH1" s="104"/>
      <c r="CI1" s="104"/>
      <c r="CJ1" s="104"/>
      <c r="CK1" s="104"/>
      <c r="CL1" s="104"/>
      <c r="CM1" s="104"/>
      <c r="CN1" s="104"/>
      <c r="CO1" s="104"/>
      <c r="CP1" s="104"/>
      <c r="CQ1" s="104"/>
      <c r="CR1" s="104"/>
      <c r="CS1" s="104"/>
      <c r="CT1" s="104"/>
      <c r="CU1" s="104"/>
      <c r="CV1" s="104"/>
      <c r="CW1" s="104"/>
      <c r="CX1" s="104"/>
      <c r="CY1" s="104"/>
      <c r="CZ1" s="104"/>
      <c r="DA1" s="104"/>
      <c r="DB1" s="104"/>
      <c r="DC1" s="104"/>
      <c r="DD1" s="104"/>
      <c r="DE1" s="104"/>
      <c r="DF1" s="104"/>
      <c r="DG1" s="104"/>
      <c r="DH1" s="104"/>
      <c r="DI1" s="104"/>
      <c r="DJ1" s="104"/>
      <c r="DK1" s="104"/>
      <c r="DL1" s="104"/>
      <c r="DM1" s="104"/>
      <c r="DN1" s="104"/>
      <c r="DO1" s="104"/>
      <c r="DP1" s="104"/>
      <c r="DQ1" s="104"/>
      <c r="DR1" s="104"/>
      <c r="DS1" s="104"/>
      <c r="DT1" s="104"/>
      <c r="DU1" s="104"/>
      <c r="DV1" s="104"/>
      <c r="DW1" s="104"/>
      <c r="DX1" s="104"/>
      <c r="DY1" s="104"/>
      <c r="DZ1" s="104"/>
      <c r="EA1" s="104"/>
      <c r="EB1" s="104"/>
      <c r="EC1" s="104"/>
      <c r="ED1" s="104"/>
      <c r="EE1" s="104"/>
      <c r="EF1" s="104"/>
      <c r="EG1" s="104"/>
      <c r="EH1" s="104"/>
      <c r="EI1" s="104"/>
      <c r="EJ1" s="104"/>
      <c r="EK1" s="104"/>
      <c r="EL1" s="104"/>
      <c r="EM1" s="104"/>
      <c r="EN1" s="104"/>
      <c r="EO1" s="104"/>
      <c r="EP1" s="104"/>
      <c r="EQ1" s="104"/>
      <c r="ER1" s="104"/>
      <c r="ES1" s="104"/>
      <c r="ET1" s="104"/>
      <c r="EU1" s="104"/>
      <c r="EV1" s="104"/>
      <c r="EW1" s="104"/>
      <c r="EX1" s="104"/>
      <c r="EY1" s="104"/>
      <c r="EZ1" s="104"/>
      <c r="FA1" s="104"/>
      <c r="FB1" s="104"/>
      <c r="FC1" s="104"/>
      <c r="FD1" s="104"/>
      <c r="FE1" s="104"/>
      <c r="FF1" s="104"/>
      <c r="FG1" s="104"/>
      <c r="FH1" s="104"/>
      <c r="FI1" s="104"/>
      <c r="FJ1" s="104"/>
      <c r="FK1" s="104"/>
      <c r="FL1" s="104"/>
      <c r="FM1" s="104"/>
      <c r="FN1" s="104"/>
      <c r="FO1" s="104"/>
      <c r="FP1" s="104"/>
      <c r="FQ1" s="104"/>
      <c r="FR1" s="104"/>
      <c r="FS1" s="104"/>
      <c r="FT1" s="104"/>
      <c r="FU1" s="104"/>
      <c r="FV1" s="104"/>
      <c r="FW1" s="104"/>
      <c r="FX1" s="104"/>
      <c r="FY1" s="104"/>
      <c r="FZ1" s="104"/>
      <c r="GA1" s="104"/>
      <c r="GB1" s="104"/>
      <c r="GC1" s="104"/>
      <c r="GD1" s="104"/>
      <c r="GE1" s="104"/>
      <c r="GF1" s="104"/>
      <c r="GG1" s="104"/>
      <c r="GH1" s="104"/>
      <c r="GI1" s="104"/>
      <c r="GJ1" s="104"/>
      <c r="GK1" s="104"/>
      <c r="GL1" s="104"/>
      <c r="GM1" s="104"/>
      <c r="GN1" s="104"/>
      <c r="GO1" s="104"/>
      <c r="GP1" s="104"/>
      <c r="GQ1" s="104"/>
      <c r="GR1" s="104"/>
      <c r="GS1" s="104"/>
      <c r="GT1" s="104"/>
      <c r="GU1" s="104"/>
      <c r="GV1" s="104"/>
      <c r="GW1" s="104"/>
      <c r="GX1" s="104"/>
      <c r="GY1" s="104"/>
      <c r="GZ1" s="104"/>
      <c r="HA1" s="104"/>
      <c r="HB1" s="104"/>
      <c r="HC1" s="104"/>
      <c r="HD1" s="104"/>
      <c r="HE1" s="104"/>
      <c r="HF1" s="104"/>
      <c r="HG1" s="104"/>
      <c r="HH1" s="104"/>
      <c r="HI1" s="104"/>
      <c r="HJ1" s="104"/>
      <c r="HK1" s="104"/>
      <c r="HL1" s="104"/>
      <c r="HM1" s="104"/>
      <c r="HN1" s="104"/>
      <c r="HO1" s="104"/>
      <c r="HP1" s="104"/>
      <c r="HQ1" s="104"/>
      <c r="HR1" s="104"/>
      <c r="HS1" s="104"/>
      <c r="HT1" s="104"/>
      <c r="HU1" s="104"/>
      <c r="HV1" s="104"/>
      <c r="HW1" s="104"/>
      <c r="HX1" s="104"/>
      <c r="HY1" s="104"/>
      <c r="HZ1" s="104"/>
      <c r="IA1" s="104"/>
      <c r="IB1" s="104"/>
      <c r="IC1" s="104"/>
      <c r="ID1" s="104"/>
      <c r="IE1" s="104"/>
      <c r="IF1" s="104"/>
      <c r="IG1" s="104"/>
      <c r="IH1" s="104"/>
      <c r="II1" s="104"/>
      <c r="IJ1" s="104"/>
      <c r="IK1" s="104"/>
      <c r="IL1" s="104"/>
      <c r="IM1" s="104"/>
      <c r="IN1" s="104"/>
      <c r="IO1" s="104"/>
      <c r="IP1" s="104"/>
      <c r="IQ1" s="104"/>
      <c r="IR1" s="104"/>
      <c r="IS1" s="104"/>
      <c r="IT1" s="104"/>
      <c r="IU1" s="104"/>
      <c r="IV1" s="104"/>
      <c r="IW1" s="104"/>
    </row>
    <row r="2" customFormat="false" ht="15.75" hidden="false" customHeight="false" outlineLevel="0" collapsed="false">
      <c r="A2" s="196" t="str">
        <f aca="false">+Summary!A2</f>
        <v>1999 TVA PEAKING PLANTS</v>
      </c>
      <c r="B2" s="197"/>
      <c r="C2" s="197"/>
      <c r="D2" s="197"/>
      <c r="E2" s="197"/>
      <c r="F2" s="197"/>
      <c r="G2" s="197"/>
      <c r="H2" s="197"/>
      <c r="I2" s="197"/>
      <c r="J2" s="197"/>
      <c r="K2" s="197"/>
      <c r="L2" s="197"/>
      <c r="M2" s="197"/>
      <c r="N2" s="104"/>
      <c r="O2" s="101"/>
      <c r="P2" s="104"/>
      <c r="Q2" s="102"/>
      <c r="R2" s="198"/>
      <c r="S2" s="102"/>
      <c r="T2" s="198"/>
      <c r="U2" s="199"/>
      <c r="V2" s="199"/>
      <c r="W2" s="199"/>
      <c r="X2" s="199"/>
      <c r="Y2" s="199"/>
      <c r="Z2" s="199"/>
      <c r="AA2" s="199"/>
      <c r="AB2" s="104"/>
      <c r="AC2" s="199"/>
      <c r="AD2" s="104"/>
      <c r="AE2" s="199"/>
      <c r="AF2" s="199"/>
      <c r="AG2" s="199"/>
      <c r="AH2" s="199"/>
      <c r="AI2" s="199"/>
      <c r="AJ2" s="199"/>
      <c r="AK2" s="199"/>
      <c r="AL2" s="199"/>
      <c r="AM2" s="199"/>
      <c r="AN2" s="199"/>
      <c r="AO2" s="199"/>
      <c r="AP2" s="199"/>
      <c r="AQ2" s="199"/>
      <c r="AR2" s="104"/>
      <c r="AS2" s="104"/>
      <c r="AT2" s="104"/>
      <c r="AU2" s="199"/>
      <c r="AV2" s="104"/>
      <c r="AW2" s="104"/>
      <c r="AX2" s="104"/>
      <c r="AY2" s="104"/>
      <c r="AZ2" s="104"/>
      <c r="BA2" s="101"/>
      <c r="BB2" s="104"/>
      <c r="BC2" s="104"/>
      <c r="BD2" s="104"/>
      <c r="BE2" s="104"/>
      <c r="BF2" s="104"/>
      <c r="BG2" s="104"/>
      <c r="BH2" s="104"/>
      <c r="BI2" s="104"/>
      <c r="BJ2" s="104"/>
      <c r="BK2" s="104"/>
      <c r="BL2" s="104"/>
      <c r="BM2" s="104"/>
      <c r="BN2" s="104"/>
      <c r="BO2" s="104"/>
      <c r="BP2" s="104"/>
      <c r="BQ2" s="104"/>
      <c r="BR2" s="104"/>
      <c r="BS2" s="104"/>
      <c r="BT2" s="104"/>
      <c r="BU2" s="104"/>
      <c r="BV2" s="104"/>
      <c r="BW2" s="104"/>
      <c r="BX2" s="104"/>
      <c r="BY2" s="104"/>
      <c r="BZ2" s="104"/>
      <c r="CA2" s="104"/>
      <c r="CB2" s="104"/>
      <c r="CC2" s="104"/>
      <c r="CD2" s="104"/>
      <c r="CE2" s="104"/>
      <c r="CF2" s="104"/>
      <c r="CG2" s="104"/>
      <c r="CH2" s="104"/>
      <c r="CI2" s="104"/>
      <c r="CJ2" s="104"/>
      <c r="CK2" s="104"/>
      <c r="CL2" s="104"/>
      <c r="CM2" s="104"/>
      <c r="CN2" s="104"/>
      <c r="CO2" s="104"/>
      <c r="CP2" s="104"/>
      <c r="CQ2" s="104"/>
      <c r="CR2" s="104"/>
      <c r="CS2" s="104"/>
      <c r="CT2" s="104"/>
      <c r="CU2" s="104"/>
      <c r="CV2" s="104"/>
      <c r="CW2" s="104"/>
      <c r="CX2" s="104"/>
      <c r="CY2" s="104"/>
      <c r="CZ2" s="104"/>
      <c r="DA2" s="104"/>
      <c r="DB2" s="104"/>
      <c r="DC2" s="104"/>
      <c r="DD2" s="104"/>
      <c r="DE2" s="104"/>
      <c r="DF2" s="104"/>
      <c r="DG2" s="104"/>
      <c r="DH2" s="104"/>
      <c r="DI2" s="104"/>
      <c r="DJ2" s="104"/>
      <c r="DK2" s="104"/>
      <c r="DL2" s="104"/>
      <c r="DM2" s="104"/>
      <c r="DN2" s="104"/>
      <c r="DO2" s="104"/>
      <c r="DP2" s="104"/>
      <c r="DQ2" s="104"/>
      <c r="DR2" s="104"/>
      <c r="DS2" s="104"/>
      <c r="DT2" s="104"/>
      <c r="DU2" s="104"/>
      <c r="DV2" s="104"/>
      <c r="DW2" s="104"/>
      <c r="DX2" s="104"/>
      <c r="DY2" s="104"/>
      <c r="DZ2" s="104"/>
      <c r="EA2" s="104"/>
      <c r="EB2" s="104"/>
      <c r="EC2" s="104"/>
      <c r="ED2" s="104"/>
      <c r="EE2" s="104"/>
      <c r="EF2" s="104"/>
      <c r="EG2" s="104"/>
      <c r="EH2" s="104"/>
      <c r="EI2" s="104"/>
      <c r="EJ2" s="104"/>
      <c r="EK2" s="104"/>
      <c r="EL2" s="104"/>
      <c r="EM2" s="104"/>
      <c r="EN2" s="104"/>
      <c r="EO2" s="104"/>
      <c r="EP2" s="104"/>
      <c r="EQ2" s="104"/>
      <c r="ER2" s="104"/>
      <c r="ES2" s="104"/>
      <c r="ET2" s="104"/>
      <c r="EU2" s="104"/>
      <c r="EV2" s="104"/>
      <c r="EW2" s="104"/>
      <c r="EX2" s="104"/>
      <c r="EY2" s="104"/>
      <c r="EZ2" s="104"/>
      <c r="FA2" s="104"/>
      <c r="FB2" s="104"/>
      <c r="FC2" s="104"/>
      <c r="FD2" s="104"/>
      <c r="FE2" s="104"/>
      <c r="FF2" s="104"/>
      <c r="FG2" s="104"/>
      <c r="FH2" s="104"/>
      <c r="FI2" s="104"/>
      <c r="FJ2" s="104"/>
      <c r="FK2" s="104"/>
      <c r="FL2" s="104"/>
      <c r="FM2" s="104"/>
      <c r="FN2" s="104"/>
      <c r="FO2" s="104"/>
      <c r="FP2" s="104"/>
      <c r="FQ2" s="104"/>
      <c r="FR2" s="104"/>
      <c r="FS2" s="104"/>
      <c r="FT2" s="104"/>
      <c r="FU2" s="104"/>
      <c r="FV2" s="104"/>
      <c r="FW2" s="104"/>
      <c r="FX2" s="104"/>
      <c r="FY2" s="104"/>
      <c r="FZ2" s="104"/>
      <c r="GA2" s="104"/>
      <c r="GB2" s="104"/>
      <c r="GC2" s="104"/>
      <c r="GD2" s="104"/>
      <c r="GE2" s="104"/>
      <c r="GF2" s="104"/>
      <c r="GG2" s="104"/>
      <c r="GH2" s="104"/>
      <c r="GI2" s="104"/>
      <c r="GJ2" s="104"/>
      <c r="GK2" s="104"/>
      <c r="GL2" s="104"/>
      <c r="GM2" s="104"/>
      <c r="GN2" s="104"/>
      <c r="GO2" s="104"/>
      <c r="GP2" s="104"/>
      <c r="GQ2" s="104"/>
      <c r="GR2" s="104"/>
      <c r="GS2" s="104"/>
      <c r="GT2" s="104"/>
      <c r="GU2" s="104"/>
      <c r="GV2" s="104"/>
      <c r="GW2" s="104"/>
      <c r="GX2" s="104"/>
      <c r="GY2" s="104"/>
      <c r="GZ2" s="104"/>
      <c r="HA2" s="104"/>
      <c r="HB2" s="104"/>
      <c r="HC2" s="104"/>
      <c r="HD2" s="104"/>
      <c r="HE2" s="104"/>
      <c r="HF2" s="104"/>
      <c r="HG2" s="104"/>
      <c r="HH2" s="104"/>
      <c r="HI2" s="104"/>
      <c r="HJ2" s="104"/>
      <c r="HK2" s="104"/>
      <c r="HL2" s="104"/>
      <c r="HM2" s="104"/>
      <c r="HN2" s="104"/>
      <c r="HO2" s="104"/>
      <c r="HP2" s="104"/>
      <c r="HQ2" s="104"/>
      <c r="HR2" s="104"/>
      <c r="HS2" s="104"/>
      <c r="HT2" s="104"/>
      <c r="HU2" s="104"/>
      <c r="HV2" s="104"/>
      <c r="HW2" s="104"/>
      <c r="HX2" s="104"/>
      <c r="HY2" s="104"/>
      <c r="HZ2" s="104"/>
      <c r="IA2" s="104"/>
      <c r="IB2" s="104"/>
      <c r="IC2" s="104"/>
      <c r="ID2" s="104"/>
      <c r="IE2" s="104"/>
      <c r="IF2" s="104"/>
      <c r="IG2" s="104"/>
      <c r="IH2" s="104"/>
      <c r="II2" s="104"/>
      <c r="IJ2" s="104"/>
      <c r="IK2" s="104"/>
      <c r="IL2" s="104"/>
      <c r="IM2" s="104"/>
      <c r="IN2" s="104"/>
      <c r="IO2" s="104"/>
      <c r="IP2" s="104"/>
      <c r="IQ2" s="104"/>
      <c r="IR2" s="104"/>
      <c r="IS2" s="104"/>
      <c r="IT2" s="104"/>
      <c r="IU2" s="104"/>
      <c r="IV2" s="104"/>
      <c r="IW2" s="104"/>
    </row>
    <row r="3" customFormat="false" ht="15.75" hidden="false" customHeight="false" outlineLevel="0" collapsed="false">
      <c r="A3" s="200" t="s">
        <v>363</v>
      </c>
      <c r="B3" s="197"/>
      <c r="C3" s="197"/>
      <c r="D3" s="197"/>
      <c r="E3" s="197"/>
      <c r="F3" s="197"/>
      <c r="G3" s="197"/>
      <c r="H3" s="197"/>
      <c r="I3" s="197"/>
      <c r="J3" s="197"/>
      <c r="K3" s="197" t="n">
        <v>442</v>
      </c>
      <c r="L3" s="197" t="s">
        <v>76</v>
      </c>
      <c r="M3" s="197"/>
      <c r="N3" s="104"/>
      <c r="O3" s="101"/>
      <c r="P3" s="104"/>
      <c r="Q3" s="102"/>
      <c r="R3" s="198"/>
      <c r="S3" s="102"/>
      <c r="T3" s="198"/>
      <c r="U3" s="199"/>
      <c r="V3" s="199"/>
      <c r="W3" s="199"/>
      <c r="X3" s="199"/>
      <c r="Y3" s="199"/>
      <c r="Z3" s="199"/>
      <c r="AA3" s="199"/>
      <c r="AB3" s="104"/>
      <c r="AC3" s="199"/>
      <c r="AD3" s="104"/>
      <c r="AE3" s="199"/>
      <c r="AF3" s="199"/>
      <c r="AG3" s="199"/>
      <c r="AH3" s="199"/>
      <c r="AI3" s="199"/>
      <c r="AJ3" s="199"/>
      <c r="AK3" s="199"/>
      <c r="AL3" s="199"/>
      <c r="AM3" s="199"/>
      <c r="AN3" s="199"/>
      <c r="AO3" s="199"/>
      <c r="AP3" s="199"/>
      <c r="AQ3" s="199"/>
      <c r="AR3" s="104"/>
      <c r="AS3" s="104"/>
      <c r="AT3" s="104"/>
      <c r="AU3" s="199"/>
      <c r="AV3" s="104"/>
      <c r="AW3" s="201" t="n">
        <f aca="true">NOW()</f>
        <v>45926.9394541028</v>
      </c>
      <c r="AX3" s="104"/>
      <c r="AY3" s="201"/>
      <c r="AZ3" s="104"/>
      <c r="BA3" s="202" t="str">
        <f aca="false">Summary!A4</f>
        <v>Revision # 56</v>
      </c>
      <c r="BB3" s="104"/>
      <c r="BC3" s="104"/>
      <c r="BD3" s="104"/>
      <c r="BE3" s="104"/>
      <c r="BF3" s="104"/>
      <c r="BG3" s="104"/>
      <c r="BH3" s="104"/>
      <c r="BI3" s="104"/>
      <c r="BJ3" s="104"/>
      <c r="BK3" s="104"/>
      <c r="BL3" s="104"/>
      <c r="BM3" s="104"/>
      <c r="BN3" s="104"/>
      <c r="BO3" s="104"/>
      <c r="BP3" s="104"/>
      <c r="BQ3" s="104"/>
      <c r="BR3" s="104"/>
      <c r="BS3" s="104"/>
      <c r="BT3" s="104"/>
      <c r="BU3" s="104"/>
      <c r="BV3" s="104"/>
      <c r="BW3" s="104"/>
      <c r="BX3" s="104"/>
      <c r="BY3" s="104"/>
      <c r="BZ3" s="104"/>
      <c r="CA3" s="104"/>
      <c r="CB3" s="104"/>
      <c r="CC3" s="104"/>
      <c r="CD3" s="104"/>
      <c r="CE3" s="104"/>
      <c r="CF3" s="104"/>
      <c r="CG3" s="104"/>
      <c r="CH3" s="104"/>
      <c r="CI3" s="104"/>
      <c r="CJ3" s="104"/>
      <c r="CK3" s="104"/>
      <c r="CL3" s="104"/>
      <c r="CM3" s="104"/>
      <c r="CN3" s="104"/>
      <c r="CO3" s="104"/>
      <c r="CP3" s="104"/>
      <c r="CQ3" s="104"/>
      <c r="CR3" s="104"/>
      <c r="CS3" s="104"/>
      <c r="CT3" s="104"/>
      <c r="CU3" s="104"/>
      <c r="CV3" s="104"/>
      <c r="CW3" s="104"/>
      <c r="CX3" s="104"/>
      <c r="CY3" s="104"/>
      <c r="CZ3" s="104"/>
      <c r="DA3" s="104"/>
      <c r="DB3" s="104"/>
      <c r="DC3" s="104"/>
      <c r="DD3" s="104"/>
      <c r="DE3" s="104"/>
      <c r="DF3" s="104"/>
      <c r="DG3" s="104"/>
      <c r="DH3" s="104"/>
      <c r="DI3" s="104"/>
      <c r="DJ3" s="104"/>
      <c r="DK3" s="104"/>
      <c r="DL3" s="104"/>
      <c r="DM3" s="104"/>
      <c r="DN3" s="104"/>
      <c r="DO3" s="104"/>
      <c r="DP3" s="104"/>
      <c r="DQ3" s="104"/>
      <c r="DR3" s="104"/>
      <c r="DS3" s="104"/>
      <c r="DT3" s="104"/>
      <c r="DU3" s="104"/>
      <c r="DV3" s="104"/>
      <c r="DW3" s="104"/>
      <c r="DX3" s="104"/>
      <c r="DY3" s="104"/>
      <c r="DZ3" s="104"/>
      <c r="EA3" s="104"/>
      <c r="EB3" s="104"/>
      <c r="EC3" s="104"/>
      <c r="ED3" s="104"/>
      <c r="EE3" s="104"/>
      <c r="EF3" s="104"/>
      <c r="EG3" s="104"/>
      <c r="EH3" s="104"/>
      <c r="EI3" s="104"/>
      <c r="EJ3" s="104"/>
      <c r="EK3" s="104"/>
      <c r="EL3" s="104"/>
      <c r="EM3" s="104"/>
      <c r="EN3" s="104"/>
      <c r="EO3" s="104"/>
      <c r="EP3" s="104"/>
      <c r="EQ3" s="104"/>
      <c r="ER3" s="104"/>
      <c r="ES3" s="104"/>
      <c r="ET3" s="104"/>
      <c r="EU3" s="104"/>
      <c r="EV3" s="104"/>
      <c r="EW3" s="104"/>
      <c r="EX3" s="104"/>
      <c r="EY3" s="104"/>
      <c r="EZ3" s="104"/>
      <c r="FA3" s="104"/>
      <c r="FB3" s="104"/>
      <c r="FC3" s="104"/>
      <c r="FD3" s="104"/>
      <c r="FE3" s="104"/>
      <c r="FF3" s="104"/>
      <c r="FG3" s="104"/>
      <c r="FH3" s="104"/>
      <c r="FI3" s="104"/>
      <c r="FJ3" s="104"/>
      <c r="FK3" s="104"/>
      <c r="FL3" s="104"/>
      <c r="FM3" s="104"/>
      <c r="FN3" s="104"/>
      <c r="FO3" s="104"/>
      <c r="FP3" s="104"/>
      <c r="FQ3" s="104"/>
      <c r="FR3" s="104"/>
      <c r="FS3" s="104"/>
      <c r="FT3" s="104"/>
      <c r="FU3" s="104"/>
      <c r="FV3" s="104"/>
      <c r="FW3" s="104"/>
      <c r="FX3" s="104"/>
      <c r="FY3" s="104"/>
      <c r="FZ3" s="104"/>
      <c r="GA3" s="104"/>
      <c r="GB3" s="104"/>
      <c r="GC3" s="104"/>
      <c r="GD3" s="104"/>
      <c r="GE3" s="104"/>
      <c r="GF3" s="104"/>
      <c r="GG3" s="104"/>
      <c r="GH3" s="104"/>
      <c r="GI3" s="104"/>
      <c r="GJ3" s="104"/>
      <c r="GK3" s="104"/>
      <c r="GL3" s="104"/>
      <c r="GM3" s="104"/>
      <c r="GN3" s="104"/>
      <c r="GO3" s="104"/>
      <c r="GP3" s="104"/>
      <c r="GQ3" s="104"/>
      <c r="GR3" s="104"/>
      <c r="GS3" s="104"/>
      <c r="GT3" s="104"/>
      <c r="GU3" s="104"/>
      <c r="GV3" s="104"/>
      <c r="GW3" s="104"/>
      <c r="GX3" s="104"/>
      <c r="GY3" s="104"/>
      <c r="GZ3" s="104"/>
      <c r="HA3" s="104"/>
      <c r="HB3" s="104"/>
      <c r="HC3" s="104"/>
      <c r="HD3" s="104"/>
      <c r="HE3" s="104"/>
      <c r="HF3" s="104"/>
      <c r="HG3" s="104"/>
      <c r="HH3" s="104"/>
      <c r="HI3" s="104"/>
      <c r="HJ3" s="104"/>
      <c r="HK3" s="104"/>
      <c r="HL3" s="104"/>
      <c r="HM3" s="104"/>
      <c r="HN3" s="104"/>
      <c r="HO3" s="104"/>
      <c r="HP3" s="104"/>
      <c r="HQ3" s="104"/>
      <c r="HR3" s="104"/>
      <c r="HS3" s="104"/>
      <c r="HT3" s="104"/>
      <c r="HU3" s="104"/>
      <c r="HV3" s="104"/>
      <c r="HW3" s="104"/>
      <c r="HX3" s="104"/>
      <c r="HY3" s="104"/>
      <c r="HZ3" s="104"/>
      <c r="IA3" s="104"/>
      <c r="IB3" s="104"/>
      <c r="IC3" s="104"/>
      <c r="ID3" s="104"/>
      <c r="IE3" s="104"/>
      <c r="IF3" s="104"/>
      <c r="IG3" s="104"/>
      <c r="IH3" s="104"/>
      <c r="II3" s="104"/>
      <c r="IJ3" s="104"/>
      <c r="IK3" s="104"/>
      <c r="IL3" s="104"/>
      <c r="IM3" s="104"/>
      <c r="IN3" s="104"/>
      <c r="IO3" s="104"/>
      <c r="IP3" s="104"/>
      <c r="IQ3" s="104"/>
      <c r="IR3" s="104"/>
      <c r="IS3" s="104"/>
      <c r="IT3" s="104"/>
      <c r="IU3" s="104"/>
      <c r="IV3" s="104"/>
      <c r="IW3" s="104"/>
    </row>
    <row r="4" customFormat="false" ht="15.75" hidden="false" customHeight="false" outlineLevel="0" collapsed="false">
      <c r="A4" s="203"/>
      <c r="B4" s="204"/>
      <c r="C4" s="205"/>
      <c r="D4" s="104"/>
      <c r="E4" s="104"/>
      <c r="F4" s="104"/>
      <c r="G4" s="116"/>
      <c r="H4" s="104"/>
      <c r="I4" s="104"/>
      <c r="J4" s="104"/>
      <c r="K4" s="101"/>
      <c r="L4" s="104"/>
      <c r="M4" s="101"/>
      <c r="N4" s="104"/>
      <c r="O4" s="101"/>
      <c r="P4" s="104"/>
      <c r="Q4" s="102"/>
      <c r="R4" s="206"/>
      <c r="S4" s="102"/>
      <c r="T4" s="206"/>
      <c r="U4" s="111" t="s">
        <v>68</v>
      </c>
      <c r="V4" s="102"/>
      <c r="W4" s="111" t="s">
        <v>68</v>
      </c>
      <c r="X4" s="102"/>
      <c r="Y4" s="111" t="s">
        <v>68</v>
      </c>
      <c r="Z4" s="102"/>
      <c r="AA4" s="111" t="s">
        <v>68</v>
      </c>
      <c r="AB4" s="102"/>
      <c r="AC4" s="111" t="s">
        <v>68</v>
      </c>
      <c r="AD4" s="102"/>
      <c r="AE4" s="111" t="s">
        <v>68</v>
      </c>
      <c r="AF4" s="111"/>
      <c r="AG4" s="111" t="s">
        <v>68</v>
      </c>
      <c r="AH4" s="111"/>
      <c r="AI4" s="111" t="s">
        <v>68</v>
      </c>
      <c r="AJ4" s="111"/>
      <c r="AK4" s="111" t="s">
        <v>68</v>
      </c>
      <c r="AL4" s="111"/>
      <c r="AM4" s="111" t="s">
        <v>68</v>
      </c>
      <c r="AN4" s="111"/>
      <c r="AO4" s="111" t="s">
        <v>68</v>
      </c>
      <c r="AP4" s="111"/>
      <c r="AQ4" s="111" t="s">
        <v>68</v>
      </c>
      <c r="AR4" s="104"/>
      <c r="AS4" s="113"/>
      <c r="AT4" s="104"/>
      <c r="AU4" s="111" t="s">
        <v>146</v>
      </c>
      <c r="AV4" s="104"/>
      <c r="AW4" s="113"/>
      <c r="AX4" s="104"/>
      <c r="AY4" s="113"/>
      <c r="AZ4" s="104"/>
      <c r="BA4" s="113"/>
      <c r="BB4" s="104"/>
      <c r="BC4" s="104"/>
      <c r="BD4" s="104"/>
      <c r="BE4" s="104"/>
      <c r="BF4" s="104"/>
      <c r="BG4" s="104"/>
      <c r="BH4" s="104"/>
      <c r="BI4" s="104"/>
      <c r="BJ4" s="104"/>
      <c r="BK4" s="104"/>
      <c r="BL4" s="104"/>
      <c r="BM4" s="104"/>
      <c r="BN4" s="104"/>
      <c r="BO4" s="104"/>
      <c r="BP4" s="104"/>
      <c r="BQ4" s="104"/>
      <c r="BR4" s="104"/>
      <c r="BS4" s="104"/>
      <c r="BT4" s="104"/>
      <c r="BU4" s="104"/>
      <c r="BV4" s="104"/>
      <c r="BW4" s="104"/>
      <c r="BX4" s="104"/>
      <c r="BY4" s="104"/>
      <c r="BZ4" s="104"/>
      <c r="CA4" s="104"/>
      <c r="CB4" s="104"/>
      <c r="CC4" s="104"/>
      <c r="CD4" s="104"/>
      <c r="CE4" s="104"/>
      <c r="CF4" s="104"/>
      <c r="CG4" s="104"/>
      <c r="CH4" s="104"/>
      <c r="CI4" s="104"/>
      <c r="CJ4" s="104"/>
      <c r="CK4" s="104"/>
      <c r="CL4" s="104"/>
      <c r="CM4" s="104"/>
      <c r="CN4" s="104"/>
      <c r="CO4" s="104"/>
      <c r="CP4" s="104"/>
      <c r="CQ4" s="104"/>
      <c r="CR4" s="104"/>
      <c r="CS4" s="104"/>
      <c r="CT4" s="104"/>
      <c r="CU4" s="104"/>
      <c r="CV4" s="104"/>
      <c r="CW4" s="104"/>
      <c r="CX4" s="104"/>
      <c r="CY4" s="104"/>
      <c r="CZ4" s="104"/>
      <c r="DA4" s="104"/>
      <c r="DB4" s="104"/>
      <c r="DC4" s="104"/>
      <c r="DD4" s="104"/>
      <c r="DE4" s="104"/>
      <c r="DF4" s="104"/>
      <c r="DG4" s="104"/>
      <c r="DH4" s="104"/>
      <c r="DI4" s="104"/>
      <c r="DJ4" s="104"/>
      <c r="DK4" s="104"/>
      <c r="DL4" s="104"/>
      <c r="DM4" s="104"/>
      <c r="DN4" s="104"/>
      <c r="DO4" s="104"/>
      <c r="DP4" s="104"/>
      <c r="DQ4" s="104"/>
      <c r="DR4" s="104"/>
      <c r="DS4" s="104"/>
      <c r="DT4" s="104"/>
      <c r="DU4" s="104"/>
      <c r="DV4" s="104"/>
      <c r="DW4" s="104"/>
      <c r="DX4" s="104"/>
      <c r="DY4" s="104"/>
      <c r="DZ4" s="104"/>
      <c r="EA4" s="104"/>
      <c r="EB4" s="104"/>
      <c r="EC4" s="104"/>
      <c r="ED4" s="104"/>
      <c r="EE4" s="104"/>
      <c r="EF4" s="104"/>
      <c r="EG4" s="104"/>
      <c r="EH4" s="104"/>
      <c r="EI4" s="104"/>
      <c r="EJ4" s="104"/>
      <c r="EK4" s="104"/>
      <c r="EL4" s="104"/>
      <c r="EM4" s="104"/>
      <c r="EN4" s="104"/>
      <c r="EO4" s="104"/>
      <c r="EP4" s="104"/>
      <c r="EQ4" s="104"/>
      <c r="ER4" s="104"/>
      <c r="ES4" s="104"/>
      <c r="ET4" s="104"/>
      <c r="EU4" s="104"/>
      <c r="EV4" s="104"/>
      <c r="EW4" s="104"/>
      <c r="EX4" s="104"/>
      <c r="EY4" s="104"/>
      <c r="EZ4" s="104"/>
      <c r="FA4" s="104"/>
      <c r="FB4" s="104"/>
      <c r="FC4" s="104"/>
      <c r="FD4" s="104"/>
      <c r="FE4" s="104"/>
      <c r="FF4" s="104"/>
      <c r="FG4" s="104"/>
      <c r="FH4" s="104"/>
      <c r="FI4" s="104"/>
      <c r="FJ4" s="104"/>
      <c r="FK4" s="104"/>
      <c r="FL4" s="104"/>
      <c r="FM4" s="104"/>
      <c r="FN4" s="104"/>
      <c r="FO4" s="104"/>
      <c r="FP4" s="104"/>
      <c r="FQ4" s="104"/>
      <c r="FR4" s="104"/>
      <c r="FS4" s="104"/>
      <c r="FT4" s="104"/>
      <c r="FU4" s="104"/>
      <c r="FV4" s="104"/>
      <c r="FW4" s="104"/>
      <c r="FX4" s="104"/>
      <c r="FY4" s="104"/>
      <c r="FZ4" s="104"/>
      <c r="GA4" s="104"/>
      <c r="GB4" s="104"/>
      <c r="GC4" s="104"/>
      <c r="GD4" s="104"/>
      <c r="GE4" s="104"/>
      <c r="GF4" s="104"/>
      <c r="GG4" s="104"/>
      <c r="GH4" s="104"/>
      <c r="GI4" s="104"/>
      <c r="GJ4" s="104"/>
      <c r="GK4" s="104"/>
      <c r="GL4" s="104"/>
      <c r="GM4" s="104"/>
      <c r="GN4" s="104"/>
      <c r="GO4" s="104"/>
      <c r="GP4" s="104"/>
      <c r="GQ4" s="104"/>
      <c r="GR4" s="104"/>
      <c r="GS4" s="104"/>
      <c r="GT4" s="104"/>
      <c r="GU4" s="104"/>
      <c r="GV4" s="104"/>
      <c r="GW4" s="104"/>
      <c r="GX4" s="104"/>
      <c r="GY4" s="104"/>
      <c r="GZ4" s="104"/>
      <c r="HA4" s="104"/>
      <c r="HB4" s="104"/>
      <c r="HC4" s="104"/>
      <c r="HD4" s="104"/>
      <c r="HE4" s="104"/>
      <c r="HF4" s="104"/>
      <c r="HG4" s="104"/>
      <c r="HH4" s="104"/>
      <c r="HI4" s="104"/>
      <c r="HJ4" s="104"/>
      <c r="HK4" s="104"/>
      <c r="HL4" s="104"/>
      <c r="HM4" s="104"/>
      <c r="HN4" s="104"/>
      <c r="HO4" s="104"/>
      <c r="HP4" s="104"/>
      <c r="HQ4" s="104"/>
      <c r="HR4" s="104"/>
      <c r="HS4" s="104"/>
      <c r="HT4" s="104"/>
      <c r="HU4" s="104"/>
      <c r="HV4" s="104"/>
      <c r="HW4" s="104"/>
      <c r="HX4" s="104"/>
      <c r="HY4" s="104"/>
      <c r="HZ4" s="104"/>
      <c r="IA4" s="104"/>
      <c r="IB4" s="104"/>
      <c r="IC4" s="104"/>
      <c r="ID4" s="104"/>
      <c r="IE4" s="104"/>
      <c r="IF4" s="104"/>
      <c r="IG4" s="104"/>
      <c r="IH4" s="104"/>
      <c r="II4" s="104"/>
      <c r="IJ4" s="104"/>
      <c r="IK4" s="104"/>
      <c r="IL4" s="104"/>
      <c r="IM4" s="104"/>
      <c r="IN4" s="104"/>
      <c r="IO4" s="104"/>
      <c r="IP4" s="104"/>
      <c r="IQ4" s="104"/>
      <c r="IR4" s="104"/>
      <c r="IS4" s="104"/>
      <c r="IT4" s="104"/>
      <c r="IU4" s="104"/>
      <c r="IV4" s="104"/>
      <c r="IW4" s="104"/>
    </row>
    <row r="5" customFormat="false" ht="15.75" hidden="false" customHeight="false" outlineLevel="0" collapsed="false">
      <c r="A5" s="207"/>
      <c r="B5" s="104"/>
      <c r="C5" s="104"/>
      <c r="D5" s="104"/>
      <c r="E5" s="104"/>
      <c r="F5" s="104"/>
      <c r="G5" s="116"/>
      <c r="H5" s="104"/>
      <c r="I5" s="104"/>
      <c r="J5" s="104"/>
      <c r="K5" s="113" t="s">
        <v>147</v>
      </c>
      <c r="L5" s="104"/>
      <c r="M5" s="113"/>
      <c r="N5" s="104"/>
      <c r="O5" s="113" t="s">
        <v>147</v>
      </c>
      <c r="P5" s="104"/>
      <c r="Q5" s="111" t="s">
        <v>70</v>
      </c>
      <c r="R5" s="206"/>
      <c r="S5" s="111" t="s">
        <v>70</v>
      </c>
      <c r="T5" s="206"/>
      <c r="U5" s="111" t="s">
        <v>148</v>
      </c>
      <c r="V5" s="102"/>
      <c r="W5" s="111" t="s">
        <v>148</v>
      </c>
      <c r="X5" s="102"/>
      <c r="Y5" s="111" t="s">
        <v>148</v>
      </c>
      <c r="Z5" s="102"/>
      <c r="AA5" s="111" t="s">
        <v>148</v>
      </c>
      <c r="AB5" s="102"/>
      <c r="AC5" s="111" t="s">
        <v>148</v>
      </c>
      <c r="AD5" s="102"/>
      <c r="AE5" s="111" t="s">
        <v>148</v>
      </c>
      <c r="AF5" s="111"/>
      <c r="AG5" s="111" t="s">
        <v>148</v>
      </c>
      <c r="AH5" s="111"/>
      <c r="AI5" s="111" t="s">
        <v>148</v>
      </c>
      <c r="AJ5" s="111"/>
      <c r="AK5" s="111" t="s">
        <v>148</v>
      </c>
      <c r="AL5" s="111"/>
      <c r="AM5" s="111" t="s">
        <v>148</v>
      </c>
      <c r="AN5" s="111"/>
      <c r="AO5" s="111" t="s">
        <v>148</v>
      </c>
      <c r="AP5" s="111"/>
      <c r="AQ5" s="111" t="s">
        <v>148</v>
      </c>
      <c r="AR5" s="104"/>
      <c r="AS5" s="113" t="s">
        <v>70</v>
      </c>
      <c r="AT5" s="104"/>
      <c r="AU5" s="111" t="s">
        <v>149</v>
      </c>
      <c r="AV5" s="104"/>
      <c r="AW5" s="113" t="s">
        <v>150</v>
      </c>
      <c r="AX5" s="104"/>
      <c r="AY5" s="113" t="s">
        <v>151</v>
      </c>
      <c r="AZ5" s="104"/>
      <c r="BA5" s="113"/>
      <c r="BB5" s="104"/>
      <c r="BC5" s="104"/>
      <c r="BD5" s="104"/>
      <c r="BE5" s="104"/>
      <c r="BF5" s="104"/>
      <c r="BG5" s="104"/>
      <c r="BH5" s="104"/>
      <c r="BI5" s="104"/>
      <c r="BJ5" s="104"/>
      <c r="BK5" s="104"/>
      <c r="BL5" s="104"/>
      <c r="BM5" s="104"/>
      <c r="BN5" s="104"/>
      <c r="BO5" s="104"/>
      <c r="BP5" s="104"/>
      <c r="BQ5" s="104"/>
      <c r="BR5" s="104"/>
      <c r="BS5" s="104"/>
      <c r="BT5" s="104"/>
      <c r="BU5" s="104"/>
      <c r="BV5" s="104"/>
      <c r="BW5" s="104"/>
      <c r="BX5" s="104"/>
      <c r="BY5" s="104"/>
      <c r="BZ5" s="104"/>
      <c r="CA5" s="104"/>
      <c r="CB5" s="104"/>
      <c r="CC5" s="104"/>
      <c r="CD5" s="104"/>
      <c r="CE5" s="104"/>
      <c r="CF5" s="104"/>
      <c r="CG5" s="104"/>
      <c r="CH5" s="104"/>
      <c r="CI5" s="104"/>
      <c r="CJ5" s="104"/>
      <c r="CK5" s="104"/>
      <c r="CL5" s="104"/>
      <c r="CM5" s="104"/>
      <c r="CN5" s="104"/>
      <c r="CO5" s="104"/>
      <c r="CP5" s="104"/>
      <c r="CQ5" s="104"/>
      <c r="CR5" s="104"/>
      <c r="CS5" s="104"/>
      <c r="CT5" s="104"/>
      <c r="CU5" s="104"/>
      <c r="CV5" s="104"/>
      <c r="CW5" s="104"/>
      <c r="CX5" s="104"/>
      <c r="CY5" s="104"/>
      <c r="CZ5" s="104"/>
      <c r="DA5" s="104"/>
      <c r="DB5" s="104"/>
      <c r="DC5" s="104"/>
      <c r="DD5" s="104"/>
      <c r="DE5" s="104"/>
      <c r="DF5" s="104"/>
      <c r="DG5" s="104"/>
      <c r="DH5" s="104"/>
      <c r="DI5" s="104"/>
      <c r="DJ5" s="104"/>
      <c r="DK5" s="104"/>
      <c r="DL5" s="104"/>
      <c r="DM5" s="104"/>
      <c r="DN5" s="104"/>
      <c r="DO5" s="104"/>
      <c r="DP5" s="104"/>
      <c r="DQ5" s="104"/>
      <c r="DR5" s="104"/>
      <c r="DS5" s="104"/>
      <c r="DT5" s="104"/>
      <c r="DU5" s="104"/>
      <c r="DV5" s="104"/>
      <c r="DW5" s="104"/>
      <c r="DX5" s="104"/>
      <c r="DY5" s="104"/>
      <c r="DZ5" s="104"/>
      <c r="EA5" s="104"/>
      <c r="EB5" s="104"/>
      <c r="EC5" s="104"/>
      <c r="ED5" s="104"/>
      <c r="EE5" s="104"/>
      <c r="EF5" s="104"/>
      <c r="EG5" s="104"/>
      <c r="EH5" s="104"/>
      <c r="EI5" s="104"/>
      <c r="EJ5" s="104"/>
      <c r="EK5" s="104"/>
      <c r="EL5" s="104"/>
      <c r="EM5" s="104"/>
      <c r="EN5" s="104"/>
      <c r="EO5" s="104"/>
      <c r="EP5" s="104"/>
      <c r="EQ5" s="104"/>
      <c r="ER5" s="104"/>
      <c r="ES5" s="104"/>
      <c r="ET5" s="104"/>
      <c r="EU5" s="104"/>
      <c r="EV5" s="104"/>
      <c r="EW5" s="104"/>
      <c r="EX5" s="104"/>
      <c r="EY5" s="104"/>
      <c r="EZ5" s="104"/>
      <c r="FA5" s="104"/>
      <c r="FB5" s="104"/>
      <c r="FC5" s="104"/>
      <c r="FD5" s="104"/>
      <c r="FE5" s="104"/>
      <c r="FF5" s="104"/>
      <c r="FG5" s="104"/>
      <c r="FH5" s="104"/>
      <c r="FI5" s="104"/>
      <c r="FJ5" s="104"/>
      <c r="FK5" s="104"/>
      <c r="FL5" s="104"/>
      <c r="FM5" s="104"/>
      <c r="FN5" s="104"/>
      <c r="FO5" s="104"/>
      <c r="FP5" s="104"/>
      <c r="FQ5" s="104"/>
      <c r="FR5" s="104"/>
      <c r="FS5" s="104"/>
      <c r="FT5" s="104"/>
      <c r="FU5" s="104"/>
      <c r="FV5" s="104"/>
      <c r="FW5" s="104"/>
      <c r="FX5" s="104"/>
      <c r="FY5" s="104"/>
      <c r="FZ5" s="104"/>
      <c r="GA5" s="104"/>
      <c r="GB5" s="104"/>
      <c r="GC5" s="104"/>
      <c r="GD5" s="104"/>
      <c r="GE5" s="104"/>
      <c r="GF5" s="104"/>
      <c r="GG5" s="104"/>
      <c r="GH5" s="104"/>
      <c r="GI5" s="104"/>
      <c r="GJ5" s="104"/>
      <c r="GK5" s="104"/>
      <c r="GL5" s="104"/>
      <c r="GM5" s="104"/>
      <c r="GN5" s="104"/>
      <c r="GO5" s="104"/>
      <c r="GP5" s="104"/>
      <c r="GQ5" s="104"/>
      <c r="GR5" s="104"/>
      <c r="GS5" s="104"/>
      <c r="GT5" s="104"/>
      <c r="GU5" s="104"/>
      <c r="GV5" s="104"/>
      <c r="GW5" s="104"/>
      <c r="GX5" s="104"/>
      <c r="GY5" s="104"/>
      <c r="GZ5" s="104"/>
      <c r="HA5" s="104"/>
      <c r="HB5" s="104"/>
      <c r="HC5" s="104"/>
      <c r="HD5" s="104"/>
      <c r="HE5" s="104"/>
      <c r="HF5" s="104"/>
      <c r="HG5" s="104"/>
      <c r="HH5" s="104"/>
      <c r="HI5" s="104"/>
      <c r="HJ5" s="104"/>
      <c r="HK5" s="104"/>
      <c r="HL5" s="104"/>
      <c r="HM5" s="104"/>
      <c r="HN5" s="104"/>
      <c r="HO5" s="104"/>
      <c r="HP5" s="104"/>
      <c r="HQ5" s="104"/>
      <c r="HR5" s="104"/>
      <c r="HS5" s="104"/>
      <c r="HT5" s="104"/>
      <c r="HU5" s="104"/>
      <c r="HV5" s="104"/>
      <c r="HW5" s="104"/>
      <c r="HX5" s="104"/>
      <c r="HY5" s="104"/>
      <c r="HZ5" s="104"/>
      <c r="IA5" s="104"/>
      <c r="IB5" s="104"/>
      <c r="IC5" s="104"/>
      <c r="ID5" s="104"/>
      <c r="IE5" s="104"/>
      <c r="IF5" s="104"/>
      <c r="IG5" s="104"/>
      <c r="IH5" s="104"/>
      <c r="II5" s="104"/>
      <c r="IJ5" s="104"/>
      <c r="IK5" s="104"/>
      <c r="IL5" s="104"/>
      <c r="IM5" s="104"/>
      <c r="IN5" s="104"/>
      <c r="IO5" s="104"/>
      <c r="IP5" s="104"/>
      <c r="IQ5" s="104"/>
      <c r="IR5" s="104"/>
      <c r="IS5" s="104"/>
      <c r="IT5" s="104"/>
      <c r="IU5" s="104"/>
      <c r="IV5" s="104"/>
      <c r="IW5" s="104"/>
    </row>
    <row r="6" customFormat="false" ht="15.75" hidden="false" customHeight="false" outlineLevel="0" collapsed="false">
      <c r="A6" s="207"/>
      <c r="B6" s="104"/>
      <c r="C6" s="104"/>
      <c r="D6" s="104"/>
      <c r="E6" s="208" t="s">
        <v>152</v>
      </c>
      <c r="F6" s="104"/>
      <c r="G6" s="209" t="s">
        <v>153</v>
      </c>
      <c r="H6" s="104"/>
      <c r="I6" s="208"/>
      <c r="J6" s="104"/>
      <c r="K6" s="210" t="s">
        <v>155</v>
      </c>
      <c r="L6" s="104"/>
      <c r="M6" s="210" t="s">
        <v>156</v>
      </c>
      <c r="N6" s="104"/>
      <c r="O6" s="210" t="s">
        <v>157</v>
      </c>
      <c r="P6" s="104"/>
      <c r="Q6" s="120" t="n">
        <v>36150</v>
      </c>
      <c r="R6" s="206"/>
      <c r="S6" s="120" t="s">
        <v>158</v>
      </c>
      <c r="T6" s="206"/>
      <c r="U6" s="120" t="n">
        <v>36191</v>
      </c>
      <c r="V6" s="211"/>
      <c r="W6" s="120" t="n">
        <v>36219</v>
      </c>
      <c r="X6" s="211"/>
      <c r="Y6" s="120" t="n">
        <v>36250</v>
      </c>
      <c r="Z6" s="211"/>
      <c r="AA6" s="120" t="n">
        <v>36280</v>
      </c>
      <c r="AB6" s="211"/>
      <c r="AC6" s="120" t="n">
        <v>36311</v>
      </c>
      <c r="AD6" s="211"/>
      <c r="AE6" s="120" t="n">
        <v>36341</v>
      </c>
      <c r="AF6" s="123"/>
      <c r="AG6" s="120" t="n">
        <v>36372</v>
      </c>
      <c r="AH6" s="123"/>
      <c r="AI6" s="120" t="n">
        <v>36403</v>
      </c>
      <c r="AJ6" s="123"/>
      <c r="AK6" s="120" t="n">
        <v>36433</v>
      </c>
      <c r="AL6" s="120"/>
      <c r="AM6" s="120" t="n">
        <v>36464</v>
      </c>
      <c r="AN6" s="123"/>
      <c r="AO6" s="120" t="n">
        <v>36494</v>
      </c>
      <c r="AP6" s="123"/>
      <c r="AQ6" s="120" t="n">
        <v>36525</v>
      </c>
      <c r="AR6" s="104"/>
      <c r="AS6" s="124" t="s">
        <v>159</v>
      </c>
      <c r="AT6" s="104"/>
      <c r="AU6" s="120" t="s">
        <v>160</v>
      </c>
      <c r="AV6" s="104"/>
      <c r="AW6" s="124" t="s">
        <v>161</v>
      </c>
      <c r="AX6" s="104"/>
      <c r="AY6" s="124" t="s">
        <v>162</v>
      </c>
      <c r="AZ6" s="104"/>
      <c r="BA6" s="124" t="s">
        <v>163</v>
      </c>
      <c r="BB6" s="104"/>
      <c r="BC6" s="113" t="s">
        <v>164</v>
      </c>
      <c r="BD6" s="104"/>
      <c r="BE6" s="104"/>
      <c r="BF6" s="104"/>
      <c r="BG6" s="104"/>
      <c r="BH6" s="104"/>
      <c r="BI6" s="104"/>
      <c r="BJ6" s="104"/>
      <c r="BK6" s="104"/>
      <c r="BL6" s="104"/>
      <c r="BM6" s="104"/>
      <c r="BN6" s="104"/>
      <c r="BO6" s="104"/>
      <c r="BP6" s="104"/>
      <c r="BQ6" s="104"/>
      <c r="BR6" s="104"/>
      <c r="BS6" s="104"/>
      <c r="BT6" s="104"/>
      <c r="BU6" s="104"/>
      <c r="BV6" s="104"/>
      <c r="BW6" s="104"/>
      <c r="BX6" s="104"/>
      <c r="BY6" s="104"/>
      <c r="BZ6" s="104"/>
      <c r="CA6" s="104"/>
      <c r="CB6" s="104"/>
      <c r="CC6" s="104"/>
      <c r="CD6" s="104"/>
      <c r="CE6" s="104"/>
      <c r="CF6" s="104"/>
      <c r="CG6" s="104"/>
      <c r="CH6" s="104"/>
      <c r="CI6" s="104"/>
      <c r="CJ6" s="104"/>
      <c r="CK6" s="104"/>
      <c r="CL6" s="104"/>
      <c r="CM6" s="104"/>
      <c r="CN6" s="104"/>
      <c r="CO6" s="104"/>
      <c r="CP6" s="104"/>
      <c r="CQ6" s="104"/>
      <c r="CR6" s="104"/>
      <c r="CS6" s="104"/>
      <c r="CT6" s="104"/>
      <c r="CU6" s="104"/>
      <c r="CV6" s="104"/>
      <c r="CW6" s="104"/>
      <c r="CX6" s="104"/>
      <c r="CY6" s="104"/>
      <c r="CZ6" s="104"/>
      <c r="DA6" s="104"/>
      <c r="DB6" s="104"/>
      <c r="DC6" s="104"/>
      <c r="DD6" s="104"/>
      <c r="DE6" s="104"/>
      <c r="DF6" s="104"/>
      <c r="DG6" s="104"/>
      <c r="DH6" s="104"/>
      <c r="DI6" s="104"/>
      <c r="DJ6" s="104"/>
      <c r="DK6" s="104"/>
      <c r="DL6" s="104"/>
      <c r="DM6" s="104"/>
      <c r="DN6" s="104"/>
      <c r="DO6" s="104"/>
      <c r="DP6" s="104"/>
      <c r="DQ6" s="104"/>
      <c r="DR6" s="104"/>
      <c r="DS6" s="104"/>
      <c r="DT6" s="104"/>
      <c r="DU6" s="104"/>
      <c r="DV6" s="104"/>
      <c r="DW6" s="104"/>
      <c r="DX6" s="104"/>
      <c r="DY6" s="104"/>
      <c r="DZ6" s="104"/>
      <c r="EA6" s="104"/>
      <c r="EB6" s="104"/>
      <c r="EC6" s="104"/>
      <c r="ED6" s="104"/>
      <c r="EE6" s="104"/>
      <c r="EF6" s="104"/>
      <c r="EG6" s="104"/>
      <c r="EH6" s="104"/>
      <c r="EI6" s="104"/>
      <c r="EJ6" s="104"/>
      <c r="EK6" s="104"/>
      <c r="EL6" s="104"/>
      <c r="EM6" s="104"/>
      <c r="EN6" s="104"/>
      <c r="EO6" s="104"/>
      <c r="EP6" s="104"/>
      <c r="EQ6" s="104"/>
      <c r="ER6" s="104"/>
      <c r="ES6" s="104"/>
      <c r="ET6" s="104"/>
      <c r="EU6" s="104"/>
      <c r="EV6" s="104"/>
      <c r="EW6" s="104"/>
      <c r="EX6" s="104"/>
      <c r="EY6" s="104"/>
      <c r="EZ6" s="104"/>
      <c r="FA6" s="104"/>
      <c r="FB6" s="104"/>
      <c r="FC6" s="104"/>
      <c r="FD6" s="104"/>
      <c r="FE6" s="104"/>
      <c r="FF6" s="104"/>
      <c r="FG6" s="104"/>
      <c r="FH6" s="104"/>
      <c r="FI6" s="104"/>
      <c r="FJ6" s="104"/>
      <c r="FK6" s="104"/>
      <c r="FL6" s="104"/>
      <c r="FM6" s="104"/>
      <c r="FN6" s="104"/>
      <c r="FO6" s="104"/>
      <c r="FP6" s="104"/>
      <c r="FQ6" s="104"/>
      <c r="FR6" s="104"/>
      <c r="FS6" s="104"/>
      <c r="FT6" s="104"/>
      <c r="FU6" s="104"/>
      <c r="FV6" s="104"/>
      <c r="FW6" s="104"/>
      <c r="FX6" s="104"/>
      <c r="FY6" s="104"/>
      <c r="FZ6" s="104"/>
      <c r="GA6" s="104"/>
      <c r="GB6" s="104"/>
      <c r="GC6" s="104"/>
      <c r="GD6" s="104"/>
      <c r="GE6" s="104"/>
      <c r="GF6" s="104"/>
      <c r="GG6" s="104"/>
      <c r="GH6" s="104"/>
      <c r="GI6" s="104"/>
      <c r="GJ6" s="104"/>
      <c r="GK6" s="104"/>
      <c r="GL6" s="104"/>
      <c r="GM6" s="104"/>
      <c r="GN6" s="104"/>
      <c r="GO6" s="104"/>
      <c r="GP6" s="104"/>
      <c r="GQ6" s="104"/>
      <c r="GR6" s="104"/>
      <c r="GS6" s="104"/>
      <c r="GT6" s="104"/>
      <c r="GU6" s="104"/>
      <c r="GV6" s="104"/>
      <c r="GW6" s="104"/>
      <c r="GX6" s="104"/>
      <c r="GY6" s="104"/>
      <c r="GZ6" s="104"/>
      <c r="HA6" s="104"/>
      <c r="HB6" s="104"/>
      <c r="HC6" s="104"/>
      <c r="HD6" s="104"/>
      <c r="HE6" s="104"/>
      <c r="HF6" s="104"/>
      <c r="HG6" s="104"/>
      <c r="HH6" s="104"/>
      <c r="HI6" s="104"/>
      <c r="HJ6" s="104"/>
      <c r="HK6" s="104"/>
      <c r="HL6" s="104"/>
      <c r="HM6" s="104"/>
      <c r="HN6" s="104"/>
      <c r="HO6" s="104"/>
      <c r="HP6" s="104"/>
      <c r="HQ6" s="104"/>
      <c r="HR6" s="104"/>
      <c r="HS6" s="104"/>
      <c r="HT6" s="104"/>
      <c r="HU6" s="104"/>
      <c r="HV6" s="104"/>
      <c r="HW6" s="104"/>
      <c r="HX6" s="104"/>
      <c r="HY6" s="104"/>
      <c r="HZ6" s="104"/>
      <c r="IA6" s="104"/>
      <c r="IB6" s="104"/>
      <c r="IC6" s="104"/>
      <c r="ID6" s="104"/>
      <c r="IE6" s="104"/>
      <c r="IF6" s="104"/>
      <c r="IG6" s="104"/>
      <c r="IH6" s="104"/>
      <c r="II6" s="104"/>
      <c r="IJ6" s="104"/>
      <c r="IK6" s="104"/>
      <c r="IL6" s="104"/>
      <c r="IM6" s="104"/>
      <c r="IN6" s="104"/>
      <c r="IO6" s="104"/>
      <c r="IP6" s="104"/>
      <c r="IQ6" s="104"/>
      <c r="IR6" s="104"/>
      <c r="IS6" s="104"/>
      <c r="IT6" s="104"/>
      <c r="IU6" s="104"/>
      <c r="IV6" s="104"/>
      <c r="IW6" s="104"/>
    </row>
    <row r="7" customFormat="false" ht="12.75" hidden="false" customHeight="false" outlineLevel="0" collapsed="false">
      <c r="A7" s="212"/>
      <c r="B7" s="213"/>
      <c r="C7" s="214"/>
      <c r="I7" s="90"/>
      <c r="Q7" s="215" t="s">
        <v>165</v>
      </c>
      <c r="R7" s="216"/>
      <c r="S7" s="215" t="s">
        <v>165</v>
      </c>
      <c r="T7" s="216"/>
      <c r="U7" s="215" t="str">
        <f aca="false">+Summary!$O$3</f>
        <v>as of 12/10/99</v>
      </c>
      <c r="V7" s="96"/>
      <c r="W7" s="215" t="str">
        <f aca="false">+Summary!$O$3</f>
        <v>as of 12/10/99</v>
      </c>
      <c r="X7" s="96"/>
      <c r="Y7" s="215" t="str">
        <f aca="false">+Summary!$O$3</f>
        <v>as of 12/10/99</v>
      </c>
      <c r="Z7" s="96"/>
      <c r="AA7" s="215" t="str">
        <f aca="false">+Summary!$O$3</f>
        <v>as of 12/10/99</v>
      </c>
      <c r="AB7" s="96"/>
      <c r="AC7" s="215" t="str">
        <f aca="false">+Summary!$O$3</f>
        <v>as of 12/10/99</v>
      </c>
      <c r="AD7" s="96"/>
      <c r="AE7" s="215" t="str">
        <f aca="false">+Summary!$O$3</f>
        <v>as of 12/10/99</v>
      </c>
      <c r="AF7" s="215"/>
      <c r="AG7" s="215" t="str">
        <f aca="false">+Summary!$O$3</f>
        <v>as of 12/10/99</v>
      </c>
      <c r="AH7" s="215"/>
      <c r="AI7" s="215" t="str">
        <f aca="false">+Summary!$O$3</f>
        <v>as of 12/10/99</v>
      </c>
      <c r="AJ7" s="215"/>
      <c r="AK7" s="215" t="str">
        <f aca="false">+Summary!$O$3</f>
        <v>as of 12/10/99</v>
      </c>
      <c r="AL7" s="215"/>
      <c r="AM7" s="215" t="str">
        <f aca="false">+Summary!$O$3</f>
        <v>as of 12/10/99</v>
      </c>
      <c r="AN7" s="215"/>
      <c r="AO7" s="215" t="str">
        <f aca="false">+Summary!$O$3</f>
        <v>as of 12/10/99</v>
      </c>
      <c r="AP7" s="215"/>
      <c r="AQ7" s="215" t="str">
        <f aca="false">+Summary!$O$3</f>
        <v>as of 12/10/99</v>
      </c>
      <c r="AS7" s="23" t="str">
        <f aca="false">+Summary!$O$3</f>
        <v>as of 12/10/99</v>
      </c>
      <c r="AU7" s="215" t="str">
        <f aca="false">+Summary!$O$3</f>
        <v>as of 12/10/99</v>
      </c>
      <c r="AW7" s="23"/>
      <c r="AY7" s="23"/>
      <c r="BA7" s="23"/>
    </row>
    <row r="8" customFormat="false" ht="12.75" hidden="false" customHeight="false" outlineLevel="0" collapsed="false">
      <c r="A8" s="130" t="s">
        <v>166</v>
      </c>
      <c r="B8" s="213"/>
      <c r="C8" s="214"/>
      <c r="G8" s="90"/>
      <c r="I8" s="90"/>
      <c r="K8" s="90"/>
      <c r="M8" s="90"/>
      <c r="O8" s="90"/>
      <c r="Q8" s="157"/>
      <c r="S8" s="157"/>
      <c r="U8" s="96"/>
      <c r="BA8" s="90"/>
    </row>
    <row r="9" customFormat="false" ht="12.75" hidden="false" customHeight="false" outlineLevel="0" collapsed="false">
      <c r="A9" s="217"/>
      <c r="B9" s="132" t="s">
        <v>364</v>
      </c>
      <c r="C9" s="218" t="s">
        <v>365</v>
      </c>
      <c r="E9" s="94" t="s">
        <v>169</v>
      </c>
      <c r="G9" s="94" t="s">
        <v>170</v>
      </c>
      <c r="I9" s="94" t="s">
        <v>366</v>
      </c>
      <c r="K9" s="136" t="n">
        <v>99408000</v>
      </c>
      <c r="M9" s="136" t="n">
        <v>-408000</v>
      </c>
      <c r="O9" s="136" t="n">
        <f aca="false">SUM(K9:N9)</f>
        <v>99000000</v>
      </c>
      <c r="Q9" s="96" t="n">
        <f aca="false">4950000+6831000+6831000+6831000+4950000+6984776.48</f>
        <v>37377776.48</v>
      </c>
      <c r="U9" s="96" t="n">
        <f aca="false">6859219.62</f>
        <v>6859219.62</v>
      </c>
      <c r="W9" s="96" t="n">
        <v>6859219.62</v>
      </c>
      <c r="Y9" s="96" t="n">
        <v>12326713.52</v>
      </c>
      <c r="AA9" s="96" t="n">
        <v>12919709.86</v>
      </c>
      <c r="AC9" s="96" t="n">
        <v>15213391.9</v>
      </c>
      <c r="AI9" s="96" t="n">
        <v>3280101</v>
      </c>
      <c r="AJ9" s="96"/>
      <c r="AK9" s="96"/>
      <c r="AL9" s="96"/>
      <c r="AM9" s="96"/>
      <c r="AN9" s="96"/>
      <c r="AO9" s="96" t="n">
        <f aca="false">1690348+195000+2687500+279947.92</f>
        <v>4852795.92</v>
      </c>
      <c r="AP9" s="96"/>
      <c r="AQ9" s="96"/>
      <c r="AS9" s="95" t="n">
        <f aca="false">SUM(P9:AR9)</f>
        <v>99688927.92</v>
      </c>
      <c r="AU9" s="96" t="n">
        <v>0</v>
      </c>
      <c r="AW9" s="95" t="n">
        <f aca="false">IF(+O9-AS9+AU9&gt;0,O9-AS9+AU9,0)</f>
        <v>0</v>
      </c>
      <c r="AY9" s="95" t="n">
        <f aca="false">+AW9+AS9</f>
        <v>99688927.92</v>
      </c>
      <c r="BA9" s="136" t="n">
        <f aca="false">O9-AS9-AW9</f>
        <v>-688927.920000002</v>
      </c>
      <c r="BC9" s="90" t="s">
        <v>367</v>
      </c>
    </row>
    <row r="10" customFormat="false" ht="12.75" hidden="false" customHeight="false" outlineLevel="0" collapsed="false">
      <c r="A10" s="217"/>
      <c r="B10" s="132" t="s">
        <v>368</v>
      </c>
      <c r="C10" s="218" t="s">
        <v>369</v>
      </c>
      <c r="E10" s="94" t="s">
        <v>173</v>
      </c>
      <c r="G10" s="94" t="s">
        <v>170</v>
      </c>
      <c r="I10" s="94" t="s">
        <v>366</v>
      </c>
      <c r="K10" s="133" t="n">
        <f aca="false">168000-7200</f>
        <v>160800</v>
      </c>
      <c r="M10" s="133"/>
      <c r="O10" s="133" t="n">
        <f aca="false">SUM(K10:N10)</f>
        <v>160800</v>
      </c>
      <c r="U10" s="96"/>
      <c r="W10" s="96"/>
      <c r="AS10" s="95" t="n">
        <f aca="false">SUM(P10:AR10)</f>
        <v>0</v>
      </c>
      <c r="AU10" s="96" t="n">
        <v>0</v>
      </c>
      <c r="AW10" s="95" t="n">
        <f aca="false">IF(+O10-AS10+AU10&gt;0,O10-AS10+AU10,0)</f>
        <v>160800</v>
      </c>
      <c r="AY10" s="95" t="n">
        <f aca="false">+AW10+AS10</f>
        <v>160800</v>
      </c>
      <c r="BA10" s="136" t="n">
        <f aca="false">O10-AS10-AW10</f>
        <v>0</v>
      </c>
    </row>
    <row r="11" customFormat="false" ht="12.75" hidden="false" customHeight="false" outlineLevel="0" collapsed="false">
      <c r="A11" s="217"/>
      <c r="B11" s="132" t="s">
        <v>370</v>
      </c>
      <c r="C11" s="218" t="s">
        <v>369</v>
      </c>
      <c r="E11" s="94" t="s">
        <v>173</v>
      </c>
      <c r="G11" s="94" t="s">
        <v>170</v>
      </c>
      <c r="I11" s="94" t="s">
        <v>366</v>
      </c>
      <c r="K11" s="133" t="n">
        <v>11700</v>
      </c>
      <c r="M11" s="133"/>
      <c r="O11" s="133" t="n">
        <f aca="false">SUM(K11:N11)</f>
        <v>11700</v>
      </c>
      <c r="U11" s="96"/>
      <c r="W11" s="96"/>
      <c r="AS11" s="95" t="n">
        <f aca="false">SUM(P11:AR11)</f>
        <v>0</v>
      </c>
      <c r="AU11" s="96"/>
      <c r="AW11" s="95" t="n">
        <f aca="false">IF(+O11-AS11+AU11&gt;0,O11-AS11+AU11,0)</f>
        <v>11700</v>
      </c>
      <c r="AY11" s="95" t="n">
        <f aca="false">+AW11+AS11</f>
        <v>11700</v>
      </c>
      <c r="BA11" s="136" t="n">
        <f aca="false">O11-AS11-AW11</f>
        <v>0</v>
      </c>
    </row>
    <row r="12" customFormat="false" ht="12.75" hidden="false" customHeight="false" outlineLevel="0" collapsed="false">
      <c r="A12" s="217"/>
      <c r="B12" s="132" t="s">
        <v>371</v>
      </c>
      <c r="C12" s="218" t="s">
        <v>369</v>
      </c>
      <c r="E12" s="94" t="s">
        <v>173</v>
      </c>
      <c r="G12" s="94" t="s">
        <v>170</v>
      </c>
      <c r="I12" s="94" t="s">
        <v>366</v>
      </c>
      <c r="K12" s="133" t="n">
        <v>30000</v>
      </c>
      <c r="M12" s="133"/>
      <c r="O12" s="133" t="n">
        <f aca="false">SUM(K12:N12)</f>
        <v>30000</v>
      </c>
      <c r="U12" s="96"/>
      <c r="W12" s="96"/>
      <c r="AS12" s="95" t="n">
        <f aca="false">SUM(P12:AR12)</f>
        <v>0</v>
      </c>
      <c r="AU12" s="96"/>
      <c r="AW12" s="95" t="n">
        <f aca="false">IF(+O12-AS12+AU12&gt;0,O12-AS12+AU12,0)</f>
        <v>30000</v>
      </c>
      <c r="AY12" s="95" t="n">
        <f aca="false">+AW12+AS12</f>
        <v>30000</v>
      </c>
      <c r="BA12" s="136" t="n">
        <f aca="false">O12-AS12-AW12</f>
        <v>0</v>
      </c>
    </row>
    <row r="13" customFormat="false" ht="12.75" hidden="false" customHeight="false" outlineLevel="0" collapsed="false">
      <c r="A13" s="217"/>
      <c r="B13" s="132" t="s">
        <v>372</v>
      </c>
      <c r="C13" s="218" t="s">
        <v>369</v>
      </c>
      <c r="E13" s="94" t="s">
        <v>173</v>
      </c>
      <c r="G13" s="94" t="s">
        <v>170</v>
      </c>
      <c r="I13" s="94" t="s">
        <v>366</v>
      </c>
      <c r="K13" s="133" t="n">
        <v>11400</v>
      </c>
      <c r="M13" s="133"/>
      <c r="O13" s="133" t="n">
        <f aca="false">SUM(K13:N13)</f>
        <v>11400</v>
      </c>
      <c r="U13" s="96"/>
      <c r="W13" s="96"/>
      <c r="AS13" s="95" t="n">
        <f aca="false">SUM(P13:AR13)</f>
        <v>0</v>
      </c>
      <c r="AU13" s="96"/>
      <c r="AW13" s="95" t="n">
        <f aca="false">IF(+O13-AS13+AU13&gt;0,O13-AS13+AU13,0)</f>
        <v>11400</v>
      </c>
      <c r="AY13" s="95" t="n">
        <f aca="false">+AW13+AS13</f>
        <v>11400</v>
      </c>
      <c r="BA13" s="136" t="n">
        <f aca="false">O13-AS13-AW13</f>
        <v>0</v>
      </c>
    </row>
    <row r="14" customFormat="false" ht="12.75" hidden="false" customHeight="false" outlineLevel="0" collapsed="false">
      <c r="A14" s="217"/>
      <c r="B14" s="132" t="s">
        <v>373</v>
      </c>
      <c r="C14" s="218" t="s">
        <v>369</v>
      </c>
      <c r="E14" s="94" t="s">
        <v>173</v>
      </c>
      <c r="G14" s="94" t="s">
        <v>170</v>
      </c>
      <c r="I14" s="94" t="s">
        <v>366</v>
      </c>
      <c r="K14" s="133" t="n">
        <v>11700</v>
      </c>
      <c r="M14" s="133"/>
      <c r="O14" s="133" t="n">
        <f aca="false">SUM(K14:N14)</f>
        <v>11700</v>
      </c>
      <c r="U14" s="96"/>
      <c r="W14" s="96"/>
      <c r="AS14" s="95" t="n">
        <f aca="false">SUM(P14:AR14)</f>
        <v>0</v>
      </c>
      <c r="AU14" s="96"/>
      <c r="AW14" s="95" t="n">
        <f aca="false">IF(+O14-AS14+AU14&gt;0,O14-AS14+AU14,0)</f>
        <v>11700</v>
      </c>
      <c r="AY14" s="95" t="n">
        <f aca="false">+AW14+AS14</f>
        <v>11700</v>
      </c>
      <c r="BA14" s="136" t="n">
        <f aca="false">O14-AS14-AW14</f>
        <v>0</v>
      </c>
    </row>
    <row r="15" customFormat="false" ht="12.75" hidden="false" customHeight="false" outlineLevel="0" collapsed="false">
      <c r="A15" s="217"/>
      <c r="B15" s="132" t="s">
        <v>374</v>
      </c>
      <c r="C15" s="218" t="s">
        <v>369</v>
      </c>
      <c r="E15" s="94" t="s">
        <v>173</v>
      </c>
      <c r="G15" s="94" t="s">
        <v>170</v>
      </c>
      <c r="I15" s="94" t="s">
        <v>366</v>
      </c>
      <c r="K15" s="133" t="n">
        <v>13680</v>
      </c>
      <c r="M15" s="133"/>
      <c r="O15" s="133" t="n">
        <f aca="false">SUM(K15:N15)</f>
        <v>13680</v>
      </c>
      <c r="U15" s="96"/>
      <c r="W15" s="96"/>
      <c r="AS15" s="95" t="n">
        <f aca="false">SUM(P15:AR15)</f>
        <v>0</v>
      </c>
      <c r="AU15" s="96"/>
      <c r="AW15" s="95" t="n">
        <f aca="false">IF(+O15-AS15+AU15&gt;0,O15-AS15+AU15,0)</f>
        <v>13680</v>
      </c>
      <c r="AY15" s="95" t="n">
        <f aca="false">+AW15+AS15</f>
        <v>13680</v>
      </c>
      <c r="BA15" s="136" t="n">
        <f aca="false">O15-AS15-AW15</f>
        <v>0</v>
      </c>
    </row>
    <row r="16" customFormat="false" ht="12.75" hidden="false" customHeight="false" outlineLevel="0" collapsed="false">
      <c r="A16" s="217"/>
      <c r="B16" s="132" t="s">
        <v>375</v>
      </c>
      <c r="C16" s="218" t="s">
        <v>369</v>
      </c>
      <c r="E16" s="94" t="s">
        <v>173</v>
      </c>
      <c r="G16" s="94" t="s">
        <v>170</v>
      </c>
      <c r="I16" s="94" t="s">
        <v>366</v>
      </c>
      <c r="K16" s="133" t="n">
        <v>99900</v>
      </c>
      <c r="M16" s="133"/>
      <c r="O16" s="133" t="n">
        <f aca="false">SUM(K16:N16)</f>
        <v>99900</v>
      </c>
      <c r="U16" s="96"/>
      <c r="W16" s="96"/>
      <c r="AS16" s="95" t="n">
        <f aca="false">SUM(P16:AR16)</f>
        <v>0</v>
      </c>
      <c r="AU16" s="96"/>
      <c r="AW16" s="95" t="n">
        <f aca="false">IF(+O16-AS16+AU16&gt;0,O16-AS16+AU16,0)</f>
        <v>99900</v>
      </c>
      <c r="AY16" s="95" t="n">
        <f aca="false">+AW16+AS16</f>
        <v>99900</v>
      </c>
      <c r="BA16" s="136" t="n">
        <f aca="false">O16-AS16-AW16</f>
        <v>0</v>
      </c>
    </row>
    <row r="17" customFormat="false" ht="12.75" hidden="false" customHeight="false" outlineLevel="0" collapsed="false">
      <c r="A17" s="217"/>
      <c r="B17" s="132" t="s">
        <v>376</v>
      </c>
      <c r="C17" s="218" t="s">
        <v>369</v>
      </c>
      <c r="E17" s="94" t="s">
        <v>173</v>
      </c>
      <c r="G17" s="94" t="s">
        <v>170</v>
      </c>
      <c r="I17" s="94" t="s">
        <v>366</v>
      </c>
      <c r="K17" s="133" t="n">
        <v>0</v>
      </c>
      <c r="M17" s="133"/>
      <c r="O17" s="133" t="n">
        <f aca="false">SUM(K17:N17)</f>
        <v>0</v>
      </c>
      <c r="U17" s="96"/>
      <c r="W17" s="96"/>
      <c r="AS17" s="95" t="n">
        <f aca="false">SUM(P17:AR17)</f>
        <v>0</v>
      </c>
      <c r="AU17" s="96"/>
      <c r="AW17" s="95" t="n">
        <v>-40200</v>
      </c>
      <c r="AY17" s="95" t="n">
        <f aca="false">+AW17+AS17</f>
        <v>-40200</v>
      </c>
      <c r="BA17" s="136" t="n">
        <f aca="false">O17-AS17-AW17</f>
        <v>40200</v>
      </c>
      <c r="BC17" s="90" t="s">
        <v>377</v>
      </c>
    </row>
    <row r="18" customFormat="false" ht="12.75" hidden="false" customHeight="false" outlineLevel="0" collapsed="false">
      <c r="A18" s="217"/>
      <c r="B18" s="132" t="s">
        <v>378</v>
      </c>
      <c r="C18" s="218"/>
      <c r="E18" s="94"/>
      <c r="K18" s="133" t="n">
        <v>0</v>
      </c>
      <c r="M18" s="133"/>
      <c r="O18" s="133" t="n">
        <f aca="false">SUM(K18:N18)</f>
        <v>0</v>
      </c>
      <c r="U18" s="96"/>
      <c r="W18" s="96"/>
      <c r="AS18" s="95" t="n">
        <f aca="false">SUM(P18:AR18)</f>
        <v>0</v>
      </c>
      <c r="AU18" s="96" t="n">
        <v>31200</v>
      </c>
      <c r="AW18" s="95" t="n">
        <f aca="false">IF(+O18-AS18+AU18&gt;0,O18-AS18+AU18,0)</f>
        <v>31200</v>
      </c>
      <c r="AY18" s="95" t="n">
        <f aca="false">+AW18+AS18</f>
        <v>31200</v>
      </c>
      <c r="BA18" s="136" t="n">
        <f aca="false">O18-AS18-AW18</f>
        <v>-31200</v>
      </c>
    </row>
    <row r="19" customFormat="false" ht="12.75" hidden="false" customHeight="false" outlineLevel="0" collapsed="false">
      <c r="A19" s="217"/>
      <c r="B19" s="132" t="s">
        <v>180</v>
      </c>
      <c r="C19" s="218"/>
      <c r="E19" s="94"/>
      <c r="K19" s="133"/>
      <c r="M19" s="133"/>
      <c r="O19" s="133"/>
      <c r="U19" s="96"/>
      <c r="W19" s="96"/>
      <c r="AS19" s="95" t="n">
        <f aca="false">SUM(P19:AR19)</f>
        <v>0</v>
      </c>
      <c r="AU19" s="96" t="n">
        <v>1500000</v>
      </c>
      <c r="AW19" s="95" t="n">
        <f aca="false">IF(+O19-AS19+AU19&gt;0,O19-AS19+AU19,0)</f>
        <v>1500000</v>
      </c>
      <c r="AY19" s="95" t="n">
        <f aca="false">+AW19+AS19</f>
        <v>1500000</v>
      </c>
      <c r="BA19" s="136" t="n">
        <f aca="false">O19-AS19-AW19</f>
        <v>-1500000</v>
      </c>
    </row>
    <row r="20" customFormat="false" ht="12.75" hidden="false" customHeight="false" outlineLevel="0" collapsed="false">
      <c r="A20" s="217"/>
      <c r="B20" s="132" t="s">
        <v>379</v>
      </c>
      <c r="C20" s="218" t="s">
        <v>369</v>
      </c>
      <c r="E20" s="94" t="s">
        <v>173</v>
      </c>
      <c r="G20" s="94" t="s">
        <v>170</v>
      </c>
      <c r="I20" s="94" t="s">
        <v>366</v>
      </c>
      <c r="K20" s="133" t="n">
        <v>110000</v>
      </c>
      <c r="L20" s="219"/>
      <c r="M20" s="133"/>
      <c r="N20" s="219"/>
      <c r="O20" s="133" t="n">
        <f aca="false">SUM(K20:N20)</f>
        <v>110000</v>
      </c>
      <c r="U20" s="96"/>
      <c r="W20" s="96"/>
      <c r="AS20" s="95" t="n">
        <f aca="false">SUM(P20:AR20)</f>
        <v>0</v>
      </c>
      <c r="AW20" s="95" t="n">
        <f aca="false">IF(+O20-AS20+AU20&gt;0,O20-AS20+AU20,0)</f>
        <v>110000</v>
      </c>
      <c r="AY20" s="95" t="n">
        <f aca="false">+AW20+AS20</f>
        <v>110000</v>
      </c>
      <c r="BA20" s="136" t="n">
        <f aca="false">O20-AS20-AW20</f>
        <v>0</v>
      </c>
      <c r="BC20" s="95"/>
    </row>
    <row r="21" customFormat="false" ht="12.75" hidden="false" customHeight="false" outlineLevel="0" collapsed="false">
      <c r="A21" s="217"/>
      <c r="B21" s="127" t="s">
        <v>380</v>
      </c>
      <c r="C21" s="218"/>
      <c r="E21" s="94"/>
      <c r="K21" s="155" t="n">
        <f aca="false">SUM(K9:K20)</f>
        <v>99857180</v>
      </c>
      <c r="M21" s="154" t="n">
        <f aca="false">SUM(M9:M20)</f>
        <v>-408000</v>
      </c>
      <c r="O21" s="155" t="n">
        <f aca="false">SUM(O9:O20)</f>
        <v>99449180</v>
      </c>
      <c r="Q21" s="154" t="n">
        <f aca="false">SUM(Q9:Q20)</f>
        <v>37377776.48</v>
      </c>
      <c r="S21" s="154" t="n">
        <f aca="false">SUM(S9:S20)</f>
        <v>0</v>
      </c>
      <c r="U21" s="154" t="n">
        <f aca="false">SUM(U9:U20)</f>
        <v>6859219.62</v>
      </c>
      <c r="W21" s="154" t="n">
        <f aca="false">SUM(W9:W20)</f>
        <v>6859219.62</v>
      </c>
      <c r="Y21" s="154" t="n">
        <f aca="false">SUM(Y9:Y20)</f>
        <v>12326713.52</v>
      </c>
      <c r="AA21" s="154" t="n">
        <f aca="false">SUM(AA9:AA20)</f>
        <v>12919709.86</v>
      </c>
      <c r="AC21" s="154" t="n">
        <f aca="false">SUM(AC9:AC20)</f>
        <v>15213391.9</v>
      </c>
      <c r="AE21" s="154" t="n">
        <f aca="false">SUM(AE9:AE20)</f>
        <v>0</v>
      </c>
      <c r="AF21" s="129"/>
      <c r="AG21" s="154" t="n">
        <f aca="false">SUM(AG9:AG20)</f>
        <v>0</v>
      </c>
      <c r="AH21" s="129"/>
      <c r="AI21" s="154" t="n">
        <f aca="false">SUM(AI9:AI20)</f>
        <v>3280101</v>
      </c>
      <c r="AJ21" s="129"/>
      <c r="AK21" s="154" t="n">
        <f aca="false">SUM(AK9:AK20)</f>
        <v>0</v>
      </c>
      <c r="AL21" s="154"/>
      <c r="AM21" s="154" t="n">
        <f aca="false">SUM(AM9:AM20)</f>
        <v>0</v>
      </c>
      <c r="AN21" s="129"/>
      <c r="AO21" s="154" t="n">
        <f aca="false">SUM(AO9:AO20)</f>
        <v>4852795.92</v>
      </c>
      <c r="AP21" s="129"/>
      <c r="AQ21" s="154" t="n">
        <f aca="false">SUM(AQ9:AQ20)</f>
        <v>0</v>
      </c>
      <c r="AS21" s="155" t="n">
        <f aca="false">SUM(AS9:AS20)</f>
        <v>99688927.92</v>
      </c>
      <c r="AU21" s="154" t="n">
        <f aca="false">SUM(AU9:AU20)</f>
        <v>1531200</v>
      </c>
      <c r="AW21" s="155" t="n">
        <f aca="false">SUM(AW9:AW20)</f>
        <v>1940180</v>
      </c>
      <c r="AY21" s="155" t="n">
        <f aca="false">SUM(AY9:AY20)</f>
        <v>101629107.92</v>
      </c>
      <c r="BA21" s="155" t="n">
        <f aca="false">O21-AS21-AW21</f>
        <v>-2179927.92</v>
      </c>
    </row>
    <row r="22" customFormat="false" ht="12.75" hidden="false" customHeight="false" outlineLevel="0" collapsed="false">
      <c r="A22" s="217"/>
      <c r="B22" s="127"/>
      <c r="C22" s="218"/>
      <c r="E22" s="94"/>
      <c r="K22" s="24"/>
      <c r="M22" s="129"/>
      <c r="O22" s="24"/>
      <c r="Q22" s="129"/>
      <c r="S22" s="129"/>
      <c r="U22" s="129"/>
      <c r="W22" s="129"/>
      <c r="Y22" s="129"/>
      <c r="AA22" s="129"/>
      <c r="AC22" s="129"/>
      <c r="AE22" s="129"/>
      <c r="AF22" s="129"/>
      <c r="AG22" s="129"/>
      <c r="AH22" s="129"/>
      <c r="AI22" s="129"/>
      <c r="AJ22" s="129"/>
      <c r="AK22" s="129"/>
      <c r="AL22" s="129"/>
      <c r="AM22" s="129"/>
      <c r="AN22" s="129"/>
      <c r="AO22" s="129"/>
      <c r="AP22" s="129"/>
      <c r="AQ22" s="129"/>
      <c r="AS22" s="24"/>
      <c r="AU22" s="129"/>
      <c r="AW22" s="24"/>
      <c r="AY22" s="24"/>
      <c r="BA22" s="24"/>
    </row>
    <row r="23" customFormat="false" ht="12.75" hidden="false" customHeight="false" outlineLevel="0" collapsed="false">
      <c r="A23" s="217"/>
      <c r="B23" s="132" t="s">
        <v>183</v>
      </c>
      <c r="C23" s="218" t="s">
        <v>184</v>
      </c>
      <c r="E23" s="94" t="s">
        <v>173</v>
      </c>
      <c r="G23" s="94" t="s">
        <v>170</v>
      </c>
      <c r="I23" s="94" t="s">
        <v>366</v>
      </c>
      <c r="K23" s="133" t="n">
        <v>6150000</v>
      </c>
      <c r="M23" s="133"/>
      <c r="O23" s="133" t="n">
        <f aca="false">SUM(K23:N23)</f>
        <v>6150000</v>
      </c>
      <c r="Q23" s="96" t="n">
        <f aca="false">202582+953034-714776+922500</f>
        <v>1363340</v>
      </c>
      <c r="U23" s="96" t="n">
        <f aca="false">615000+1230000</f>
        <v>1845000</v>
      </c>
      <c r="Y23" s="142" t="n">
        <v>615000</v>
      </c>
      <c r="AA23" s="142" t="n">
        <f aca="false">615000+615000</f>
        <v>1230000</v>
      </c>
      <c r="AC23" s="96" t="n">
        <f aca="false">205000+205000</f>
        <v>410000</v>
      </c>
      <c r="AE23" s="96" t="n">
        <f aca="false">205000-953034.65+238258.65+314501.46+615000</f>
        <v>419725.46</v>
      </c>
      <c r="AF23" s="96"/>
      <c r="AG23" s="96"/>
      <c r="AH23" s="96"/>
      <c r="AI23" s="96"/>
      <c r="AJ23" s="96"/>
      <c r="AK23" s="96" t="n">
        <f aca="false">-314501.46-238258.65-133340+953034.65</f>
        <v>266934.54</v>
      </c>
      <c r="AL23" s="96"/>
      <c r="AM23" s="96"/>
      <c r="AN23" s="96"/>
      <c r="AO23" s="96"/>
      <c r="AP23" s="96"/>
      <c r="AQ23" s="96"/>
      <c r="AS23" s="95" t="n">
        <f aca="false">SUM(P23:AR23)</f>
        <v>6150000</v>
      </c>
      <c r="AU23" s="96"/>
      <c r="AW23" s="95" t="n">
        <f aca="false">6150000-AS23</f>
        <v>0</v>
      </c>
      <c r="AY23" s="135" t="n">
        <f aca="false">+AW23+AS23</f>
        <v>6150000</v>
      </c>
      <c r="BA23" s="136" t="n">
        <f aca="false">O23-AS23-AW23</f>
        <v>0</v>
      </c>
      <c r="BC23" s="90" t="s">
        <v>381</v>
      </c>
    </row>
    <row r="24" customFormat="false" ht="12.75" hidden="false" customHeight="false" outlineLevel="0" collapsed="false">
      <c r="A24" s="217"/>
      <c r="B24" s="132" t="s">
        <v>185</v>
      </c>
      <c r="C24" s="218" t="s">
        <v>184</v>
      </c>
      <c r="E24" s="94" t="s">
        <v>173</v>
      </c>
      <c r="G24" s="94" t="s">
        <v>170</v>
      </c>
      <c r="I24" s="94" t="s">
        <v>366</v>
      </c>
      <c r="K24" s="133" t="n">
        <v>162480</v>
      </c>
      <c r="M24" s="133"/>
      <c r="O24" s="133" t="n">
        <f aca="false">SUM(K24:N24)</f>
        <v>162480</v>
      </c>
      <c r="Q24" s="96" t="n">
        <v>24814.5</v>
      </c>
      <c r="U24" s="96" t="n">
        <v>0</v>
      </c>
      <c r="AA24" s="142" t="n">
        <v>115801</v>
      </c>
      <c r="AK24" s="96" t="n">
        <f aca="false">16543+8271.5</f>
        <v>24814.5</v>
      </c>
      <c r="AL24" s="96"/>
      <c r="AM24" s="96"/>
      <c r="AN24" s="96"/>
      <c r="AO24" s="96"/>
      <c r="AP24" s="96"/>
      <c r="AQ24" s="96"/>
      <c r="AS24" s="95" t="n">
        <f aca="false">SUM(P24:AR24)</f>
        <v>165430</v>
      </c>
      <c r="AU24" s="96" t="n">
        <v>0</v>
      </c>
      <c r="AW24" s="95" t="n">
        <f aca="false">165430-AS24</f>
        <v>0</v>
      </c>
      <c r="AY24" s="95" t="n">
        <f aca="false">+AW24+AS24</f>
        <v>165430</v>
      </c>
      <c r="BA24" s="136" t="n">
        <f aca="false">O24-AS24-AW24</f>
        <v>-2950</v>
      </c>
    </row>
    <row r="25" customFormat="false" ht="12.75" hidden="false" customHeight="false" outlineLevel="0" collapsed="false">
      <c r="A25" s="217"/>
      <c r="B25" s="132" t="s">
        <v>186</v>
      </c>
      <c r="C25" s="218" t="s">
        <v>184</v>
      </c>
      <c r="E25" s="94" t="s">
        <v>173</v>
      </c>
      <c r="G25" s="94" t="s">
        <v>170</v>
      </c>
      <c r="I25" s="94" t="s">
        <v>366</v>
      </c>
      <c r="K25" s="133" t="n">
        <v>59780</v>
      </c>
      <c r="M25" s="133"/>
      <c r="O25" s="133" t="n">
        <f aca="false">SUM(K25:N25)</f>
        <v>59780</v>
      </c>
      <c r="Q25" s="96" t="n">
        <v>11303</v>
      </c>
      <c r="U25" s="96" t="n">
        <v>0</v>
      </c>
      <c r="AA25" s="142" t="n">
        <v>52749.2</v>
      </c>
      <c r="AK25" s="96" t="n">
        <f aca="false">7535.6+3767.8</f>
        <v>11303.4</v>
      </c>
      <c r="AL25" s="96"/>
      <c r="AM25" s="96"/>
      <c r="AN25" s="96"/>
      <c r="AO25" s="96"/>
      <c r="AP25" s="96"/>
      <c r="AQ25" s="96"/>
      <c r="AS25" s="95" t="n">
        <f aca="false">SUM(P25:AR25)</f>
        <v>75355.6</v>
      </c>
      <c r="AU25" s="96" t="n">
        <v>0</v>
      </c>
      <c r="AW25" s="95" t="n">
        <f aca="false">75356-AS25</f>
        <v>0.399999999994179</v>
      </c>
      <c r="AY25" s="95" t="n">
        <f aca="false">+AW25+AS25</f>
        <v>75356</v>
      </c>
      <c r="BA25" s="136" t="n">
        <f aca="false">O25-AS25-AW25</f>
        <v>-15576</v>
      </c>
    </row>
    <row r="26" customFormat="false" ht="12.75" hidden="false" customHeight="false" outlineLevel="0" collapsed="false">
      <c r="A26" s="217"/>
      <c r="B26" s="132" t="s">
        <v>187</v>
      </c>
      <c r="C26" s="218" t="s">
        <v>184</v>
      </c>
      <c r="E26" s="94" t="s">
        <v>382</v>
      </c>
      <c r="G26" s="94" t="s">
        <v>170</v>
      </c>
      <c r="I26" s="94" t="s">
        <v>366</v>
      </c>
      <c r="K26" s="95" t="n">
        <v>3320690</v>
      </c>
      <c r="O26" s="95" t="n">
        <f aca="false">SUM(K26:N26)</f>
        <v>3320690</v>
      </c>
      <c r="Q26" s="96" t="n">
        <f aca="false">251841+246262.5</f>
        <v>498103.5</v>
      </c>
      <c r="U26" s="96" t="n">
        <f aca="false">293814.5+293814.5+293814.5+293814.5+494525+492525</f>
        <v>2162308</v>
      </c>
      <c r="AC26" s="96" t="n">
        <f aca="false">164175</f>
        <v>164175</v>
      </c>
      <c r="AI26" s="96"/>
      <c r="AJ26" s="96"/>
      <c r="AK26" s="96" t="n">
        <f aca="false">167894+162175+83947+82087.5</f>
        <v>496103.5</v>
      </c>
      <c r="AL26" s="96"/>
      <c r="AM26" s="96"/>
      <c r="AN26" s="96"/>
      <c r="AO26" s="96"/>
      <c r="AP26" s="96"/>
      <c r="AQ26" s="96"/>
      <c r="AS26" s="95" t="n">
        <f aca="false">SUM(P26:AR26)</f>
        <v>3320690</v>
      </c>
      <c r="AU26" s="96" t="n">
        <v>0</v>
      </c>
      <c r="AW26" s="95" t="n">
        <f aca="false">1678940+1641750-AS26</f>
        <v>0</v>
      </c>
      <c r="AY26" s="95" t="n">
        <f aca="false">+AW26+AS26</f>
        <v>3320690</v>
      </c>
      <c r="BA26" s="136" t="n">
        <f aca="false">O26-AS26-AW26</f>
        <v>0</v>
      </c>
    </row>
    <row r="27" customFormat="false" ht="12.75" hidden="false" customHeight="false" outlineLevel="0" collapsed="false">
      <c r="A27" s="217"/>
      <c r="B27" s="132" t="s">
        <v>383</v>
      </c>
      <c r="C27" s="218"/>
      <c r="E27" s="94"/>
      <c r="O27" s="95" t="n">
        <f aca="false">SUM(K27:N27)</f>
        <v>0</v>
      </c>
      <c r="U27" s="96"/>
      <c r="AC27" s="96"/>
      <c r="AS27" s="95" t="n">
        <f aca="false">SUM(P27:AR27)</f>
        <v>0</v>
      </c>
      <c r="AU27" s="96" t="n">
        <v>0</v>
      </c>
      <c r="AW27" s="95" t="n">
        <v>0</v>
      </c>
      <c r="AY27" s="95" t="n">
        <f aca="false">+AW27+AS27</f>
        <v>0</v>
      </c>
      <c r="BA27" s="136" t="n">
        <f aca="false">O27-AS27-AW27</f>
        <v>0</v>
      </c>
    </row>
    <row r="28" customFormat="false" ht="12.75" hidden="false" customHeight="false" outlineLevel="0" collapsed="false">
      <c r="A28" s="217"/>
      <c r="B28" s="132" t="s">
        <v>189</v>
      </c>
      <c r="C28" s="218"/>
      <c r="E28" s="94"/>
      <c r="O28" s="95" t="n">
        <f aca="false">SUM(K28:N28)</f>
        <v>0</v>
      </c>
      <c r="U28" s="96"/>
      <c r="AC28" s="96" t="n">
        <v>141000</v>
      </c>
      <c r="AK28" s="96" t="n">
        <v>301800</v>
      </c>
      <c r="AL28" s="96"/>
      <c r="AM28" s="96"/>
      <c r="AN28" s="96"/>
      <c r="AO28" s="96"/>
      <c r="AP28" s="96"/>
      <c r="AQ28" s="96"/>
      <c r="AS28" s="95" t="n">
        <f aca="false">SUM(P28:AR28)</f>
        <v>442800</v>
      </c>
      <c r="AU28" s="96" t="n">
        <v>0</v>
      </c>
      <c r="AW28" s="95" t="n">
        <f aca="false">442800-AS28</f>
        <v>0</v>
      </c>
      <c r="AY28" s="95" t="n">
        <f aca="false">+AW28+AS28</f>
        <v>442800</v>
      </c>
      <c r="BA28" s="136" t="n">
        <f aca="false">O28-AS28-AW28</f>
        <v>-442800</v>
      </c>
    </row>
    <row r="29" customFormat="false" ht="12.75" hidden="false" customHeight="false" outlineLevel="0" collapsed="false">
      <c r="A29" s="217"/>
      <c r="B29" s="132" t="s">
        <v>190</v>
      </c>
      <c r="C29" s="218" t="s">
        <v>184</v>
      </c>
      <c r="E29" s="94" t="s">
        <v>173</v>
      </c>
      <c r="G29" s="94" t="s">
        <v>170</v>
      </c>
      <c r="I29" s="94" t="s">
        <v>174</v>
      </c>
      <c r="K29" s="133" t="n">
        <v>25000</v>
      </c>
      <c r="M29" s="133"/>
      <c r="O29" s="133" t="n">
        <f aca="false">SUM(K29:N29)</f>
        <v>25000</v>
      </c>
      <c r="U29" s="96"/>
      <c r="AS29" s="95" t="n">
        <f aca="false">SUM(P29:AR29)</f>
        <v>0</v>
      </c>
      <c r="AU29" s="96" t="n">
        <v>0</v>
      </c>
      <c r="AW29" s="95" t="n">
        <v>0</v>
      </c>
      <c r="AY29" s="95" t="n">
        <f aca="false">+AW29+AS29</f>
        <v>0</v>
      </c>
      <c r="BA29" s="136" t="n">
        <f aca="false">O29-AS29-AW29</f>
        <v>25000</v>
      </c>
    </row>
    <row r="30" customFormat="false" ht="12.75" hidden="false" customHeight="false" outlineLevel="0" collapsed="false">
      <c r="A30" s="217"/>
      <c r="B30" s="132" t="s">
        <v>191</v>
      </c>
      <c r="C30" s="218" t="s">
        <v>184</v>
      </c>
      <c r="E30" s="94" t="s">
        <v>173</v>
      </c>
      <c r="G30" s="94" t="s">
        <v>170</v>
      </c>
      <c r="I30" s="94" t="s">
        <v>366</v>
      </c>
      <c r="K30" s="133" t="n">
        <v>146850</v>
      </c>
      <c r="M30" s="133"/>
      <c r="O30" s="133" t="n">
        <f aca="false">SUM(K30:N30)</f>
        <v>146850</v>
      </c>
      <c r="U30" s="96"/>
      <c r="AS30" s="95" t="n">
        <f aca="false">SUM(P30:AR30)</f>
        <v>0</v>
      </c>
      <c r="AU30" s="96" t="n">
        <v>0</v>
      </c>
      <c r="AW30" s="95" t="n">
        <v>0</v>
      </c>
      <c r="AY30" s="95" t="n">
        <f aca="false">+AW30+AS30</f>
        <v>0</v>
      </c>
      <c r="BA30" s="136" t="n">
        <f aca="false">O30-AS30-AW30</f>
        <v>146850</v>
      </c>
    </row>
    <row r="31" customFormat="false" ht="12.75" hidden="false" customHeight="false" outlineLevel="0" collapsed="false">
      <c r="A31" s="220"/>
      <c r="B31" s="144" t="s">
        <v>192</v>
      </c>
      <c r="C31" s="221" t="s">
        <v>184</v>
      </c>
      <c r="E31" s="94" t="s">
        <v>173</v>
      </c>
      <c r="G31" s="94" t="s">
        <v>170</v>
      </c>
      <c r="I31" s="94" t="s">
        <v>366</v>
      </c>
      <c r="K31" s="133" t="n">
        <v>154950</v>
      </c>
      <c r="M31" s="133"/>
      <c r="O31" s="133" t="n">
        <f aca="false">SUM(K31:N31)</f>
        <v>154950</v>
      </c>
      <c r="U31" s="96"/>
      <c r="AS31" s="95" t="n">
        <f aca="false">SUM(P31:AR31)</f>
        <v>0</v>
      </c>
      <c r="AU31" s="96" t="n">
        <v>0</v>
      </c>
      <c r="AW31" s="95" t="n">
        <v>0</v>
      </c>
      <c r="AY31" s="95" t="n">
        <f aca="false">+AW31+AS31</f>
        <v>0</v>
      </c>
      <c r="BA31" s="136" t="n">
        <f aca="false">O31-AS31-AW31</f>
        <v>154950</v>
      </c>
    </row>
    <row r="32" customFormat="false" ht="12.75" hidden="false" customHeight="false" outlineLevel="0" collapsed="false">
      <c r="A32" s="220"/>
      <c r="B32" s="144" t="s">
        <v>193</v>
      </c>
      <c r="C32" s="221" t="s">
        <v>184</v>
      </c>
      <c r="E32" s="94" t="s">
        <v>173</v>
      </c>
      <c r="G32" s="94" t="s">
        <v>170</v>
      </c>
      <c r="I32" s="94" t="s">
        <v>174</v>
      </c>
      <c r="K32" s="133" t="n">
        <v>10000</v>
      </c>
      <c r="M32" s="133"/>
      <c r="O32" s="133" t="n">
        <f aca="false">SUM(K32:N32)</f>
        <v>10000</v>
      </c>
      <c r="U32" s="96"/>
      <c r="AS32" s="95" t="n">
        <f aca="false">SUM(P32:AR32)</f>
        <v>0</v>
      </c>
      <c r="AU32" s="96" t="n">
        <v>0</v>
      </c>
      <c r="AW32" s="95" t="n">
        <v>0</v>
      </c>
      <c r="AY32" s="95" t="n">
        <f aca="false">+AW32+AS32</f>
        <v>0</v>
      </c>
      <c r="BA32" s="136" t="n">
        <f aca="false">O32-AS32-AW32</f>
        <v>10000</v>
      </c>
    </row>
    <row r="33" customFormat="false" ht="12.75" hidden="false" customHeight="false" outlineLevel="0" collapsed="false">
      <c r="A33" s="217"/>
      <c r="B33" s="132" t="s">
        <v>194</v>
      </c>
      <c r="C33" s="218" t="s">
        <v>184</v>
      </c>
      <c r="E33" s="94" t="s">
        <v>173</v>
      </c>
      <c r="G33" s="94" t="s">
        <v>170</v>
      </c>
      <c r="I33" s="94" t="s">
        <v>174</v>
      </c>
      <c r="K33" s="138" t="n">
        <v>20000</v>
      </c>
      <c r="M33" s="138"/>
      <c r="O33" s="138" t="n">
        <f aca="false">SUM(K33:N33)</f>
        <v>20000</v>
      </c>
      <c r="Q33" s="139"/>
      <c r="S33" s="139"/>
      <c r="U33" s="96"/>
      <c r="AC33" s="96" t="n">
        <f aca="false">53300+53300</f>
        <v>106600</v>
      </c>
      <c r="AE33" s="96" t="n">
        <v>25845</v>
      </c>
      <c r="AS33" s="95" t="n">
        <f aca="false">SUM(P33:AR33)</f>
        <v>132445</v>
      </c>
      <c r="AU33" s="96" t="n">
        <v>0</v>
      </c>
      <c r="AW33" s="95" t="n">
        <f aca="false">IF(+O33-AS33+AU33&gt;0,O33-AS33+AU33,0)</f>
        <v>0</v>
      </c>
      <c r="AY33" s="95" t="n">
        <f aca="false">+AW33+AS33</f>
        <v>132445</v>
      </c>
      <c r="BA33" s="141" t="n">
        <f aca="false">O33-AS33-AW33</f>
        <v>-112445</v>
      </c>
    </row>
    <row r="34" customFormat="false" ht="12.75" hidden="false" customHeight="false" outlineLevel="0" collapsed="false">
      <c r="A34" s="217"/>
      <c r="B34" s="127" t="s">
        <v>195</v>
      </c>
      <c r="C34" s="218"/>
      <c r="E34" s="94"/>
      <c r="K34" s="24" t="n">
        <f aca="false">SUM(K23:K33)</f>
        <v>10049750</v>
      </c>
      <c r="M34" s="24" t="n">
        <f aca="false">SUM(M23:M33)</f>
        <v>0</v>
      </c>
      <c r="O34" s="24" t="n">
        <f aca="false">SUM(O23:O33)</f>
        <v>10049750</v>
      </c>
      <c r="Q34" s="129" t="n">
        <f aca="false">SUM(Q23:Q33)</f>
        <v>1897561</v>
      </c>
      <c r="S34" s="129" t="n">
        <f aca="false">SUM(S23:S33)</f>
        <v>0</v>
      </c>
      <c r="U34" s="154" t="n">
        <f aca="false">SUM(U23:U33)</f>
        <v>4007308</v>
      </c>
      <c r="W34" s="154" t="n">
        <f aca="false">SUM(W23:W33)</f>
        <v>0</v>
      </c>
      <c r="Y34" s="154" t="n">
        <f aca="false">SUM(Y23:Y33)</f>
        <v>615000</v>
      </c>
      <c r="AA34" s="154" t="n">
        <f aca="false">SUM(AA23:AA33)</f>
        <v>1398550.2</v>
      </c>
      <c r="AC34" s="154" t="n">
        <f aca="false">SUM(AC23:AC33)</f>
        <v>821775</v>
      </c>
      <c r="AE34" s="154" t="n">
        <f aca="false">SUM(AE23:AE33)</f>
        <v>445570.46</v>
      </c>
      <c r="AF34" s="129"/>
      <c r="AG34" s="154" t="n">
        <f aca="false">SUM(AG23:AG33)</f>
        <v>0</v>
      </c>
      <c r="AH34" s="129"/>
      <c r="AI34" s="154" t="n">
        <f aca="false">SUM(AI23:AI33)</f>
        <v>0</v>
      </c>
      <c r="AJ34" s="129"/>
      <c r="AK34" s="154" t="n">
        <f aca="false">SUM(AK23:AK33)</f>
        <v>1100955.94</v>
      </c>
      <c r="AL34" s="154"/>
      <c r="AM34" s="154" t="n">
        <f aca="false">SUM(AM23:AM33)</f>
        <v>0</v>
      </c>
      <c r="AN34" s="129"/>
      <c r="AO34" s="154" t="n">
        <f aca="false">SUM(AO23:AO33)</f>
        <v>0</v>
      </c>
      <c r="AP34" s="129"/>
      <c r="AQ34" s="154" t="n">
        <f aca="false">SUM(AQ23:AQ33)</f>
        <v>0</v>
      </c>
      <c r="AS34" s="155" t="n">
        <f aca="false">SUM(AS23:AS33)</f>
        <v>10286720.6</v>
      </c>
      <c r="AU34" s="154" t="n">
        <f aca="false">SUM(AU23:AU33)</f>
        <v>0</v>
      </c>
      <c r="AW34" s="155" t="n">
        <f aca="false">SUM(AW23:AW33)</f>
        <v>0.399999999994179</v>
      </c>
      <c r="AY34" s="155" t="n">
        <f aca="false">SUM(AY23:AY33)</f>
        <v>10286721</v>
      </c>
      <c r="BA34" s="136" t="n">
        <f aca="false">SUM(BA23:BA33)</f>
        <v>-236971</v>
      </c>
    </row>
    <row r="35" customFormat="false" ht="12.75" hidden="false" customHeight="false" outlineLevel="0" collapsed="false">
      <c r="A35" s="217"/>
      <c r="B35" s="127"/>
      <c r="C35" s="218"/>
      <c r="E35" s="94"/>
      <c r="K35" s="24"/>
      <c r="M35" s="24"/>
      <c r="O35" s="24"/>
      <c r="Q35" s="129"/>
      <c r="S35" s="129"/>
      <c r="U35" s="129"/>
      <c r="W35" s="129"/>
      <c r="Y35" s="129"/>
      <c r="AA35" s="129"/>
      <c r="AC35" s="129"/>
      <c r="AE35" s="129"/>
      <c r="AF35" s="129"/>
      <c r="AG35" s="129"/>
      <c r="AH35" s="129"/>
      <c r="AI35" s="129"/>
      <c r="AJ35" s="129"/>
      <c r="AK35" s="129"/>
      <c r="AL35" s="129"/>
      <c r="AM35" s="129"/>
      <c r="AN35" s="129"/>
      <c r="AO35" s="129"/>
      <c r="AP35" s="129"/>
      <c r="AQ35" s="129"/>
      <c r="AS35" s="24"/>
      <c r="AU35" s="129"/>
      <c r="AW35" s="24"/>
      <c r="AY35" s="24"/>
      <c r="BA35" s="136"/>
    </row>
    <row r="36" customFormat="false" ht="12.75" hidden="false" customHeight="false" outlineLevel="0" collapsed="false">
      <c r="A36" s="212"/>
      <c r="B36" s="222" t="s">
        <v>196</v>
      </c>
      <c r="C36" s="218"/>
      <c r="E36" s="94"/>
      <c r="K36" s="24" t="n">
        <f aca="false">K34+K21</f>
        <v>109906930</v>
      </c>
      <c r="M36" s="24" t="n">
        <f aca="false">M34+M21</f>
        <v>-408000</v>
      </c>
      <c r="O36" s="24" t="n">
        <f aca="false">O34+O21</f>
        <v>109498930</v>
      </c>
      <c r="Q36" s="129" t="n">
        <f aca="false">Q34+Q21</f>
        <v>39275337.48</v>
      </c>
      <c r="S36" s="129" t="n">
        <f aca="false">S34+S21</f>
        <v>0</v>
      </c>
      <c r="U36" s="129" t="n">
        <f aca="false">U34+U21</f>
        <v>10866527.62</v>
      </c>
      <c r="W36" s="129" t="n">
        <f aca="false">W34+W21</f>
        <v>6859219.62</v>
      </c>
      <c r="Y36" s="129" t="n">
        <f aca="false">Y34+Y21</f>
        <v>12941713.52</v>
      </c>
      <c r="AA36" s="129" t="n">
        <f aca="false">AA34+AA21</f>
        <v>14318260.06</v>
      </c>
      <c r="AC36" s="129" t="n">
        <f aca="false">AC34+AC21</f>
        <v>16035166.9</v>
      </c>
      <c r="AE36" s="129" t="n">
        <f aca="false">AE34+AE21</f>
        <v>445570.46</v>
      </c>
      <c r="AF36" s="129"/>
      <c r="AG36" s="129" t="n">
        <f aca="false">AG34+AG21</f>
        <v>0</v>
      </c>
      <c r="AH36" s="129"/>
      <c r="AI36" s="129" t="n">
        <f aca="false">AI34+AI21</f>
        <v>3280101</v>
      </c>
      <c r="AJ36" s="129"/>
      <c r="AK36" s="129" t="n">
        <f aca="false">AK34+AK21</f>
        <v>1100955.94</v>
      </c>
      <c r="AL36" s="129"/>
      <c r="AM36" s="129" t="n">
        <f aca="false">AM34+AM21</f>
        <v>0</v>
      </c>
      <c r="AN36" s="129"/>
      <c r="AO36" s="129" t="n">
        <f aca="false">AO34+AO21</f>
        <v>4852795.92</v>
      </c>
      <c r="AP36" s="129"/>
      <c r="AQ36" s="129" t="n">
        <f aca="false">AQ34+AQ21</f>
        <v>0</v>
      </c>
      <c r="AS36" s="24" t="n">
        <f aca="false">AS34+AS21</f>
        <v>109975648.52</v>
      </c>
      <c r="AU36" s="96" t="n">
        <f aca="false">AU34+AU21</f>
        <v>1531200</v>
      </c>
      <c r="AW36" s="24" t="n">
        <f aca="false">AW34+AW21</f>
        <v>1940180.4</v>
      </c>
      <c r="AY36" s="24" t="n">
        <f aca="false">+AW36+AS36</f>
        <v>111915828.92</v>
      </c>
      <c r="BA36" s="136" t="n">
        <f aca="false">O36-AS36-AW36</f>
        <v>-2416898.92</v>
      </c>
      <c r="BC36" s="90" t="s">
        <v>384</v>
      </c>
    </row>
    <row r="37" customFormat="false" ht="12.75" hidden="false" customHeight="false" outlineLevel="0" collapsed="false">
      <c r="A37" s="220"/>
      <c r="B37" s="144"/>
      <c r="C37" s="221"/>
      <c r="E37" s="94"/>
      <c r="U37" s="96"/>
      <c r="AU37" s="96"/>
    </row>
    <row r="38" customFormat="false" ht="12.75" hidden="false" customHeight="false" outlineLevel="0" collapsed="false">
      <c r="A38" s="130" t="s">
        <v>197</v>
      </c>
      <c r="B38" s="219"/>
      <c r="C38" s="218" t="n">
        <v>0</v>
      </c>
      <c r="E38" s="94"/>
      <c r="U38" s="96"/>
      <c r="AE38" s="96"/>
      <c r="AF38" s="96"/>
      <c r="AG38" s="96"/>
      <c r="AH38" s="96"/>
      <c r="AI38" s="96"/>
      <c r="AJ38" s="96"/>
      <c r="AK38" s="96"/>
      <c r="AL38" s="96"/>
      <c r="AM38" s="96"/>
      <c r="AN38" s="96"/>
      <c r="AO38" s="96"/>
      <c r="AP38" s="96"/>
      <c r="AQ38" s="96"/>
      <c r="AU38" s="96"/>
    </row>
    <row r="39" customFormat="false" ht="12.75" hidden="false" customHeight="false" outlineLevel="0" collapsed="false">
      <c r="A39" s="131"/>
      <c r="B39" s="132" t="s">
        <v>198</v>
      </c>
      <c r="C39" s="218" t="s">
        <v>199</v>
      </c>
      <c r="E39" s="94" t="s">
        <v>173</v>
      </c>
      <c r="G39" s="94" t="s">
        <v>385</v>
      </c>
      <c r="I39" s="94" t="s">
        <v>174</v>
      </c>
      <c r="K39" s="133" t="n">
        <v>251225</v>
      </c>
      <c r="M39" s="133" t="n">
        <f aca="false">397500-251225</f>
        <v>146275</v>
      </c>
      <c r="O39" s="133" t="n">
        <f aca="false">SUM(K39:N39)</f>
        <v>397500</v>
      </c>
      <c r="S39" s="96" t="n">
        <f aca="false">43345.07+12903.68+6992.95+33155.2+39118.25+1430</f>
        <v>136945.15</v>
      </c>
      <c r="U39" s="96" t="n">
        <v>0</v>
      </c>
      <c r="AE39" s="96" t="n">
        <f aca="false">45198.48+49849.04+48291.76+29357.99+56561.66</f>
        <v>229258.93</v>
      </c>
      <c r="AF39" s="96"/>
      <c r="AG39" s="96" t="n">
        <f aca="false">51276.66+54982.95</f>
        <v>106259.61</v>
      </c>
      <c r="AH39" s="96"/>
      <c r="AI39" s="96" t="n">
        <v>39750.6</v>
      </c>
      <c r="AJ39" s="96"/>
      <c r="AK39" s="96"/>
      <c r="AL39" s="96"/>
      <c r="AM39" s="96" t="n">
        <v>16656.85</v>
      </c>
      <c r="AN39" s="96"/>
      <c r="AO39" s="96" t="n">
        <v>4851.78</v>
      </c>
      <c r="AP39" s="96"/>
      <c r="AQ39" s="96" t="n">
        <v>1424.38</v>
      </c>
      <c r="AS39" s="95" t="n">
        <f aca="false">SUM(P39:AR39)</f>
        <v>535147.3</v>
      </c>
      <c r="AU39" s="96" t="n">
        <f aca="false">451000-397500+62200+22800-2277+3390</f>
        <v>139613</v>
      </c>
      <c r="AW39" s="95" t="n">
        <f aca="false">IF(+O39-AS39+AU39&gt;0,O39-AS39+AU39,0)</f>
        <v>1965.69999999995</v>
      </c>
      <c r="AY39" s="95" t="n">
        <f aca="false">+AW39+AS39</f>
        <v>537113</v>
      </c>
      <c r="BA39" s="136" t="n">
        <f aca="false">O39-AS39-AW39</f>
        <v>-139613</v>
      </c>
      <c r="BC39" s="96"/>
    </row>
    <row r="40" customFormat="false" ht="12.75" hidden="false" customHeight="false" outlineLevel="0" collapsed="false">
      <c r="A40" s="131"/>
      <c r="B40" s="132" t="s">
        <v>200</v>
      </c>
      <c r="C40" s="218" t="s">
        <v>199</v>
      </c>
      <c r="E40" s="94" t="s">
        <v>173</v>
      </c>
      <c r="G40" s="94" t="s">
        <v>385</v>
      </c>
      <c r="I40" s="94" t="s">
        <v>174</v>
      </c>
      <c r="K40" s="133" t="n">
        <v>6500</v>
      </c>
      <c r="M40" s="133" t="n">
        <v>5700</v>
      </c>
      <c r="O40" s="133" t="n">
        <f aca="false">SUM(K40:N40)</f>
        <v>12200</v>
      </c>
      <c r="U40" s="96"/>
      <c r="AE40" s="96"/>
      <c r="AS40" s="95" t="n">
        <f aca="false">SUM(P40:AR40)</f>
        <v>0</v>
      </c>
      <c r="AU40" s="96" t="n">
        <v>-12200</v>
      </c>
      <c r="AW40" s="95" t="n">
        <f aca="false">IF(+O40-AS40+AU40&gt;0,O40-AS40+AU40,0)</f>
        <v>0</v>
      </c>
      <c r="AY40" s="95" t="n">
        <f aca="false">+AW40+AS40</f>
        <v>0</v>
      </c>
      <c r="BA40" s="136" t="n">
        <f aca="false">O40-AS40-AW40</f>
        <v>12200</v>
      </c>
    </row>
    <row r="41" customFormat="false" ht="12.75" hidden="false" customHeight="false" outlineLevel="0" collapsed="false">
      <c r="A41" s="145"/>
      <c r="B41" s="132" t="s">
        <v>201</v>
      </c>
      <c r="C41" s="218" t="s">
        <v>199</v>
      </c>
      <c r="E41" s="94" t="s">
        <v>173</v>
      </c>
      <c r="G41" s="94" t="s">
        <v>385</v>
      </c>
      <c r="I41" s="94" t="s">
        <v>174</v>
      </c>
      <c r="K41" s="133" t="n">
        <v>24500</v>
      </c>
      <c r="M41" s="133" t="n">
        <v>0</v>
      </c>
      <c r="O41" s="133" t="n">
        <f aca="false">SUM(K41:N41)</f>
        <v>24500</v>
      </c>
      <c r="U41" s="96"/>
      <c r="AE41" s="96" t="n">
        <f aca="false">9495.51+12545.77+1664.69</f>
        <v>23705.97</v>
      </c>
      <c r="AG41" s="96" t="n">
        <f aca="false">1308.97+13891.32</f>
        <v>15200.29</v>
      </c>
      <c r="AH41" s="96"/>
      <c r="AI41" s="96" t="n">
        <v>157.27</v>
      </c>
      <c r="AJ41" s="96"/>
      <c r="AK41" s="96"/>
      <c r="AL41" s="96"/>
      <c r="AM41" s="96"/>
      <c r="AN41" s="96"/>
      <c r="AO41" s="96"/>
      <c r="AP41" s="96"/>
      <c r="AQ41" s="96"/>
      <c r="AS41" s="95" t="n">
        <f aca="false">SUM(P41:AR41)</f>
        <v>39063.53</v>
      </c>
      <c r="AU41" s="96" t="n">
        <f aca="false">47300-24500-8236</f>
        <v>14564</v>
      </c>
      <c r="AW41" s="95" t="n">
        <f aca="false">IF(+O41-AS41+AU41&gt;0,O41-AS41+AU41,0)</f>
        <v>0.47000000000844</v>
      </c>
      <c r="AY41" s="95" t="n">
        <f aca="false">+AW41+AS41</f>
        <v>39064</v>
      </c>
      <c r="BA41" s="136" t="n">
        <f aca="false">O41-AS41-AW41</f>
        <v>-14564</v>
      </c>
    </row>
    <row r="42" customFormat="false" ht="12.75" hidden="false" customHeight="false" outlineLevel="0" collapsed="false">
      <c r="A42" s="145"/>
      <c r="B42" s="132" t="s">
        <v>202</v>
      </c>
      <c r="C42" s="218" t="s">
        <v>199</v>
      </c>
      <c r="E42" s="94" t="s">
        <v>173</v>
      </c>
      <c r="G42" s="90"/>
      <c r="I42" s="94" t="s">
        <v>174</v>
      </c>
      <c r="K42" s="133" t="n">
        <v>113050</v>
      </c>
      <c r="M42" s="133" t="n">
        <f aca="false">115300-113050</f>
        <v>2250</v>
      </c>
      <c r="O42" s="133" t="n">
        <f aca="false">SUM(K42:N42)</f>
        <v>115300</v>
      </c>
      <c r="S42" s="96" t="n">
        <f aca="false">7097.31+2098.7</f>
        <v>9196.01</v>
      </c>
      <c r="U42" s="96" t="n">
        <v>0</v>
      </c>
      <c r="AE42" s="96" t="n">
        <f aca="false">4812.18+5088.42+8316.9+668.53+9939.82</f>
        <v>28825.85</v>
      </c>
      <c r="AG42" s="96" t="n">
        <f aca="false">9621.68+12783.45</f>
        <v>22405.13</v>
      </c>
      <c r="AH42" s="96"/>
      <c r="AI42" s="96" t="n">
        <v>1614.84</v>
      </c>
      <c r="AJ42" s="96"/>
      <c r="AK42" s="96"/>
      <c r="AL42" s="96"/>
      <c r="AM42" s="96" t="n">
        <v>10762.23</v>
      </c>
      <c r="AN42" s="96"/>
      <c r="AO42" s="96" t="n">
        <v>6032.65</v>
      </c>
      <c r="AP42" s="96"/>
      <c r="AQ42" s="96"/>
      <c r="AS42" s="95" t="n">
        <f aca="false">SUM(P42:AR42)</f>
        <v>78836.71</v>
      </c>
      <c r="AU42" s="96" t="n">
        <f aca="false">137000-115300-50000</f>
        <v>-28300</v>
      </c>
      <c r="AW42" s="95" t="n">
        <f aca="false">IF(+O42-AS42+AU42&gt;0,O42-AS42+AU42,0)</f>
        <v>8163.29000000001</v>
      </c>
      <c r="AY42" s="95" t="n">
        <f aca="false">+AW42+AS42</f>
        <v>87000</v>
      </c>
      <c r="BA42" s="136" t="n">
        <f aca="false">O42-AS42-AW42</f>
        <v>28300</v>
      </c>
    </row>
    <row r="43" customFormat="false" ht="12.75" hidden="false" customHeight="false" outlineLevel="0" collapsed="false">
      <c r="A43" s="145"/>
      <c r="B43" s="223" t="s">
        <v>203</v>
      </c>
      <c r="C43" s="218"/>
      <c r="E43" s="94"/>
      <c r="G43" s="90"/>
      <c r="K43" s="138" t="n">
        <v>0</v>
      </c>
      <c r="M43" s="138" t="n">
        <v>70600</v>
      </c>
      <c r="O43" s="138" t="n">
        <f aca="false">SUM(K43:N43)</f>
        <v>70600</v>
      </c>
      <c r="Q43" s="139"/>
      <c r="S43" s="139" t="n">
        <v>87652.89</v>
      </c>
      <c r="U43" s="96"/>
      <c r="AE43" s="96" t="n">
        <v>35124.32</v>
      </c>
      <c r="AS43" s="95" t="n">
        <f aca="false">SUM(P43:AR43)</f>
        <v>122777.21</v>
      </c>
      <c r="AU43" s="96" t="n">
        <f aca="false">122777-70600</f>
        <v>52177</v>
      </c>
      <c r="AW43" s="95" t="n">
        <f aca="false">IF(+O43-AS43+AU43&gt;0,O43-AS43+AU43,0)</f>
        <v>0</v>
      </c>
      <c r="AY43" s="95" t="n">
        <f aca="false">+AW43+AS43</f>
        <v>122777.21</v>
      </c>
      <c r="BA43" s="141" t="n">
        <f aca="false">O43-AS43-AW43</f>
        <v>-52177.21</v>
      </c>
    </row>
    <row r="44" customFormat="false" ht="12.75" hidden="false" customHeight="false" outlineLevel="0" collapsed="false">
      <c r="A44" s="224"/>
      <c r="B44" s="132" t="s">
        <v>204</v>
      </c>
      <c r="C44" s="218"/>
      <c r="E44" s="94"/>
      <c r="G44" s="90"/>
      <c r="K44" s="24" t="n">
        <f aca="false">SUM(K39:K43)</f>
        <v>395275</v>
      </c>
      <c r="M44" s="24" t="n">
        <f aca="false">SUM(M39:M43)</f>
        <v>224825</v>
      </c>
      <c r="O44" s="24" t="n">
        <f aca="false">SUM(O39:O43)</f>
        <v>620100</v>
      </c>
      <c r="Q44" s="129" t="n">
        <f aca="false">SUM(Q39:Q43)</f>
        <v>0</v>
      </c>
      <c r="S44" s="129" t="n">
        <f aca="false">SUM(S39:S43)</f>
        <v>233794.05</v>
      </c>
      <c r="U44" s="154" t="n">
        <f aca="false">SUM(U39:U43)</f>
        <v>0</v>
      </c>
      <c r="W44" s="154" t="n">
        <f aca="false">SUM(W39:W43)</f>
        <v>0</v>
      </c>
      <c r="Y44" s="154" t="n">
        <f aca="false">SUM(Y39:Y43)</f>
        <v>0</v>
      </c>
      <c r="AA44" s="154" t="n">
        <f aca="false">SUM(AA39:AA43)</f>
        <v>0</v>
      </c>
      <c r="AC44" s="154" t="n">
        <f aca="false">SUM(AC39:AC43)</f>
        <v>0</v>
      </c>
      <c r="AE44" s="154" t="n">
        <f aca="false">SUM(AE39:AE43)</f>
        <v>316915.07</v>
      </c>
      <c r="AF44" s="129"/>
      <c r="AG44" s="154" t="n">
        <f aca="false">SUM(AG39:AG43)</f>
        <v>143865.03</v>
      </c>
      <c r="AH44" s="129"/>
      <c r="AI44" s="154" t="n">
        <f aca="false">SUM(AI39:AI43)</f>
        <v>41522.71</v>
      </c>
      <c r="AJ44" s="129"/>
      <c r="AK44" s="154" t="n">
        <f aca="false">SUM(AK39:AK43)</f>
        <v>0</v>
      </c>
      <c r="AL44" s="154"/>
      <c r="AM44" s="154" t="n">
        <f aca="false">SUM(AM39:AM43)</f>
        <v>27419.08</v>
      </c>
      <c r="AN44" s="129"/>
      <c r="AO44" s="154" t="n">
        <f aca="false">SUM(AO39:AO43)</f>
        <v>10884.43</v>
      </c>
      <c r="AP44" s="129"/>
      <c r="AQ44" s="154" t="n">
        <f aca="false">SUM(AQ39:AQ43)</f>
        <v>1424.38</v>
      </c>
      <c r="AS44" s="155" t="n">
        <f aca="false">SUM(AS39:AS43)</f>
        <v>775824.75</v>
      </c>
      <c r="AU44" s="154" t="n">
        <f aca="false">SUM(AU39:AU43)</f>
        <v>165854</v>
      </c>
      <c r="AW44" s="155" t="n">
        <f aca="false">SUM(AW39:AW43)</f>
        <v>10129.46</v>
      </c>
      <c r="AY44" s="155" t="n">
        <f aca="false">SUM(AY39:AY43)</f>
        <v>785954.21</v>
      </c>
      <c r="BA44" s="155" t="n">
        <f aca="false">SUM(BA39:BA43)</f>
        <v>-165854.21</v>
      </c>
    </row>
    <row r="45" customFormat="false" ht="12.75" hidden="false" customHeight="false" outlineLevel="0" collapsed="false">
      <c r="A45" s="145"/>
      <c r="B45" s="132"/>
      <c r="C45" s="218"/>
      <c r="E45" s="94"/>
      <c r="G45" s="90"/>
      <c r="U45" s="96"/>
    </row>
    <row r="46" customFormat="false" ht="12.75" hidden="false" customHeight="false" outlineLevel="0" collapsed="false">
      <c r="A46" s="225"/>
      <c r="B46" s="132"/>
      <c r="C46" s="218"/>
      <c r="E46" s="94"/>
      <c r="U46" s="96"/>
    </row>
    <row r="47" customFormat="false" ht="12.75" hidden="false" customHeight="false" outlineLevel="0" collapsed="false">
      <c r="A47" s="152" t="s">
        <v>205</v>
      </c>
      <c r="B47" s="132"/>
      <c r="C47" s="218"/>
      <c r="E47" s="94"/>
      <c r="G47" s="90"/>
      <c r="U47" s="96"/>
    </row>
    <row r="48" customFormat="false" ht="12.75" hidden="false" customHeight="false" outlineLevel="0" collapsed="false">
      <c r="A48" s="152"/>
      <c r="B48" s="132" t="s">
        <v>206</v>
      </c>
      <c r="C48" s="218" t="s">
        <v>207</v>
      </c>
      <c r="E48" s="94" t="s">
        <v>173</v>
      </c>
      <c r="G48" s="94" t="s">
        <v>208</v>
      </c>
      <c r="K48" s="133" t="n">
        <v>21792</v>
      </c>
      <c r="O48" s="133" t="n">
        <f aca="false">SUM(K48:N48)</f>
        <v>21792</v>
      </c>
      <c r="Q48" s="157"/>
      <c r="R48" s="216"/>
      <c r="S48" s="157"/>
      <c r="T48" s="216"/>
      <c r="U48" s="96" t="n">
        <v>0</v>
      </c>
      <c r="V48" s="96"/>
      <c r="W48" s="96"/>
      <c r="X48" s="96"/>
      <c r="Y48" s="96"/>
      <c r="Z48" s="96"/>
      <c r="AA48" s="96"/>
      <c r="AB48" s="95"/>
      <c r="AC48" s="96"/>
      <c r="AD48" s="95"/>
      <c r="AE48" s="96"/>
      <c r="AF48" s="96"/>
      <c r="AG48" s="96"/>
      <c r="AH48" s="96"/>
      <c r="AI48" s="96"/>
      <c r="AJ48" s="96"/>
      <c r="AK48" s="96"/>
      <c r="AL48" s="96"/>
      <c r="AM48" s="96"/>
      <c r="AN48" s="96"/>
      <c r="AO48" s="96"/>
      <c r="AP48" s="96"/>
      <c r="AQ48" s="96"/>
      <c r="AR48" s="95"/>
      <c r="AS48" s="95" t="n">
        <f aca="false">SUM(P48:AR48)</f>
        <v>0</v>
      </c>
      <c r="AT48" s="95"/>
      <c r="AU48" s="96" t="n">
        <f aca="false">78000-21792+14000+22229+2000-116229</f>
        <v>-21792</v>
      </c>
      <c r="AV48" s="95"/>
      <c r="AW48" s="95" t="n">
        <f aca="false">IF(+O48-AS48+AU48&gt;0,O48-AS48+AU48,0)</f>
        <v>0</v>
      </c>
      <c r="AX48" s="95"/>
      <c r="AY48" s="95" t="n">
        <f aca="false">+AW48+AS48</f>
        <v>0</v>
      </c>
      <c r="AZ48" s="95"/>
      <c r="BA48" s="136" t="n">
        <f aca="false">O48-AS48-AW48</f>
        <v>21792</v>
      </c>
    </row>
    <row r="49" customFormat="false" ht="12.75" hidden="false" customHeight="false" outlineLevel="0" collapsed="false">
      <c r="A49" s="152"/>
      <c r="B49" s="132" t="s">
        <v>209</v>
      </c>
      <c r="C49" s="218"/>
      <c r="E49" s="94" t="s">
        <v>173</v>
      </c>
      <c r="G49" s="94" t="s">
        <v>208</v>
      </c>
      <c r="K49" s="133" t="n">
        <v>785499</v>
      </c>
      <c r="O49" s="133" t="n">
        <f aca="false">SUM(K49:N49)</f>
        <v>785499</v>
      </c>
      <c r="Q49" s="157"/>
      <c r="R49" s="216"/>
      <c r="S49" s="157"/>
      <c r="T49" s="216"/>
      <c r="U49" s="96" t="n">
        <f aca="false">40600</f>
        <v>40600</v>
      </c>
      <c r="V49" s="96"/>
      <c r="W49" s="96"/>
      <c r="X49" s="96"/>
      <c r="Y49" s="96"/>
      <c r="Z49" s="96"/>
      <c r="AA49" s="96"/>
      <c r="AB49" s="95"/>
      <c r="AC49" s="96"/>
      <c r="AD49" s="95"/>
      <c r="AE49" s="96"/>
      <c r="AF49" s="96"/>
      <c r="AG49" s="96" t="n">
        <v>-40600</v>
      </c>
      <c r="AH49" s="96"/>
      <c r="AI49" s="96"/>
      <c r="AJ49" s="96"/>
      <c r="AK49" s="96"/>
      <c r="AL49" s="96"/>
      <c r="AM49" s="96"/>
      <c r="AN49" s="96"/>
      <c r="AO49" s="96"/>
      <c r="AP49" s="96"/>
      <c r="AQ49" s="96"/>
      <c r="AR49" s="95"/>
      <c r="AS49" s="95" t="n">
        <f aca="false">SUM(P49:AR49)</f>
        <v>0</v>
      </c>
      <c r="AT49" s="95"/>
      <c r="AU49" s="96" t="n">
        <f aca="false">625130-785499+5000-1100+2000-631030</f>
        <v>-785499</v>
      </c>
      <c r="AV49" s="95"/>
      <c r="AW49" s="95" t="n">
        <f aca="false">IF(+O49-AS49+AU49&gt;0,O49-AS49+AU49,0)</f>
        <v>0</v>
      </c>
      <c r="AX49" s="95"/>
      <c r="AY49" s="95" t="n">
        <f aca="false">+AW49+AS49</f>
        <v>0</v>
      </c>
      <c r="AZ49" s="95"/>
      <c r="BA49" s="136" t="n">
        <f aca="false">O49-AS49-AW49</f>
        <v>785499</v>
      </c>
    </row>
    <row r="50" customFormat="false" ht="12.75" hidden="false" customHeight="false" outlineLevel="0" collapsed="false">
      <c r="A50" s="152"/>
      <c r="B50" s="132" t="s">
        <v>210</v>
      </c>
      <c r="C50" s="218"/>
      <c r="E50" s="94" t="s">
        <v>173</v>
      </c>
      <c r="G50" s="94" t="s">
        <v>208</v>
      </c>
      <c r="K50" s="133" t="n">
        <v>18330</v>
      </c>
      <c r="O50" s="133" t="n">
        <f aca="false">SUM(K50:N50)</f>
        <v>18330</v>
      </c>
      <c r="Q50" s="157"/>
      <c r="R50" s="216"/>
      <c r="S50" s="157"/>
      <c r="T50" s="216"/>
      <c r="U50" s="96"/>
      <c r="V50" s="96"/>
      <c r="W50" s="96"/>
      <c r="X50" s="96"/>
      <c r="Y50" s="96"/>
      <c r="Z50" s="96"/>
      <c r="AA50" s="96"/>
      <c r="AB50" s="95"/>
      <c r="AC50" s="96"/>
      <c r="AD50" s="95"/>
      <c r="AE50" s="96"/>
      <c r="AF50" s="96"/>
      <c r="AG50" s="96"/>
      <c r="AH50" s="96"/>
      <c r="AI50" s="96"/>
      <c r="AJ50" s="96"/>
      <c r="AK50" s="96"/>
      <c r="AL50" s="96"/>
      <c r="AM50" s="96"/>
      <c r="AN50" s="96"/>
      <c r="AO50" s="96"/>
      <c r="AP50" s="96"/>
      <c r="AQ50" s="96"/>
      <c r="AR50" s="95"/>
      <c r="AS50" s="95" t="n">
        <f aca="false">SUM(P50:AR50)</f>
        <v>0</v>
      </c>
      <c r="AT50" s="95"/>
      <c r="AU50" s="96" t="n">
        <f aca="false">23860-18330+500+4000-28360</f>
        <v>-18330</v>
      </c>
      <c r="AV50" s="95"/>
      <c r="AW50" s="95" t="n">
        <f aca="false">IF(+O50-AS50+AU50&gt;0,O50-AS50+AU50,0)</f>
        <v>0</v>
      </c>
      <c r="AX50" s="95"/>
      <c r="AY50" s="95" t="n">
        <f aca="false">+AW50+AS50</f>
        <v>0</v>
      </c>
      <c r="AZ50" s="95"/>
      <c r="BA50" s="136" t="n">
        <f aca="false">O50-AS50-AW50</f>
        <v>18330</v>
      </c>
    </row>
    <row r="51" customFormat="false" ht="12.75" hidden="false" customHeight="false" outlineLevel="0" collapsed="false">
      <c r="A51" s="152"/>
      <c r="B51" s="132" t="s">
        <v>211</v>
      </c>
      <c r="C51" s="218"/>
      <c r="E51" s="94" t="s">
        <v>173</v>
      </c>
      <c r="G51" s="94" t="s">
        <v>208</v>
      </c>
      <c r="K51" s="133" t="n">
        <v>357180</v>
      </c>
      <c r="O51" s="133" t="n">
        <f aca="false">SUM(K51:N51)</f>
        <v>357180</v>
      </c>
      <c r="Q51" s="157"/>
      <c r="R51" s="216"/>
      <c r="S51" s="157"/>
      <c r="T51" s="216"/>
      <c r="U51" s="96" t="n">
        <v>53.62</v>
      </c>
      <c r="V51" s="96"/>
      <c r="W51" s="96" t="n">
        <f aca="false">137615+1665.8</f>
        <v>139280.8</v>
      </c>
      <c r="X51" s="96"/>
      <c r="Y51" s="96"/>
      <c r="Z51" s="96"/>
      <c r="AA51" s="96"/>
      <c r="AB51" s="95"/>
      <c r="AC51" s="96"/>
      <c r="AD51" s="95"/>
      <c r="AE51" s="96"/>
      <c r="AF51" s="96"/>
      <c r="AG51" s="96" t="n">
        <v>-139334</v>
      </c>
      <c r="AH51" s="96"/>
      <c r="AI51" s="96"/>
      <c r="AJ51" s="96"/>
      <c r="AK51" s="96"/>
      <c r="AL51" s="96"/>
      <c r="AM51" s="96"/>
      <c r="AN51" s="96"/>
      <c r="AO51" s="96"/>
      <c r="AP51" s="96"/>
      <c r="AQ51" s="96"/>
      <c r="AR51" s="95"/>
      <c r="AS51" s="95" t="n">
        <f aca="false">SUM(P51:AR51)</f>
        <v>0.419999999983702</v>
      </c>
      <c r="AT51" s="95"/>
      <c r="AU51" s="96" t="n">
        <f aca="false">226692-357180-3886-222806</f>
        <v>-357180</v>
      </c>
      <c r="AV51" s="95"/>
      <c r="AW51" s="95" t="n">
        <f aca="false">IF(+O51-AS51+AU51&gt;0,O51-AS51+AU51,0)</f>
        <v>0</v>
      </c>
      <c r="AX51" s="95"/>
      <c r="AY51" s="95" t="n">
        <f aca="false">+AW51+AS51</f>
        <v>0.419999999983702</v>
      </c>
      <c r="AZ51" s="95"/>
      <c r="BA51" s="136" t="n">
        <f aca="false">O51-AS51-AW51</f>
        <v>357179.58</v>
      </c>
    </row>
    <row r="52" customFormat="false" ht="12.75" hidden="false" customHeight="false" outlineLevel="0" collapsed="false">
      <c r="A52" s="152"/>
      <c r="B52" s="132" t="s">
        <v>212</v>
      </c>
      <c r="C52" s="218"/>
      <c r="E52" s="94" t="s">
        <v>173</v>
      </c>
      <c r="G52" s="94" t="s">
        <v>208</v>
      </c>
      <c r="K52" s="133" t="n">
        <v>125690</v>
      </c>
      <c r="O52" s="133" t="n">
        <f aca="false">SUM(K52:N52)</f>
        <v>125690</v>
      </c>
      <c r="Q52" s="157"/>
      <c r="R52" s="216"/>
      <c r="S52" s="157"/>
      <c r="T52" s="216"/>
      <c r="U52" s="96"/>
      <c r="V52" s="96"/>
      <c r="W52" s="96"/>
      <c r="X52" s="96"/>
      <c r="Y52" s="96"/>
      <c r="Z52" s="96"/>
      <c r="AA52" s="96"/>
      <c r="AB52" s="95"/>
      <c r="AC52" s="96"/>
      <c r="AD52" s="95"/>
      <c r="AE52" s="96"/>
      <c r="AF52" s="96"/>
      <c r="AG52" s="96"/>
      <c r="AH52" s="96"/>
      <c r="AI52" s="96"/>
      <c r="AJ52" s="96"/>
      <c r="AK52" s="96"/>
      <c r="AL52" s="96"/>
      <c r="AM52" s="96"/>
      <c r="AN52" s="96"/>
      <c r="AO52" s="96"/>
      <c r="AP52" s="96"/>
      <c r="AQ52" s="96"/>
      <c r="AR52" s="95"/>
      <c r="AS52" s="95" t="n">
        <f aca="false">SUM(P52:AR52)</f>
        <v>0</v>
      </c>
      <c r="AT52" s="95"/>
      <c r="AU52" s="96" t="n">
        <v>-125690</v>
      </c>
      <c r="AV52" s="95"/>
      <c r="AW52" s="95" t="n">
        <f aca="false">IF(+O52-AS52+AU52&gt;0,O52-AS52+AU52,0)</f>
        <v>0</v>
      </c>
      <c r="AX52" s="95"/>
      <c r="AY52" s="95" t="n">
        <f aca="false">+AW52+AS52</f>
        <v>0</v>
      </c>
      <c r="AZ52" s="95"/>
      <c r="BA52" s="136" t="n">
        <f aca="false">O52-AS52-AW52</f>
        <v>125690</v>
      </c>
    </row>
    <row r="53" customFormat="false" ht="12.75" hidden="false" customHeight="false" outlineLevel="0" collapsed="false">
      <c r="A53" s="152"/>
      <c r="B53" s="132" t="s">
        <v>213</v>
      </c>
      <c r="C53" s="218"/>
      <c r="E53" s="94" t="s">
        <v>173</v>
      </c>
      <c r="G53" s="94" t="s">
        <v>208</v>
      </c>
      <c r="K53" s="133" t="n">
        <v>2762</v>
      </c>
      <c r="O53" s="133" t="n">
        <f aca="false">SUM(K53:N53)</f>
        <v>2762</v>
      </c>
      <c r="Q53" s="157"/>
      <c r="R53" s="216"/>
      <c r="S53" s="157"/>
      <c r="T53" s="216"/>
      <c r="U53" s="96" t="n">
        <f aca="false">13144+9858</f>
        <v>23002</v>
      </c>
      <c r="V53" s="96"/>
      <c r="W53" s="96" t="n">
        <v>26288</v>
      </c>
      <c r="X53" s="96"/>
      <c r="Y53" s="96"/>
      <c r="Z53" s="96"/>
      <c r="AA53" s="96"/>
      <c r="AB53" s="95"/>
      <c r="AC53" s="96"/>
      <c r="AD53" s="95"/>
      <c r="AE53" s="96"/>
      <c r="AF53" s="96"/>
      <c r="AG53" s="96" t="n">
        <v>-49290</v>
      </c>
      <c r="AH53" s="96"/>
      <c r="AI53" s="96"/>
      <c r="AJ53" s="96"/>
      <c r="AK53" s="96"/>
      <c r="AL53" s="96"/>
      <c r="AM53" s="96"/>
      <c r="AN53" s="96"/>
      <c r="AO53" s="96"/>
      <c r="AP53" s="96"/>
      <c r="AQ53" s="96"/>
      <c r="AR53" s="95"/>
      <c r="AS53" s="95" t="n">
        <f aca="false">SUM(P53:AR53)</f>
        <v>0</v>
      </c>
      <c r="AT53" s="95"/>
      <c r="AU53" s="96" t="n">
        <f aca="false">99951-2762+916-100867</f>
        <v>-2762</v>
      </c>
      <c r="AV53" s="95"/>
      <c r="AW53" s="95" t="n">
        <f aca="false">IF(+O53-AS53+AU53&gt;0,O53-AS53+AU53,0)</f>
        <v>0</v>
      </c>
      <c r="AX53" s="95" t="n">
        <v>0</v>
      </c>
      <c r="AY53" s="95" t="n">
        <f aca="false">+AW53+AS53</f>
        <v>0</v>
      </c>
      <c r="AZ53" s="95"/>
      <c r="BA53" s="136" t="n">
        <f aca="false">O53-AS53-AW53</f>
        <v>2762</v>
      </c>
      <c r="BB53" s="90" t="n">
        <v>0</v>
      </c>
    </row>
    <row r="54" customFormat="false" ht="12.75" hidden="false" customHeight="false" outlineLevel="0" collapsed="false">
      <c r="A54" s="152"/>
      <c r="B54" s="132" t="s">
        <v>386</v>
      </c>
      <c r="C54" s="218"/>
      <c r="E54" s="94" t="s">
        <v>173</v>
      </c>
      <c r="G54" s="94" t="s">
        <v>208</v>
      </c>
      <c r="K54" s="133" t="n">
        <v>0</v>
      </c>
      <c r="O54" s="133" t="n">
        <f aca="false">SUM(K54:N54)</f>
        <v>0</v>
      </c>
      <c r="Q54" s="157"/>
      <c r="R54" s="216"/>
      <c r="S54" s="157"/>
      <c r="T54" s="216"/>
      <c r="U54" s="96" t="n">
        <v>0</v>
      </c>
      <c r="V54" s="96"/>
      <c r="W54" s="96"/>
      <c r="X54" s="96"/>
      <c r="Y54" s="96"/>
      <c r="Z54" s="96"/>
      <c r="AA54" s="96"/>
      <c r="AB54" s="95"/>
      <c r="AC54" s="96"/>
      <c r="AD54" s="95"/>
      <c r="AE54" s="96"/>
      <c r="AF54" s="96"/>
      <c r="AG54" s="96"/>
      <c r="AH54" s="96"/>
      <c r="AI54" s="96"/>
      <c r="AJ54" s="96"/>
      <c r="AK54" s="96"/>
      <c r="AL54" s="96"/>
      <c r="AM54" s="96"/>
      <c r="AN54" s="96"/>
      <c r="AO54" s="96"/>
      <c r="AP54" s="96"/>
      <c r="AQ54" s="96"/>
      <c r="AR54" s="95"/>
      <c r="AS54" s="95" t="n">
        <f aca="false">SUM(P54:AR54)</f>
        <v>0</v>
      </c>
      <c r="AT54" s="95"/>
      <c r="AU54" s="96" t="n">
        <f aca="false">2891+920+3000+6700-13511</f>
        <v>0</v>
      </c>
      <c r="AV54" s="95"/>
      <c r="AW54" s="95" t="n">
        <f aca="false">IF(+O54-AS54+AU54&gt;0,O54-AS54+AU54,0)</f>
        <v>0</v>
      </c>
      <c r="AX54" s="95"/>
      <c r="AY54" s="95" t="n">
        <f aca="false">+AW54+AS54</f>
        <v>0</v>
      </c>
      <c r="AZ54" s="95"/>
      <c r="BA54" s="136" t="n">
        <f aca="false">O54-AS54-AW54</f>
        <v>0</v>
      </c>
    </row>
    <row r="55" customFormat="false" ht="12.75" hidden="false" customHeight="false" outlineLevel="0" collapsed="false">
      <c r="A55" s="152"/>
      <c r="B55" s="132" t="s">
        <v>387</v>
      </c>
      <c r="C55" s="218"/>
      <c r="E55" s="94"/>
      <c r="G55" s="94" t="s">
        <v>208</v>
      </c>
      <c r="K55" s="133" t="n">
        <v>0</v>
      </c>
      <c r="O55" s="133" t="n">
        <v>0</v>
      </c>
      <c r="Q55" s="157"/>
      <c r="R55" s="216"/>
      <c r="S55" s="157"/>
      <c r="T55" s="216"/>
      <c r="U55" s="96"/>
      <c r="V55" s="96"/>
      <c r="W55" s="96"/>
      <c r="X55" s="96"/>
      <c r="Y55" s="96"/>
      <c r="Z55" s="96"/>
      <c r="AA55" s="96"/>
      <c r="AB55" s="95"/>
      <c r="AC55" s="96"/>
      <c r="AD55" s="95"/>
      <c r="AE55" s="96"/>
      <c r="AF55" s="96"/>
      <c r="AG55" s="96"/>
      <c r="AH55" s="96"/>
      <c r="AI55" s="96"/>
      <c r="AJ55" s="96"/>
      <c r="AK55" s="96"/>
      <c r="AL55" s="96"/>
      <c r="AM55" s="96"/>
      <c r="AN55" s="96"/>
      <c r="AO55" s="96"/>
      <c r="AP55" s="96"/>
      <c r="AQ55" s="96"/>
      <c r="AR55" s="95"/>
      <c r="AS55" s="95"/>
      <c r="AT55" s="95"/>
      <c r="AU55" s="96" t="n">
        <f aca="false">920-920</f>
        <v>0</v>
      </c>
      <c r="AV55" s="95"/>
      <c r="AW55" s="95" t="n">
        <f aca="false">IF(+O55-AS55+AU55&gt;0,O55-AS55+AU55,0)</f>
        <v>0</v>
      </c>
      <c r="AX55" s="95"/>
      <c r="AY55" s="95" t="n">
        <f aca="false">+AW55+AS55</f>
        <v>0</v>
      </c>
      <c r="AZ55" s="95"/>
      <c r="BA55" s="136" t="n">
        <f aca="false">O55-AS55-AW55</f>
        <v>0</v>
      </c>
    </row>
    <row r="56" customFormat="false" ht="12.75" hidden="false" customHeight="false" outlineLevel="0" collapsed="false">
      <c r="A56" s="152"/>
      <c r="B56" s="132" t="s">
        <v>215</v>
      </c>
      <c r="C56" s="218"/>
      <c r="E56" s="94" t="s">
        <v>173</v>
      </c>
      <c r="G56" s="94" t="s">
        <v>208</v>
      </c>
      <c r="K56" s="133" t="n">
        <v>192677</v>
      </c>
      <c r="O56" s="133" t="n">
        <f aca="false">SUM(K56:N56)</f>
        <v>192677</v>
      </c>
      <c r="Q56" s="157"/>
      <c r="R56" s="216"/>
      <c r="S56" s="157"/>
      <c r="T56" s="216"/>
      <c r="U56" s="96"/>
      <c r="V56" s="96"/>
      <c r="W56" s="96"/>
      <c r="X56" s="96"/>
      <c r="Y56" s="96"/>
      <c r="Z56" s="96"/>
      <c r="AA56" s="96"/>
      <c r="AB56" s="95"/>
      <c r="AC56" s="96"/>
      <c r="AD56" s="95"/>
      <c r="AE56" s="96"/>
      <c r="AF56" s="96"/>
      <c r="AG56" s="96"/>
      <c r="AH56" s="96"/>
      <c r="AI56" s="96"/>
      <c r="AJ56" s="96"/>
      <c r="AK56" s="96"/>
      <c r="AL56" s="96"/>
      <c r="AM56" s="96"/>
      <c r="AN56" s="96"/>
      <c r="AO56" s="96"/>
      <c r="AP56" s="96"/>
      <c r="AQ56" s="96"/>
      <c r="AR56" s="95"/>
      <c r="AS56" s="95" t="n">
        <f aca="false">SUM(P56:AR56)</f>
        <v>0</v>
      </c>
      <c r="AT56" s="95"/>
      <c r="AU56" s="96" t="n">
        <f aca="false">121350-192677-7000+8318-122668</f>
        <v>-192677</v>
      </c>
      <c r="AV56" s="95"/>
      <c r="AW56" s="95" t="n">
        <f aca="false">IF(+O56-AS56+AU56&gt;0,O56-AS56+AU56,0)</f>
        <v>0</v>
      </c>
      <c r="AX56" s="95"/>
      <c r="AY56" s="95" t="n">
        <f aca="false">+AW56+AS56</f>
        <v>0</v>
      </c>
      <c r="AZ56" s="95"/>
      <c r="BA56" s="136" t="n">
        <f aca="false">O56-AS56-AW56</f>
        <v>192677</v>
      </c>
    </row>
    <row r="57" customFormat="false" ht="12.75" hidden="false" customHeight="false" outlineLevel="0" collapsed="false">
      <c r="A57" s="152"/>
      <c r="B57" s="132" t="s">
        <v>388</v>
      </c>
      <c r="C57" s="218"/>
      <c r="E57" s="94" t="s">
        <v>173</v>
      </c>
      <c r="G57" s="94" t="s">
        <v>208</v>
      </c>
      <c r="K57" s="133" t="n">
        <v>30000</v>
      </c>
      <c r="O57" s="133" t="n">
        <f aca="false">SUM(K57:N57)</f>
        <v>30000</v>
      </c>
      <c r="Q57" s="157"/>
      <c r="R57" s="216"/>
      <c r="S57" s="157"/>
      <c r="T57" s="216"/>
      <c r="U57" s="96"/>
      <c r="V57" s="96"/>
      <c r="W57" s="96"/>
      <c r="X57" s="96"/>
      <c r="Y57" s="96"/>
      <c r="Z57" s="96"/>
      <c r="AA57" s="96"/>
      <c r="AB57" s="95"/>
      <c r="AC57" s="96"/>
      <c r="AD57" s="95"/>
      <c r="AE57" s="96"/>
      <c r="AF57" s="96"/>
      <c r="AG57" s="96"/>
      <c r="AH57" s="96"/>
      <c r="AI57" s="96"/>
      <c r="AJ57" s="96"/>
      <c r="AK57" s="96"/>
      <c r="AL57" s="96"/>
      <c r="AM57" s="96"/>
      <c r="AN57" s="96"/>
      <c r="AO57" s="96"/>
      <c r="AP57" s="96"/>
      <c r="AQ57" s="96"/>
      <c r="AR57" s="95"/>
      <c r="AS57" s="95" t="n">
        <f aca="false">SUM(P57:AR57)</f>
        <v>0</v>
      </c>
      <c r="AT57" s="95"/>
      <c r="AU57" s="96" t="n">
        <v>-30000</v>
      </c>
      <c r="AV57" s="95"/>
      <c r="AW57" s="95" t="n">
        <f aca="false">IF(+O57-AS57+AU57&gt;0,O57-AS57+AU57,0)</f>
        <v>0</v>
      </c>
      <c r="AX57" s="95"/>
      <c r="AY57" s="95" t="n">
        <f aca="false">+AW57+AS57</f>
        <v>0</v>
      </c>
      <c r="AZ57" s="95"/>
      <c r="BA57" s="136" t="n">
        <f aca="false">O57-AS57-AW57</f>
        <v>30000</v>
      </c>
    </row>
    <row r="58" customFormat="false" ht="12.75" hidden="false" customHeight="false" outlineLevel="0" collapsed="false">
      <c r="A58" s="152"/>
      <c r="B58" s="132" t="s">
        <v>389</v>
      </c>
      <c r="C58" s="218"/>
      <c r="E58" s="94" t="s">
        <v>173</v>
      </c>
      <c r="G58" s="94" t="s">
        <v>208</v>
      </c>
      <c r="K58" s="133" t="n">
        <v>44197</v>
      </c>
      <c r="O58" s="133" t="n">
        <f aca="false">SUM(K58:N58)</f>
        <v>44197</v>
      </c>
      <c r="Q58" s="157"/>
      <c r="R58" s="216"/>
      <c r="S58" s="157"/>
      <c r="T58" s="216"/>
      <c r="U58" s="96"/>
      <c r="V58" s="96"/>
      <c r="W58" s="96"/>
      <c r="X58" s="96"/>
      <c r="Y58" s="96"/>
      <c r="Z58" s="96"/>
      <c r="AA58" s="96"/>
      <c r="AB58" s="95"/>
      <c r="AC58" s="96"/>
      <c r="AD58" s="95"/>
      <c r="AE58" s="96"/>
      <c r="AF58" s="96"/>
      <c r="AG58" s="96"/>
      <c r="AH58" s="96"/>
      <c r="AI58" s="96"/>
      <c r="AJ58" s="96"/>
      <c r="AK58" s="96"/>
      <c r="AL58" s="96"/>
      <c r="AM58" s="96"/>
      <c r="AN58" s="96"/>
      <c r="AO58" s="96"/>
      <c r="AP58" s="96"/>
      <c r="AQ58" s="96"/>
      <c r="AR58" s="95"/>
      <c r="AS58" s="95" t="n">
        <f aca="false">SUM(P58:AR58)</f>
        <v>0</v>
      </c>
      <c r="AT58" s="95"/>
      <c r="AU58" s="96" t="n">
        <f aca="false">38712-44197-38712</f>
        <v>-44197</v>
      </c>
      <c r="AV58" s="95"/>
      <c r="AW58" s="95" t="n">
        <f aca="false">IF(+O58-AS58+AU58&gt;0,O58-AS58+AU58,0)</f>
        <v>0</v>
      </c>
      <c r="AX58" s="95"/>
      <c r="AY58" s="95" t="n">
        <f aca="false">+AW58+AS58</f>
        <v>0</v>
      </c>
      <c r="AZ58" s="95"/>
      <c r="BA58" s="136" t="n">
        <f aca="false">O58-AS58-AW58</f>
        <v>44197</v>
      </c>
    </row>
    <row r="59" customFormat="false" ht="12.75" hidden="false" customHeight="false" outlineLevel="0" collapsed="false">
      <c r="A59" s="152"/>
      <c r="B59" s="132" t="s">
        <v>217</v>
      </c>
      <c r="C59" s="218"/>
      <c r="E59" s="94" t="s">
        <v>173</v>
      </c>
      <c r="G59" s="94" t="s">
        <v>208</v>
      </c>
      <c r="K59" s="133" t="n">
        <v>49514</v>
      </c>
      <c r="O59" s="133" t="n">
        <f aca="false">SUM(K59:N59)</f>
        <v>49514</v>
      </c>
      <c r="Q59" s="157"/>
      <c r="R59" s="216"/>
      <c r="S59" s="157"/>
      <c r="T59" s="216"/>
      <c r="U59" s="96"/>
      <c r="V59" s="96"/>
      <c r="W59" s="96"/>
      <c r="X59" s="96"/>
      <c r="Y59" s="96"/>
      <c r="Z59" s="96"/>
      <c r="AA59" s="96"/>
      <c r="AB59" s="95"/>
      <c r="AC59" s="96"/>
      <c r="AD59" s="95"/>
      <c r="AE59" s="96"/>
      <c r="AF59" s="96"/>
      <c r="AG59" s="96"/>
      <c r="AH59" s="96"/>
      <c r="AI59" s="96"/>
      <c r="AJ59" s="96"/>
      <c r="AK59" s="96"/>
      <c r="AL59" s="96"/>
      <c r="AM59" s="96"/>
      <c r="AN59" s="96"/>
      <c r="AO59" s="96"/>
      <c r="AP59" s="96"/>
      <c r="AQ59" s="96"/>
      <c r="AR59" s="95"/>
      <c r="AS59" s="95" t="n">
        <f aca="false">SUM(P59:AR59)</f>
        <v>0</v>
      </c>
      <c r="AT59" s="95"/>
      <c r="AU59" s="96" t="n">
        <f aca="false">16002-49514+1615-17617</f>
        <v>-49514</v>
      </c>
      <c r="AV59" s="95"/>
      <c r="AW59" s="95" t="n">
        <f aca="false">IF(+O59-AS59+AU59&gt;0,O59-AS59+AU59,0)</f>
        <v>0</v>
      </c>
      <c r="AX59" s="95"/>
      <c r="AY59" s="95" t="n">
        <f aca="false">+AW59+AS59</f>
        <v>0</v>
      </c>
      <c r="AZ59" s="95"/>
      <c r="BA59" s="136" t="n">
        <f aca="false">O59-AS59-AW59</f>
        <v>49514</v>
      </c>
    </row>
    <row r="60" customFormat="false" ht="12.75" hidden="false" customHeight="false" outlineLevel="0" collapsed="false">
      <c r="A60" s="152"/>
      <c r="B60" s="132" t="s">
        <v>218</v>
      </c>
      <c r="C60" s="218"/>
      <c r="E60" s="94" t="s">
        <v>173</v>
      </c>
      <c r="G60" s="94" t="s">
        <v>208</v>
      </c>
      <c r="K60" s="133" t="n">
        <v>58003</v>
      </c>
      <c r="O60" s="133" t="n">
        <f aca="false">SUM(K60:N60)</f>
        <v>58003</v>
      </c>
      <c r="R60" s="216"/>
      <c r="S60" s="96" t="n">
        <v>35929.35</v>
      </c>
      <c r="T60" s="216"/>
      <c r="U60" s="96" t="n">
        <v>0</v>
      </c>
      <c r="V60" s="96"/>
      <c r="W60" s="96"/>
      <c r="X60" s="96"/>
      <c r="Y60" s="96"/>
      <c r="Z60" s="96"/>
      <c r="AA60" s="96"/>
      <c r="AB60" s="95"/>
      <c r="AC60" s="96"/>
      <c r="AD60" s="95"/>
      <c r="AE60" s="96"/>
      <c r="AF60" s="96"/>
      <c r="AG60" s="96" t="n">
        <v>-35929</v>
      </c>
      <c r="AH60" s="96"/>
      <c r="AI60" s="96"/>
      <c r="AJ60" s="96"/>
      <c r="AK60" s="96"/>
      <c r="AL60" s="96"/>
      <c r="AM60" s="96"/>
      <c r="AN60" s="96"/>
      <c r="AO60" s="96"/>
      <c r="AP60" s="96"/>
      <c r="AQ60" s="96"/>
      <c r="AR60" s="95"/>
      <c r="AS60" s="95" t="n">
        <f aca="false">SUM(P60:AR60)</f>
        <v>0.349999999998545</v>
      </c>
      <c r="AT60" s="95"/>
      <c r="AU60" s="96" t="n">
        <f aca="false">-11000-47003</f>
        <v>-58003</v>
      </c>
      <c r="AV60" s="95"/>
      <c r="AW60" s="95" t="n">
        <f aca="false">IF(+O60-AS60+AU60&gt;0,O60-AS60+AU60,0)</f>
        <v>0</v>
      </c>
      <c r="AX60" s="95"/>
      <c r="AY60" s="95" t="n">
        <f aca="false">+AW60+AS60</f>
        <v>0.349999999998545</v>
      </c>
      <c r="AZ60" s="95"/>
      <c r="BA60" s="136" t="n">
        <f aca="false">O60-AS60-AW60</f>
        <v>58002.65</v>
      </c>
    </row>
    <row r="61" customFormat="false" ht="12.75" hidden="false" customHeight="false" outlineLevel="0" collapsed="false">
      <c r="A61" s="152"/>
      <c r="B61" s="132" t="s">
        <v>219</v>
      </c>
      <c r="C61" s="218"/>
      <c r="E61" s="94" t="s">
        <v>173</v>
      </c>
      <c r="G61" s="94" t="s">
        <v>208</v>
      </c>
      <c r="K61" s="133" t="n">
        <v>643354</v>
      </c>
      <c r="O61" s="133" t="n">
        <f aca="false">SUM(K61:N61)</f>
        <v>643354</v>
      </c>
      <c r="Q61" s="157"/>
      <c r="R61" s="216"/>
      <c r="S61" s="157"/>
      <c r="T61" s="216"/>
      <c r="U61" s="96"/>
      <c r="V61" s="96"/>
      <c r="W61" s="96" t="n">
        <v>0</v>
      </c>
      <c r="X61" s="96"/>
      <c r="Y61" s="96"/>
      <c r="Z61" s="96"/>
      <c r="AA61" s="96"/>
      <c r="AB61" s="95"/>
      <c r="AC61" s="96"/>
      <c r="AD61" s="95"/>
      <c r="AE61" s="96"/>
      <c r="AF61" s="96"/>
      <c r="AG61" s="96"/>
      <c r="AH61" s="96"/>
      <c r="AI61" s="96"/>
      <c r="AJ61" s="96"/>
      <c r="AK61" s="96"/>
      <c r="AL61" s="96"/>
      <c r="AM61" s="96"/>
      <c r="AN61" s="96"/>
      <c r="AO61" s="96"/>
      <c r="AP61" s="96"/>
      <c r="AQ61" s="96"/>
      <c r="AR61" s="95"/>
      <c r="AS61" s="95" t="n">
        <f aca="false">SUM(P61:AR61)</f>
        <v>0</v>
      </c>
      <c r="AT61" s="95"/>
      <c r="AU61" s="96" t="n">
        <f aca="false">300000-643354+175-4399-295776</f>
        <v>-643354</v>
      </c>
      <c r="AV61" s="95"/>
      <c r="AW61" s="95" t="n">
        <f aca="false">IF(+O61-AS61+AU61&gt;0,O61-AS61+AU61,0)</f>
        <v>0</v>
      </c>
      <c r="AX61" s="95"/>
      <c r="AY61" s="95" t="n">
        <f aca="false">+AW61+AS61</f>
        <v>0</v>
      </c>
      <c r="AZ61" s="95"/>
      <c r="BA61" s="136" t="n">
        <f aca="false">O61-AS61-AW61</f>
        <v>643354</v>
      </c>
    </row>
    <row r="62" customFormat="false" ht="12.75" hidden="false" customHeight="false" outlineLevel="0" collapsed="false">
      <c r="A62" s="152"/>
      <c r="B62" s="132" t="s">
        <v>220</v>
      </c>
      <c r="C62" s="218"/>
      <c r="E62" s="94" t="s">
        <v>173</v>
      </c>
      <c r="G62" s="94" t="s">
        <v>208</v>
      </c>
      <c r="K62" s="133" t="n">
        <v>66337</v>
      </c>
      <c r="O62" s="133" t="n">
        <f aca="false">SUM(K62:N62)</f>
        <v>66337</v>
      </c>
      <c r="Q62" s="96" t="n">
        <v>39128</v>
      </c>
      <c r="R62" s="216"/>
      <c r="S62" s="96" t="n">
        <v>-39128</v>
      </c>
      <c r="T62" s="216"/>
      <c r="U62" s="96" t="n">
        <v>0</v>
      </c>
      <c r="V62" s="96"/>
      <c r="W62" s="96" t="n">
        <v>0</v>
      </c>
      <c r="X62" s="96"/>
      <c r="Y62" s="96"/>
      <c r="Z62" s="96"/>
      <c r="AA62" s="96"/>
      <c r="AB62" s="95"/>
      <c r="AC62" s="96"/>
      <c r="AD62" s="95"/>
      <c r="AE62" s="96"/>
      <c r="AF62" s="96"/>
      <c r="AG62" s="96"/>
      <c r="AH62" s="96"/>
      <c r="AI62" s="96"/>
      <c r="AJ62" s="96"/>
      <c r="AK62" s="96"/>
      <c r="AL62" s="96"/>
      <c r="AM62" s="96"/>
      <c r="AN62" s="96"/>
      <c r="AO62" s="96"/>
      <c r="AP62" s="96"/>
      <c r="AQ62" s="96"/>
      <c r="AR62" s="95"/>
      <c r="AS62" s="95" t="n">
        <f aca="false">SUM(P62:AR62)</f>
        <v>0</v>
      </c>
      <c r="AT62" s="95"/>
      <c r="AU62" s="96" t="n">
        <v>-66337</v>
      </c>
      <c r="AV62" s="95"/>
      <c r="AW62" s="95" t="n">
        <f aca="false">IF(+O62-AS62+AU62&gt;0,O62-AS62+AU62,0)</f>
        <v>0</v>
      </c>
      <c r="AX62" s="95"/>
      <c r="AY62" s="95" t="n">
        <f aca="false">+AW62+AS62</f>
        <v>0</v>
      </c>
      <c r="AZ62" s="95"/>
      <c r="BA62" s="136" t="n">
        <f aca="false">O62-AS62-AW62</f>
        <v>66337</v>
      </c>
    </row>
    <row r="63" customFormat="false" ht="12.75" hidden="false" customHeight="false" outlineLevel="0" collapsed="false">
      <c r="A63" s="152"/>
      <c r="B63" s="132" t="s">
        <v>222</v>
      </c>
      <c r="C63" s="218"/>
      <c r="E63" s="94" t="s">
        <v>173</v>
      </c>
      <c r="G63" s="94" t="s">
        <v>208</v>
      </c>
      <c r="K63" s="133" t="n">
        <v>16775</v>
      </c>
      <c r="O63" s="133" t="n">
        <f aca="false">SUM(K63:N63)</f>
        <v>16775</v>
      </c>
      <c r="Q63" s="157"/>
      <c r="R63" s="216"/>
      <c r="S63" s="157"/>
      <c r="T63" s="216"/>
      <c r="U63" s="96"/>
      <c r="V63" s="96"/>
      <c r="W63" s="96"/>
      <c r="X63" s="96"/>
      <c r="Y63" s="96"/>
      <c r="Z63" s="96"/>
      <c r="AA63" s="96"/>
      <c r="AB63" s="95"/>
      <c r="AC63" s="96"/>
      <c r="AD63" s="95"/>
      <c r="AE63" s="96"/>
      <c r="AF63" s="96"/>
      <c r="AG63" s="96"/>
      <c r="AH63" s="96"/>
      <c r="AI63" s="96"/>
      <c r="AJ63" s="96"/>
      <c r="AK63" s="96"/>
      <c r="AL63" s="96"/>
      <c r="AM63" s="96"/>
      <c r="AN63" s="96"/>
      <c r="AO63" s="96"/>
      <c r="AP63" s="96"/>
      <c r="AQ63" s="96"/>
      <c r="AR63" s="95"/>
      <c r="AS63" s="95" t="n">
        <f aca="false">SUM(P63:AR63)</f>
        <v>0</v>
      </c>
      <c r="AT63" s="95"/>
      <c r="AU63" s="96" t="n">
        <f aca="false">-10000+490-980-6285</f>
        <v>-16775</v>
      </c>
      <c r="AV63" s="95"/>
      <c r="AW63" s="95" t="n">
        <f aca="false">IF(+O63-AS63+AU63&gt;0,O63-AS63+AU63,0)</f>
        <v>0</v>
      </c>
      <c r="AX63" s="95"/>
      <c r="AY63" s="95" t="n">
        <f aca="false">+AW63+AS63</f>
        <v>0</v>
      </c>
      <c r="AZ63" s="95"/>
      <c r="BA63" s="136" t="n">
        <f aca="false">O63-AS63-AW63</f>
        <v>16775</v>
      </c>
    </row>
    <row r="64" customFormat="false" ht="12.75" hidden="false" customHeight="false" outlineLevel="0" collapsed="false">
      <c r="A64" s="152"/>
      <c r="B64" s="132" t="s">
        <v>223</v>
      </c>
      <c r="C64" s="218"/>
      <c r="E64" s="94" t="s">
        <v>173</v>
      </c>
      <c r="G64" s="94" t="s">
        <v>208</v>
      </c>
      <c r="K64" s="133" t="n">
        <v>8102</v>
      </c>
      <c r="O64" s="133" t="n">
        <f aca="false">SUM(K64:N64)</f>
        <v>8102</v>
      </c>
      <c r="Q64" s="157"/>
      <c r="R64" s="216"/>
      <c r="S64" s="157"/>
      <c r="T64" s="216"/>
      <c r="U64" s="96"/>
      <c r="V64" s="96"/>
      <c r="W64" s="96"/>
      <c r="X64" s="96"/>
      <c r="Y64" s="96"/>
      <c r="Z64" s="96"/>
      <c r="AA64" s="96"/>
      <c r="AB64" s="95"/>
      <c r="AC64" s="96"/>
      <c r="AD64" s="95"/>
      <c r="AE64" s="96"/>
      <c r="AF64" s="96"/>
      <c r="AG64" s="96"/>
      <c r="AH64" s="96"/>
      <c r="AI64" s="96"/>
      <c r="AJ64" s="96"/>
      <c r="AK64" s="96"/>
      <c r="AL64" s="96"/>
      <c r="AM64" s="96"/>
      <c r="AN64" s="96"/>
      <c r="AO64" s="96"/>
      <c r="AP64" s="96"/>
      <c r="AQ64" s="96"/>
      <c r="AR64" s="95"/>
      <c r="AS64" s="95" t="n">
        <f aca="false">SUM(P64:AR64)</f>
        <v>0</v>
      </c>
      <c r="AT64" s="95"/>
      <c r="AU64" s="96" t="n">
        <v>-8102</v>
      </c>
      <c r="AV64" s="95"/>
      <c r="AW64" s="95" t="n">
        <f aca="false">IF(+O64-AS64+AU64&gt;0,O64-AS64+AU64,0)</f>
        <v>0</v>
      </c>
      <c r="AX64" s="95"/>
      <c r="AY64" s="95" t="n">
        <f aca="false">+AW64+AS64</f>
        <v>0</v>
      </c>
      <c r="AZ64" s="95"/>
      <c r="BA64" s="136" t="n">
        <f aca="false">O64-AS64-AW64</f>
        <v>8102</v>
      </c>
    </row>
    <row r="65" customFormat="false" ht="12.75" hidden="false" customHeight="false" outlineLevel="0" collapsed="false">
      <c r="A65" s="152"/>
      <c r="B65" s="132" t="s">
        <v>224</v>
      </c>
      <c r="C65" s="218"/>
      <c r="E65" s="94" t="s">
        <v>173</v>
      </c>
      <c r="G65" s="94" t="s">
        <v>208</v>
      </c>
      <c r="K65" s="133" t="n">
        <v>17156</v>
      </c>
      <c r="O65" s="133" t="n">
        <f aca="false">SUM(K65:N65)</f>
        <v>17156</v>
      </c>
      <c r="Q65" s="157"/>
      <c r="R65" s="216"/>
      <c r="S65" s="157"/>
      <c r="T65" s="216"/>
      <c r="U65" s="96"/>
      <c r="V65" s="96"/>
      <c r="W65" s="96"/>
      <c r="X65" s="96"/>
      <c r="Y65" s="96"/>
      <c r="Z65" s="96"/>
      <c r="AA65" s="96"/>
      <c r="AB65" s="95"/>
      <c r="AC65" s="96"/>
      <c r="AD65" s="95"/>
      <c r="AE65" s="96"/>
      <c r="AF65" s="96"/>
      <c r="AG65" s="96"/>
      <c r="AH65" s="96"/>
      <c r="AI65" s="96"/>
      <c r="AJ65" s="96"/>
      <c r="AK65" s="96"/>
      <c r="AL65" s="96"/>
      <c r="AM65" s="96"/>
      <c r="AN65" s="96"/>
      <c r="AO65" s="96"/>
      <c r="AP65" s="96"/>
      <c r="AQ65" s="96"/>
      <c r="AR65" s="95"/>
      <c r="AS65" s="95" t="n">
        <f aca="false">SUM(P65:AR65)</f>
        <v>0</v>
      </c>
      <c r="AT65" s="95"/>
      <c r="AU65" s="96" t="n">
        <f aca="false">20488-17156+73865-180+155-94328</f>
        <v>-17156</v>
      </c>
      <c r="AV65" s="95"/>
      <c r="AW65" s="95" t="n">
        <f aca="false">IF(+O65-AS65+AU65&gt;0,O65-AS65+AU65,0)</f>
        <v>0</v>
      </c>
      <c r="AX65" s="95"/>
      <c r="AY65" s="95" t="n">
        <f aca="false">+AW65+AS65</f>
        <v>0</v>
      </c>
      <c r="AZ65" s="95"/>
      <c r="BA65" s="136" t="n">
        <f aca="false">O65-AS65-AW65</f>
        <v>17156</v>
      </c>
    </row>
    <row r="66" customFormat="false" ht="12.75" hidden="false" customHeight="false" outlineLevel="0" collapsed="false">
      <c r="A66" s="152"/>
      <c r="B66" s="132" t="s">
        <v>225</v>
      </c>
      <c r="C66" s="218"/>
      <c r="E66" s="94" t="s">
        <v>173</v>
      </c>
      <c r="G66" s="94" t="s">
        <v>208</v>
      </c>
      <c r="K66" s="133" t="n">
        <v>549000</v>
      </c>
      <c r="O66" s="133" t="n">
        <f aca="false">SUM(K66:N66)</f>
        <v>549000</v>
      </c>
      <c r="Q66" s="157"/>
      <c r="R66" s="216"/>
      <c r="S66" s="157"/>
      <c r="T66" s="216"/>
      <c r="U66" s="96"/>
      <c r="V66" s="96"/>
      <c r="W66" s="96"/>
      <c r="X66" s="96"/>
      <c r="Y66" s="96"/>
      <c r="Z66" s="96"/>
      <c r="AA66" s="96"/>
      <c r="AB66" s="95"/>
      <c r="AC66" s="96"/>
      <c r="AD66" s="95"/>
      <c r="AE66" s="96"/>
      <c r="AF66" s="96"/>
      <c r="AG66" s="96"/>
      <c r="AH66" s="96"/>
      <c r="AI66" s="96"/>
      <c r="AJ66" s="96"/>
      <c r="AK66" s="96"/>
      <c r="AL66" s="96"/>
      <c r="AM66" s="96"/>
      <c r="AN66" s="96"/>
      <c r="AO66" s="96"/>
      <c r="AP66" s="96"/>
      <c r="AQ66" s="96"/>
      <c r="AR66" s="95"/>
      <c r="AS66" s="95" t="n">
        <f aca="false">SUM(P66:AR66)</f>
        <v>0</v>
      </c>
      <c r="AT66" s="95"/>
      <c r="AU66" s="96" t="n">
        <f aca="false">-200000-102918-246082</f>
        <v>-549000</v>
      </c>
      <c r="AV66" s="95"/>
      <c r="AW66" s="95" t="n">
        <f aca="false">IF(+O66-AS66+AU66&gt;0,O66-AS66+AU66,0)</f>
        <v>0</v>
      </c>
      <c r="AX66" s="95"/>
      <c r="AY66" s="95" t="n">
        <f aca="false">+AW66+AS66</f>
        <v>0</v>
      </c>
      <c r="AZ66" s="95"/>
      <c r="BA66" s="136" t="n">
        <f aca="false">O66-AS66-AW66</f>
        <v>549000</v>
      </c>
    </row>
    <row r="67" customFormat="false" ht="12.75" hidden="false" customHeight="false" outlineLevel="0" collapsed="false">
      <c r="A67" s="152"/>
      <c r="B67" s="132" t="s">
        <v>226</v>
      </c>
      <c r="C67" s="218"/>
      <c r="E67" s="94" t="s">
        <v>173</v>
      </c>
      <c r="G67" s="94" t="s">
        <v>208</v>
      </c>
      <c r="K67" s="133" t="n">
        <v>95788</v>
      </c>
      <c r="O67" s="133" t="n">
        <f aca="false">SUM(K67:N67)</f>
        <v>95788</v>
      </c>
      <c r="Q67" s="157"/>
      <c r="R67" s="216"/>
      <c r="S67" s="157"/>
      <c r="T67" s="216"/>
      <c r="U67" s="96"/>
      <c r="V67" s="96"/>
      <c r="W67" s="96"/>
      <c r="X67" s="96"/>
      <c r="Y67" s="96"/>
      <c r="Z67" s="96"/>
      <c r="AA67" s="96"/>
      <c r="AB67" s="95"/>
      <c r="AC67" s="96"/>
      <c r="AD67" s="95"/>
      <c r="AE67" s="96"/>
      <c r="AF67" s="96"/>
      <c r="AG67" s="96"/>
      <c r="AH67" s="96"/>
      <c r="AI67" s="96"/>
      <c r="AJ67" s="96"/>
      <c r="AK67" s="96"/>
      <c r="AL67" s="96"/>
      <c r="AM67" s="96"/>
      <c r="AN67" s="96"/>
      <c r="AO67" s="96"/>
      <c r="AP67" s="96"/>
      <c r="AQ67" s="96"/>
      <c r="AR67" s="95"/>
      <c r="AS67" s="95" t="n">
        <f aca="false">SUM(P67:AR67)</f>
        <v>0</v>
      </c>
      <c r="AT67" s="95"/>
      <c r="AU67" s="96" t="n">
        <f aca="false">76524-95788-76524+35000+15509-50509</f>
        <v>-95788</v>
      </c>
      <c r="AV67" s="95"/>
      <c r="AW67" s="95" t="n">
        <f aca="false">IF(+O67-AS67+AU67&gt;0,O67-AS67+AU67,0)</f>
        <v>0</v>
      </c>
      <c r="AX67" s="95"/>
      <c r="AY67" s="95" t="n">
        <f aca="false">+AW67+AS67</f>
        <v>0</v>
      </c>
      <c r="AZ67" s="95"/>
      <c r="BA67" s="136" t="n">
        <f aca="false">O67-AS67-AW67</f>
        <v>95788</v>
      </c>
    </row>
    <row r="68" customFormat="false" ht="12.75" hidden="false" customHeight="false" outlineLevel="0" collapsed="false">
      <c r="A68" s="152"/>
      <c r="B68" s="132" t="s">
        <v>228</v>
      </c>
      <c r="C68" s="218"/>
      <c r="E68" s="94" t="s">
        <v>173</v>
      </c>
      <c r="G68" s="94" t="s">
        <v>208</v>
      </c>
      <c r="K68" s="133" t="n">
        <v>106000</v>
      </c>
      <c r="O68" s="133" t="n">
        <f aca="false">SUM(K68:N68)</f>
        <v>106000</v>
      </c>
      <c r="Q68" s="142"/>
      <c r="R68" s="216"/>
      <c r="S68" s="142" t="n">
        <v>39128</v>
      </c>
      <c r="T68" s="216"/>
      <c r="U68" s="96"/>
      <c r="V68" s="96"/>
      <c r="W68" s="96"/>
      <c r="X68" s="96"/>
      <c r="Y68" s="96"/>
      <c r="Z68" s="96"/>
      <c r="AA68" s="96"/>
      <c r="AB68" s="95"/>
      <c r="AC68" s="96"/>
      <c r="AD68" s="95"/>
      <c r="AE68" s="96"/>
      <c r="AF68" s="96"/>
      <c r="AG68" s="96" t="n">
        <v>-39128</v>
      </c>
      <c r="AH68" s="96"/>
      <c r="AI68" s="96"/>
      <c r="AJ68" s="96"/>
      <c r="AK68" s="96"/>
      <c r="AL68" s="96"/>
      <c r="AM68" s="96"/>
      <c r="AN68" s="96"/>
      <c r="AO68" s="96"/>
      <c r="AP68" s="96"/>
      <c r="AQ68" s="96"/>
      <c r="AR68" s="95"/>
      <c r="AS68" s="95" t="n">
        <f aca="false">SUM(P68:AR68)</f>
        <v>0</v>
      </c>
      <c r="AT68" s="95"/>
      <c r="AU68" s="96" t="n">
        <f aca="false">72029-106000-16900-16001-39128</f>
        <v>-106000</v>
      </c>
      <c r="AV68" s="95"/>
      <c r="AW68" s="95" t="n">
        <f aca="false">IF(+O68-AS68+AU68&gt;0,O68-AS68+AU68,0)</f>
        <v>0</v>
      </c>
      <c r="AX68" s="95"/>
      <c r="AY68" s="95" t="n">
        <f aca="false">+AW68+AS68</f>
        <v>0</v>
      </c>
      <c r="AZ68" s="95"/>
      <c r="BA68" s="136" t="n">
        <f aca="false">O68-AS68-AW68</f>
        <v>106000</v>
      </c>
    </row>
    <row r="69" customFormat="false" ht="12.75" hidden="false" customHeight="false" outlineLevel="0" collapsed="false">
      <c r="A69" s="152"/>
      <c r="B69" s="132" t="s">
        <v>229</v>
      </c>
      <c r="C69" s="218"/>
      <c r="E69" s="94" t="s">
        <v>173</v>
      </c>
      <c r="G69" s="94" t="s">
        <v>208</v>
      </c>
      <c r="K69" s="133" t="n">
        <v>23828</v>
      </c>
      <c r="M69" s="140"/>
      <c r="O69" s="138" t="n">
        <f aca="false">SUM(K69:N69)</f>
        <v>23828</v>
      </c>
      <c r="Q69" s="142"/>
      <c r="R69" s="216"/>
      <c r="S69" s="142"/>
      <c r="T69" s="216"/>
      <c r="U69" s="96"/>
      <c r="V69" s="96"/>
      <c r="W69" s="96"/>
      <c r="X69" s="96"/>
      <c r="Y69" s="96"/>
      <c r="Z69" s="96"/>
      <c r="AA69" s="96"/>
      <c r="AB69" s="95"/>
      <c r="AC69" s="96"/>
      <c r="AD69" s="95"/>
      <c r="AE69" s="96"/>
      <c r="AF69" s="96"/>
      <c r="AG69" s="96"/>
      <c r="AH69" s="96"/>
      <c r="AI69" s="96"/>
      <c r="AJ69" s="96"/>
      <c r="AK69" s="96"/>
      <c r="AL69" s="96"/>
      <c r="AM69" s="96"/>
      <c r="AN69" s="96"/>
      <c r="AO69" s="96"/>
      <c r="AP69" s="96"/>
      <c r="AQ69" s="96"/>
      <c r="AR69" s="95"/>
      <c r="AS69" s="95" t="n">
        <f aca="false">SUM(P69:AR69)</f>
        <v>0</v>
      </c>
      <c r="AT69" s="95"/>
      <c r="AU69" s="96" t="n">
        <f aca="false">-20118-871+50000-52839</f>
        <v>-23828</v>
      </c>
      <c r="AV69" s="95"/>
      <c r="AW69" s="95" t="n">
        <f aca="false">IF(+O69-AS69+AU69&gt;0,O69-AS69+AU69,0)</f>
        <v>0</v>
      </c>
      <c r="AX69" s="95"/>
      <c r="AY69" s="135" t="n">
        <f aca="false">+AW69+AS69</f>
        <v>0</v>
      </c>
      <c r="AZ69" s="95"/>
      <c r="BA69" s="141" t="n">
        <f aca="false">O69-AS69-AW69</f>
        <v>23828</v>
      </c>
      <c r="BC69" s="157"/>
    </row>
    <row r="70" customFormat="false" ht="12.75" hidden="false" customHeight="false" outlineLevel="0" collapsed="false">
      <c r="A70" s="224"/>
      <c r="B70" s="226" t="s">
        <v>230</v>
      </c>
      <c r="C70" s="218"/>
      <c r="E70" s="94"/>
      <c r="K70" s="155" t="n">
        <f aca="false">SUM(K48:K69)</f>
        <v>3211984</v>
      </c>
      <c r="M70" s="24" t="n">
        <f aca="false">SUM(M48:M69)</f>
        <v>0</v>
      </c>
      <c r="O70" s="24" t="n">
        <f aca="false">SUM(O48:O69)</f>
        <v>3211984</v>
      </c>
      <c r="Q70" s="154" t="n">
        <f aca="false">SUM(Q48:Q69)</f>
        <v>39128</v>
      </c>
      <c r="S70" s="154" t="n">
        <f aca="false">SUM(S48:S69)</f>
        <v>35929.35</v>
      </c>
      <c r="U70" s="154" t="n">
        <f aca="false">SUM(U48:U69)</f>
        <v>63655.62</v>
      </c>
      <c r="W70" s="154" t="n">
        <f aca="false">SUM(W48:W69)</f>
        <v>165568.8</v>
      </c>
      <c r="Y70" s="154" t="n">
        <f aca="false">SUM(Y48:Y69)</f>
        <v>0</v>
      </c>
      <c r="AA70" s="154" t="n">
        <f aca="false">SUM(AA48:AA69)</f>
        <v>0</v>
      </c>
      <c r="AC70" s="154" t="n">
        <f aca="false">SUM(AC48:AC69)</f>
        <v>0</v>
      </c>
      <c r="AE70" s="154" t="n">
        <f aca="false">SUM(AE48:AE69)</f>
        <v>0</v>
      </c>
      <c r="AF70" s="129"/>
      <c r="AG70" s="154" t="n">
        <f aca="false">SUM(AG48:AG69)</f>
        <v>-304281</v>
      </c>
      <c r="AH70" s="129"/>
      <c r="AI70" s="154" t="n">
        <f aca="false">SUM(AI48:AI69)</f>
        <v>0</v>
      </c>
      <c r="AJ70" s="129"/>
      <c r="AK70" s="154" t="n">
        <f aca="false">SUM(AK48:AK69)</f>
        <v>0</v>
      </c>
      <c r="AL70" s="154"/>
      <c r="AM70" s="154" t="n">
        <f aca="false">SUM(AM48:AM69)</f>
        <v>0</v>
      </c>
      <c r="AN70" s="129"/>
      <c r="AO70" s="154" t="n">
        <f aca="false">SUM(AO48:AO69)</f>
        <v>0</v>
      </c>
      <c r="AP70" s="129"/>
      <c r="AQ70" s="154" t="n">
        <f aca="false">SUM(AQ48:AQ69)</f>
        <v>0</v>
      </c>
      <c r="AS70" s="155" t="n">
        <f aca="false">SUM(AS48:AS69)</f>
        <v>0.769999999982247</v>
      </c>
      <c r="AU70" s="154" t="n">
        <f aca="false">SUM(AU48:AU69)</f>
        <v>-3211984</v>
      </c>
      <c r="AW70" s="155" t="n">
        <f aca="false">SUM(AW48:AW69)</f>
        <v>0</v>
      </c>
      <c r="AY70" s="155" t="n">
        <f aca="false">+AW70+AS70</f>
        <v>0.769999999982247</v>
      </c>
      <c r="BA70" s="155" t="n">
        <f aca="false">O70-AS70-AW70</f>
        <v>3211983.23</v>
      </c>
    </row>
    <row r="71" customFormat="false" ht="12.75" hidden="false" customHeight="false" outlineLevel="0" collapsed="false">
      <c r="A71" s="225"/>
      <c r="B71" s="132"/>
      <c r="C71" s="218"/>
      <c r="E71" s="94"/>
      <c r="U71" s="96"/>
    </row>
    <row r="72" customFormat="false" ht="12.75" hidden="false" customHeight="false" outlineLevel="0" collapsed="false">
      <c r="A72" s="227" t="s">
        <v>231</v>
      </c>
      <c r="B72" s="132"/>
      <c r="C72" s="218"/>
      <c r="E72" s="94"/>
      <c r="U72" s="96"/>
      <c r="BA72" s="95" t="n">
        <f aca="false">O72-AS72-AW72</f>
        <v>0</v>
      </c>
    </row>
    <row r="73" customFormat="false" ht="12.75" hidden="false" customHeight="false" outlineLevel="0" collapsed="false">
      <c r="A73" s="225"/>
      <c r="B73" s="132" t="s">
        <v>232</v>
      </c>
      <c r="C73" s="218" t="s">
        <v>207</v>
      </c>
      <c r="E73" s="94" t="s">
        <v>173</v>
      </c>
      <c r="G73" s="94" t="s">
        <v>208</v>
      </c>
      <c r="I73" s="94" t="s">
        <v>174</v>
      </c>
      <c r="K73" s="133" t="n">
        <v>28593</v>
      </c>
      <c r="M73" s="133"/>
      <c r="O73" s="133" t="n">
        <f aca="false">SUM(K73:N73)</f>
        <v>28593</v>
      </c>
      <c r="Q73" s="157"/>
      <c r="R73" s="216"/>
      <c r="S73" s="157"/>
      <c r="T73" s="216"/>
      <c r="U73" s="96" t="n">
        <v>3360</v>
      </c>
      <c r="V73" s="96"/>
      <c r="W73" s="96" t="n">
        <v>59500</v>
      </c>
      <c r="X73" s="96"/>
      <c r="Y73" s="96" t="n">
        <v>-360</v>
      </c>
      <c r="Z73" s="96"/>
      <c r="AA73" s="96"/>
      <c r="AB73" s="95"/>
      <c r="AC73" s="96"/>
      <c r="AD73" s="95"/>
      <c r="AE73" s="96"/>
      <c r="AF73" s="96"/>
      <c r="AG73" s="96" t="n">
        <f aca="false">825+16303</f>
        <v>17128</v>
      </c>
      <c r="AH73" s="96"/>
      <c r="AI73" s="96"/>
      <c r="AJ73" s="96"/>
      <c r="AK73" s="96" t="n">
        <v>4927</v>
      </c>
      <c r="AL73" s="96"/>
      <c r="AM73" s="96"/>
      <c r="AN73" s="96"/>
      <c r="AO73" s="96"/>
      <c r="AP73" s="96"/>
      <c r="AQ73" s="96"/>
      <c r="AR73" s="95"/>
      <c r="AS73" s="95" t="n">
        <f aca="false">SUM(P73:AR73)</f>
        <v>84555</v>
      </c>
      <c r="AT73" s="95"/>
      <c r="AU73" s="96" t="n">
        <f aca="false">62500-28593+100000-77945</f>
        <v>55962</v>
      </c>
      <c r="AV73" s="95"/>
      <c r="AW73" s="95" t="n">
        <f aca="false">IF(+O73-AS73+AU73&gt;0,O73-AS73+AU73,0)</f>
        <v>0</v>
      </c>
      <c r="AX73" s="95"/>
      <c r="AY73" s="95" t="n">
        <f aca="false">+AW73+AS73</f>
        <v>84555</v>
      </c>
      <c r="AZ73" s="95"/>
      <c r="BA73" s="136" t="n">
        <f aca="false">O73-AS73-AW73</f>
        <v>-55962</v>
      </c>
      <c r="BC73" s="90" t="s">
        <v>390</v>
      </c>
    </row>
    <row r="74" customFormat="false" ht="12.75" hidden="false" customHeight="false" outlineLevel="0" collapsed="false">
      <c r="A74" s="225"/>
      <c r="B74" s="132" t="s">
        <v>233</v>
      </c>
      <c r="C74" s="218"/>
      <c r="E74" s="94"/>
      <c r="G74" s="94" t="s">
        <v>208</v>
      </c>
      <c r="K74" s="133" t="n">
        <v>392305</v>
      </c>
      <c r="M74" s="133"/>
      <c r="O74" s="133" t="n">
        <f aca="false">SUM(K74:N74)</f>
        <v>392305</v>
      </c>
      <c r="Q74" s="157"/>
      <c r="R74" s="216"/>
      <c r="S74" s="157"/>
      <c r="T74" s="216"/>
      <c r="U74" s="96" t="n">
        <v>0</v>
      </c>
      <c r="V74" s="96"/>
      <c r="W74" s="96" t="n">
        <v>28295</v>
      </c>
      <c r="X74" s="96"/>
      <c r="Y74" s="96" t="n">
        <v>22312</v>
      </c>
      <c r="Z74" s="96"/>
      <c r="AA74" s="96"/>
      <c r="AB74" s="95"/>
      <c r="AC74" s="96"/>
      <c r="AD74" s="95"/>
      <c r="AE74" s="96" t="n">
        <v>24526</v>
      </c>
      <c r="AF74" s="96"/>
      <c r="AG74" s="96" t="n">
        <f aca="false">17484+74287</f>
        <v>91771</v>
      </c>
      <c r="AH74" s="96"/>
      <c r="AI74" s="96" t="n">
        <v>15358</v>
      </c>
      <c r="AJ74" s="96"/>
      <c r="AK74" s="96" t="n">
        <v>258550</v>
      </c>
      <c r="AL74" s="96"/>
      <c r="AM74" s="96"/>
      <c r="AN74" s="96"/>
      <c r="AO74" s="96" t="n">
        <v>10055</v>
      </c>
      <c r="AP74" s="96"/>
      <c r="AQ74" s="96"/>
      <c r="AR74" s="95"/>
      <c r="AS74" s="95" t="n">
        <f aca="false">SUM(P74:AR74)</f>
        <v>450867</v>
      </c>
      <c r="AT74" s="95"/>
      <c r="AU74" s="96" t="n">
        <f aca="false">845+118530-9574-24727-18595-17972+10055</f>
        <v>58562</v>
      </c>
      <c r="AV74" s="95"/>
      <c r="AW74" s="95" t="n">
        <f aca="false">IF(+O74-AS74+AU74&gt;0,O74-AS74+AU74,0)</f>
        <v>0</v>
      </c>
      <c r="AX74" s="95"/>
      <c r="AY74" s="95" t="n">
        <f aca="false">+AW74+AS74</f>
        <v>450867</v>
      </c>
      <c r="AZ74" s="95"/>
      <c r="BA74" s="136" t="n">
        <f aca="false">O74-AS74-AW74</f>
        <v>-58562</v>
      </c>
    </row>
    <row r="75" customFormat="false" ht="12.75" hidden="false" customHeight="false" outlineLevel="0" collapsed="false">
      <c r="A75" s="225"/>
      <c r="B75" s="132" t="s">
        <v>234</v>
      </c>
      <c r="C75" s="218"/>
      <c r="E75" s="94"/>
      <c r="G75" s="94" t="s">
        <v>208</v>
      </c>
      <c r="K75" s="133" t="n">
        <v>329754</v>
      </c>
      <c r="M75" s="133"/>
      <c r="O75" s="133" t="n">
        <f aca="false">SUM(K75:N75)</f>
        <v>329754</v>
      </c>
      <c r="Q75" s="157"/>
      <c r="R75" s="216"/>
      <c r="S75" s="157"/>
      <c r="T75" s="216"/>
      <c r="U75" s="96" t="n">
        <v>85</v>
      </c>
      <c r="V75" s="96"/>
      <c r="W75" s="96" t="n">
        <v>116095</v>
      </c>
      <c r="X75" s="96"/>
      <c r="Y75" s="96" t="n">
        <f aca="false">126282+49279</f>
        <v>175561</v>
      </c>
      <c r="Z75" s="96"/>
      <c r="AA75" s="96"/>
      <c r="AB75" s="95"/>
      <c r="AC75" s="96" t="n">
        <f aca="false">122394</f>
        <v>122394</v>
      </c>
      <c r="AD75" s="95"/>
      <c r="AE75" s="96" t="n">
        <v>98652</v>
      </c>
      <c r="AF75" s="96"/>
      <c r="AG75" s="96" t="n">
        <f aca="false">48395+129100</f>
        <v>177495</v>
      </c>
      <c r="AH75" s="96"/>
      <c r="AI75" s="96" t="n">
        <v>30976</v>
      </c>
      <c r="AJ75" s="96"/>
      <c r="AK75" s="96" t="n">
        <v>74578</v>
      </c>
      <c r="AL75" s="96"/>
      <c r="AM75" s="96" t="n">
        <v>11795</v>
      </c>
      <c r="AN75" s="96"/>
      <c r="AO75" s="96"/>
      <c r="AP75" s="96"/>
      <c r="AQ75" s="96"/>
      <c r="AR75" s="95"/>
      <c r="AS75" s="95" t="n">
        <f aca="false">SUM(P75:AR75)</f>
        <v>807631</v>
      </c>
      <c r="AT75" s="95"/>
      <c r="AU75" s="96" t="n">
        <f aca="false">668414-329754+63305+76904+32208-14130-19070</f>
        <v>477877</v>
      </c>
      <c r="AV75" s="95"/>
      <c r="AW75" s="95" t="n">
        <f aca="false">IF(+O75-AS75+AU75&gt;0,O75-AS75+AU75,0)</f>
        <v>0</v>
      </c>
      <c r="AX75" s="95"/>
      <c r="AY75" s="95" t="n">
        <f aca="false">+AW75+AS75</f>
        <v>807631</v>
      </c>
      <c r="AZ75" s="95"/>
      <c r="BA75" s="136" t="n">
        <f aca="false">O75-AS75-AW75</f>
        <v>-477877</v>
      </c>
    </row>
    <row r="76" customFormat="false" ht="12.75" hidden="false" customHeight="false" outlineLevel="0" collapsed="false">
      <c r="A76" s="225"/>
      <c r="B76" s="132" t="s">
        <v>235</v>
      </c>
      <c r="C76" s="218"/>
      <c r="E76" s="94"/>
      <c r="G76" s="94" t="s">
        <v>208</v>
      </c>
      <c r="K76" s="133" t="n">
        <v>468032</v>
      </c>
      <c r="M76" s="133"/>
      <c r="O76" s="133" t="n">
        <f aca="false">SUM(K76:N76)</f>
        <v>468032</v>
      </c>
      <c r="Q76" s="157"/>
      <c r="R76" s="216"/>
      <c r="S76" s="157"/>
      <c r="T76" s="216"/>
      <c r="U76" s="96" t="n">
        <v>266</v>
      </c>
      <c r="V76" s="96"/>
      <c r="W76" s="96" t="n">
        <v>61118</v>
      </c>
      <c r="X76" s="96"/>
      <c r="Y76" s="96" t="n">
        <f aca="false">48991+22526</f>
        <v>71517</v>
      </c>
      <c r="Z76" s="96"/>
      <c r="AA76" s="96"/>
      <c r="AB76" s="95"/>
      <c r="AC76" s="96" t="n">
        <v>77566</v>
      </c>
      <c r="AD76" s="95"/>
      <c r="AE76" s="96" t="n">
        <v>35507</v>
      </c>
      <c r="AF76" s="96"/>
      <c r="AG76" s="96" t="n">
        <f aca="false">11811+2559</f>
        <v>14370</v>
      </c>
      <c r="AH76" s="96"/>
      <c r="AI76" s="96" t="n">
        <v>127</v>
      </c>
      <c r="AJ76" s="96"/>
      <c r="AK76" s="96" t="n">
        <v>2181</v>
      </c>
      <c r="AL76" s="96"/>
      <c r="AM76" s="96"/>
      <c r="AN76" s="96"/>
      <c r="AO76" s="96"/>
      <c r="AP76" s="96"/>
      <c r="AQ76" s="96"/>
      <c r="AR76" s="95"/>
      <c r="AS76" s="95" t="n">
        <f aca="false">SUM(P76:AR76)</f>
        <v>262652</v>
      </c>
      <c r="AT76" s="95"/>
      <c r="AU76" s="96" t="n">
        <f aca="false">528331-468032-70400-144686-46697-1579+873-3190</f>
        <v>-205380</v>
      </c>
      <c r="AV76" s="95"/>
      <c r="AW76" s="95" t="n">
        <f aca="false">IF(+O76-AS76+AU76&gt;0,O76-AS76+AU76,0)</f>
        <v>0</v>
      </c>
      <c r="AX76" s="95"/>
      <c r="AY76" s="95" t="n">
        <f aca="false">+AW76+AS76</f>
        <v>262652</v>
      </c>
      <c r="AZ76" s="95"/>
      <c r="BA76" s="136" t="n">
        <f aca="false">O76-AS76-AW76</f>
        <v>205380</v>
      </c>
    </row>
    <row r="77" customFormat="false" ht="12.75" hidden="false" customHeight="false" outlineLevel="0" collapsed="false">
      <c r="A77" s="225"/>
      <c r="B77" s="132" t="s">
        <v>236</v>
      </c>
      <c r="C77" s="218"/>
      <c r="E77" s="94"/>
      <c r="G77" s="94" t="s">
        <v>208</v>
      </c>
      <c r="K77" s="133" t="n">
        <v>1299267</v>
      </c>
      <c r="M77" s="133"/>
      <c r="O77" s="133" t="n">
        <f aca="false">SUM(K77:N77)</f>
        <v>1299267</v>
      </c>
      <c r="Q77" s="157"/>
      <c r="R77" s="216"/>
      <c r="S77" s="157"/>
      <c r="T77" s="216"/>
      <c r="U77" s="96" t="n">
        <v>105428</v>
      </c>
      <c r="V77" s="96"/>
      <c r="W77" s="96" t="n">
        <v>33315</v>
      </c>
      <c r="X77" s="96"/>
      <c r="Y77" s="96" t="n">
        <f aca="false">12421+444991</f>
        <v>457412</v>
      </c>
      <c r="Z77" s="96"/>
      <c r="AA77" s="96"/>
      <c r="AB77" s="95"/>
      <c r="AC77" s="96" t="n">
        <v>298984</v>
      </c>
      <c r="AD77" s="95"/>
      <c r="AE77" s="96" t="n">
        <v>160839</v>
      </c>
      <c r="AF77" s="96"/>
      <c r="AG77" s="96" t="n">
        <f aca="false">196650+142497</f>
        <v>339147</v>
      </c>
      <c r="AH77" s="96"/>
      <c r="AI77" s="96" t="n">
        <v>14297</v>
      </c>
      <c r="AJ77" s="96"/>
      <c r="AK77" s="96" t="n">
        <v>107746</v>
      </c>
      <c r="AL77" s="96"/>
      <c r="AM77" s="96" t="n">
        <v>3263</v>
      </c>
      <c r="AN77" s="96"/>
      <c r="AO77" s="96" t="n">
        <v>-1778</v>
      </c>
      <c r="AP77" s="96"/>
      <c r="AQ77" s="96"/>
      <c r="AR77" s="95"/>
      <c r="AS77" s="95" t="n">
        <f aca="false">SUM(P77:AR77)</f>
        <v>1518653</v>
      </c>
      <c r="AT77" s="95"/>
      <c r="AU77" s="96" t="n">
        <f aca="false">1676591-1299267-40000+53432-143729-42917+33025-15971-1778</f>
        <v>219386</v>
      </c>
      <c r="AV77" s="95"/>
      <c r="AW77" s="136" t="n">
        <f aca="false">IF(+O77-AS77+AU77&gt;0,O77-AS77+AU77,0)</f>
        <v>0</v>
      </c>
      <c r="AX77" s="95"/>
      <c r="AY77" s="95" t="n">
        <f aca="false">+AW77+AS77</f>
        <v>1518653</v>
      </c>
      <c r="AZ77" s="95"/>
      <c r="BA77" s="136" t="n">
        <f aca="false">O77-AS77-AW77</f>
        <v>-219386</v>
      </c>
    </row>
    <row r="78" customFormat="false" ht="12.75" hidden="false" customHeight="false" outlineLevel="0" collapsed="false">
      <c r="A78" s="225"/>
      <c r="B78" s="132" t="s">
        <v>237</v>
      </c>
      <c r="C78" s="218"/>
      <c r="E78" s="94"/>
      <c r="G78" s="94" t="s">
        <v>208</v>
      </c>
      <c r="K78" s="133" t="n">
        <v>72359</v>
      </c>
      <c r="M78" s="133"/>
      <c r="O78" s="133" t="n">
        <f aca="false">SUM(K78:N78)</f>
        <v>72359</v>
      </c>
      <c r="Q78" s="157"/>
      <c r="R78" s="216"/>
      <c r="S78" s="157"/>
      <c r="T78" s="216"/>
      <c r="U78" s="96"/>
      <c r="V78" s="96"/>
      <c r="W78" s="96"/>
      <c r="X78" s="96"/>
      <c r="Y78" s="96"/>
      <c r="Z78" s="96"/>
      <c r="AA78" s="96"/>
      <c r="AB78" s="95"/>
      <c r="AC78" s="96"/>
      <c r="AD78" s="95"/>
      <c r="AE78" s="96" t="n">
        <v>8435</v>
      </c>
      <c r="AF78" s="96"/>
      <c r="AG78" s="96" t="n">
        <f aca="false">24057+25904</f>
        <v>49961</v>
      </c>
      <c r="AH78" s="96"/>
      <c r="AI78" s="96" t="n">
        <v>22433</v>
      </c>
      <c r="AJ78" s="96"/>
      <c r="AK78" s="96" t="n">
        <v>5529</v>
      </c>
      <c r="AL78" s="96"/>
      <c r="AM78" s="96" t="n">
        <v>1650</v>
      </c>
      <c r="AN78" s="96"/>
      <c r="AO78" s="96"/>
      <c r="AP78" s="96"/>
      <c r="AQ78" s="96"/>
      <c r="AR78" s="95"/>
      <c r="AS78" s="95" t="n">
        <f aca="false">SUM(P78:AR78)</f>
        <v>88008</v>
      </c>
      <c r="AT78" s="95"/>
      <c r="AU78" s="96" t="n">
        <f aca="false">14103+12577-433-7220-3378</f>
        <v>15649</v>
      </c>
      <c r="AV78" s="95"/>
      <c r="AW78" s="95" t="n">
        <f aca="false">IF(+O78-AS78+AU78&gt;0,O78-AS78+AU78,0)</f>
        <v>0</v>
      </c>
      <c r="AX78" s="95"/>
      <c r="AY78" s="95" t="n">
        <f aca="false">+AW78+AS78</f>
        <v>88008</v>
      </c>
      <c r="AZ78" s="95"/>
      <c r="BA78" s="136" t="n">
        <f aca="false">O78-AS78-AW78</f>
        <v>-15649</v>
      </c>
    </row>
    <row r="79" customFormat="false" ht="12.75" hidden="false" customHeight="false" outlineLevel="0" collapsed="false">
      <c r="A79" s="225"/>
      <c r="B79" s="132" t="s">
        <v>238</v>
      </c>
      <c r="C79" s="218"/>
      <c r="E79" s="94"/>
      <c r="G79" s="94" t="s">
        <v>208</v>
      </c>
      <c r="K79" s="133" t="n">
        <v>192039</v>
      </c>
      <c r="M79" s="133"/>
      <c r="O79" s="133" t="n">
        <f aca="false">SUM(K79:N79)</f>
        <v>192039</v>
      </c>
      <c r="Q79" s="157"/>
      <c r="R79" s="216"/>
      <c r="S79" s="157"/>
      <c r="T79" s="216"/>
      <c r="U79" s="96"/>
      <c r="V79" s="96"/>
      <c r="W79" s="96"/>
      <c r="X79" s="96"/>
      <c r="Y79" s="96"/>
      <c r="Z79" s="96"/>
      <c r="AA79" s="96"/>
      <c r="AB79" s="95"/>
      <c r="AC79" s="96"/>
      <c r="AD79" s="95"/>
      <c r="AE79" s="96"/>
      <c r="AF79" s="96"/>
      <c r="AG79" s="96" t="n">
        <f aca="false">7744+65069</f>
        <v>72813</v>
      </c>
      <c r="AH79" s="96"/>
      <c r="AI79" s="96" t="n">
        <v>1419</v>
      </c>
      <c r="AJ79" s="96"/>
      <c r="AK79" s="96" t="n">
        <v>20433</v>
      </c>
      <c r="AL79" s="96"/>
      <c r="AM79" s="96" t="n">
        <v>36708</v>
      </c>
      <c r="AN79" s="96"/>
      <c r="AO79" s="96" t="n">
        <v>71110</v>
      </c>
      <c r="AP79" s="96"/>
      <c r="AQ79" s="96"/>
      <c r="AR79" s="95"/>
      <c r="AS79" s="95" t="n">
        <f aca="false">SUM(P79:AR79)</f>
        <v>202483</v>
      </c>
      <c r="AT79" s="95"/>
      <c r="AU79" s="96" t="n">
        <f aca="false">2610-1707+9776-340-71005+71110</f>
        <v>10444</v>
      </c>
      <c r="AV79" s="95"/>
      <c r="AW79" s="95" t="n">
        <f aca="false">IF(+O79-AS79+AU79&gt;0,O79-AS79+AU79,0)</f>
        <v>0</v>
      </c>
      <c r="AX79" s="95"/>
      <c r="AY79" s="95" t="n">
        <f aca="false">+AW79+AS79</f>
        <v>202483</v>
      </c>
      <c r="AZ79" s="95"/>
      <c r="BA79" s="136" t="n">
        <f aca="false">O79-AS79-AW79</f>
        <v>-10444</v>
      </c>
    </row>
    <row r="80" customFormat="false" ht="12.75" hidden="false" customHeight="false" outlineLevel="0" collapsed="false">
      <c r="A80" s="225"/>
      <c r="B80" s="132" t="s">
        <v>239</v>
      </c>
      <c r="C80" s="218"/>
      <c r="E80" s="94"/>
      <c r="G80" s="94" t="s">
        <v>208</v>
      </c>
      <c r="K80" s="133" t="n">
        <v>79153</v>
      </c>
      <c r="M80" s="133"/>
      <c r="O80" s="133" t="n">
        <f aca="false">SUM(K80:N80)</f>
        <v>79153</v>
      </c>
      <c r="Q80" s="157"/>
      <c r="R80" s="216"/>
      <c r="S80" s="157"/>
      <c r="T80" s="216"/>
      <c r="U80" s="96"/>
      <c r="V80" s="96"/>
      <c r="W80" s="96"/>
      <c r="X80" s="96"/>
      <c r="Y80" s="96"/>
      <c r="Z80" s="96"/>
      <c r="AA80" s="96"/>
      <c r="AB80" s="95"/>
      <c r="AC80" s="96"/>
      <c r="AD80" s="95"/>
      <c r="AE80" s="96"/>
      <c r="AF80" s="96"/>
      <c r="AG80" s="96" t="n">
        <v>0</v>
      </c>
      <c r="AH80" s="96"/>
      <c r="AI80" s="96"/>
      <c r="AJ80" s="96"/>
      <c r="AK80" s="96"/>
      <c r="AL80" s="96"/>
      <c r="AM80" s="96"/>
      <c r="AN80" s="96"/>
      <c r="AO80" s="96" t="n">
        <v>46980</v>
      </c>
      <c r="AP80" s="96"/>
      <c r="AQ80" s="96"/>
      <c r="AR80" s="95"/>
      <c r="AS80" s="95" t="n">
        <f aca="false">SUM(P80:AR80)</f>
        <v>46980</v>
      </c>
      <c r="AT80" s="95"/>
      <c r="AU80" s="96" t="n">
        <f aca="false">-79153+46980</f>
        <v>-32173</v>
      </c>
      <c r="AV80" s="95"/>
      <c r="AW80" s="95" t="n">
        <f aca="false">IF(+O80-AS80+AU80&gt;0,O80-AS80+AU80,0)</f>
        <v>0</v>
      </c>
      <c r="AX80" s="95"/>
      <c r="AY80" s="95" t="n">
        <f aca="false">+AW80+AS80</f>
        <v>46980</v>
      </c>
      <c r="AZ80" s="95"/>
      <c r="BA80" s="136" t="n">
        <f aca="false">O80-AS80-AW80</f>
        <v>32173</v>
      </c>
    </row>
    <row r="81" customFormat="false" ht="12.75" hidden="false" customHeight="false" outlineLevel="0" collapsed="false">
      <c r="A81" s="225"/>
      <c r="B81" s="132" t="s">
        <v>240</v>
      </c>
      <c r="C81" s="218"/>
      <c r="E81" s="94"/>
      <c r="G81" s="94" t="s">
        <v>208</v>
      </c>
      <c r="K81" s="133" t="n">
        <v>326384</v>
      </c>
      <c r="M81" s="133"/>
      <c r="O81" s="133" t="n">
        <f aca="false">SUM(K81:N81)</f>
        <v>326384</v>
      </c>
      <c r="Q81" s="157"/>
      <c r="R81" s="216"/>
      <c r="S81" s="157"/>
      <c r="T81" s="216"/>
      <c r="U81" s="96"/>
      <c r="V81" s="96"/>
      <c r="W81" s="96"/>
      <c r="X81" s="96"/>
      <c r="Y81" s="96" t="n">
        <v>22473</v>
      </c>
      <c r="Z81" s="96"/>
      <c r="AA81" s="96"/>
      <c r="AB81" s="95"/>
      <c r="AC81" s="96"/>
      <c r="AD81" s="95"/>
      <c r="AE81" s="96" t="n">
        <v>105713</v>
      </c>
      <c r="AF81" s="96"/>
      <c r="AG81" s="96" t="n">
        <f aca="false">-5347+153792</f>
        <v>148445</v>
      </c>
      <c r="AH81" s="96"/>
      <c r="AI81" s="96" t="n">
        <v>35553</v>
      </c>
      <c r="AJ81" s="96"/>
      <c r="AK81" s="96" t="n">
        <v>26438</v>
      </c>
      <c r="AL81" s="96"/>
      <c r="AM81" s="96"/>
      <c r="AN81" s="96"/>
      <c r="AO81" s="96"/>
      <c r="AP81" s="96"/>
      <c r="AQ81" s="96"/>
      <c r="AR81" s="95"/>
      <c r="AS81" s="95" t="n">
        <f aca="false">SUM(P81:AR81)</f>
        <v>338622</v>
      </c>
      <c r="AT81" s="95"/>
      <c r="AU81" s="96" t="n">
        <f aca="false">57311+3585-22421+22606-48843</f>
        <v>12238</v>
      </c>
      <c r="AV81" s="95"/>
      <c r="AW81" s="95" t="n">
        <f aca="false">IF(+O81-AS81+AU81&gt;0,O81-AS81+AU81,0)</f>
        <v>0</v>
      </c>
      <c r="AX81" s="95"/>
      <c r="AY81" s="95" t="n">
        <f aca="false">+AW81+AS81</f>
        <v>338622</v>
      </c>
      <c r="AZ81" s="95"/>
      <c r="BA81" s="136" t="n">
        <f aca="false">O81-AS81-AW81</f>
        <v>-12238</v>
      </c>
    </row>
    <row r="82" customFormat="false" ht="12.75" hidden="false" customHeight="false" outlineLevel="0" collapsed="false">
      <c r="A82" s="225"/>
      <c r="B82" s="132" t="s">
        <v>241</v>
      </c>
      <c r="C82" s="218"/>
      <c r="E82" s="94"/>
      <c r="G82" s="94" t="s">
        <v>208</v>
      </c>
      <c r="K82" s="133"/>
      <c r="M82" s="133"/>
      <c r="O82" s="133" t="n">
        <f aca="false">SUM(K82:N82)</f>
        <v>0</v>
      </c>
      <c r="Q82" s="157"/>
      <c r="R82" s="216"/>
      <c r="S82" s="157"/>
      <c r="T82" s="216"/>
      <c r="U82" s="96"/>
      <c r="V82" s="96"/>
      <c r="W82" s="96"/>
      <c r="X82" s="96"/>
      <c r="Y82" s="96"/>
      <c r="Z82" s="96"/>
      <c r="AA82" s="96"/>
      <c r="AB82" s="95"/>
      <c r="AC82" s="96"/>
      <c r="AD82" s="95"/>
      <c r="AE82" s="96"/>
      <c r="AF82" s="96"/>
      <c r="AG82" s="96" t="n">
        <v>0</v>
      </c>
      <c r="AH82" s="96"/>
      <c r="AI82" s="96"/>
      <c r="AJ82" s="96"/>
      <c r="AK82" s="96"/>
      <c r="AL82" s="96"/>
      <c r="AM82" s="96"/>
      <c r="AN82" s="96"/>
      <c r="AO82" s="96"/>
      <c r="AP82" s="96"/>
      <c r="AQ82" s="96"/>
      <c r="AR82" s="95"/>
      <c r="AS82" s="95" t="n">
        <f aca="false">SUM(P82:AR82)</f>
        <v>0</v>
      </c>
      <c r="AT82" s="95"/>
      <c r="AU82" s="96"/>
      <c r="AV82" s="95"/>
      <c r="AW82" s="95" t="n">
        <f aca="false">IF(+O82-AS82+AU82&gt;0,O82-AS82+AU82,0)</f>
        <v>0</v>
      </c>
      <c r="AX82" s="95"/>
      <c r="AY82" s="95" t="n">
        <f aca="false">+AW82+AS82</f>
        <v>0</v>
      </c>
      <c r="AZ82" s="95"/>
      <c r="BA82" s="136" t="n">
        <f aca="false">O82-AS82-AW82</f>
        <v>0</v>
      </c>
    </row>
    <row r="83" customFormat="false" ht="12.75" hidden="false" customHeight="false" outlineLevel="0" collapsed="false">
      <c r="A83" s="225"/>
      <c r="B83" s="132" t="s">
        <v>242</v>
      </c>
      <c r="C83" s="218"/>
      <c r="E83" s="94"/>
      <c r="G83" s="94" t="s">
        <v>208</v>
      </c>
      <c r="K83" s="133" t="n">
        <v>91291</v>
      </c>
      <c r="M83" s="133"/>
      <c r="O83" s="133" t="n">
        <f aca="false">SUM(K83:N83)</f>
        <v>91291</v>
      </c>
      <c r="Q83" s="157"/>
      <c r="R83" s="216"/>
      <c r="S83" s="157"/>
      <c r="T83" s="216"/>
      <c r="U83" s="96" t="n">
        <v>1231</v>
      </c>
      <c r="V83" s="96"/>
      <c r="W83" s="96" t="n">
        <v>129</v>
      </c>
      <c r="X83" s="96"/>
      <c r="Y83" s="96" t="n">
        <v>11466</v>
      </c>
      <c r="Z83" s="96"/>
      <c r="AA83" s="96"/>
      <c r="AB83" s="95"/>
      <c r="AC83" s="96" t="n">
        <v>39952</v>
      </c>
      <c r="AD83" s="95"/>
      <c r="AE83" s="96" t="n">
        <v>63581</v>
      </c>
      <c r="AF83" s="96"/>
      <c r="AG83" s="96" t="n">
        <f aca="false">41310+48083-35378</f>
        <v>54015</v>
      </c>
      <c r="AH83" s="96"/>
      <c r="AI83" s="96" t="n">
        <f aca="false">35378+65637</f>
        <v>101015</v>
      </c>
      <c r="AJ83" s="96"/>
      <c r="AK83" s="96" t="n">
        <v>-7447</v>
      </c>
      <c r="AL83" s="96"/>
      <c r="AM83" s="96" t="n">
        <v>25242</v>
      </c>
      <c r="AN83" s="96"/>
      <c r="AO83" s="96" t="n">
        <v>17257</v>
      </c>
      <c r="AP83" s="96"/>
      <c r="AQ83" s="96"/>
      <c r="AR83" s="95"/>
      <c r="AS83" s="95" t="n">
        <f aca="false">SUM(P83:AR83)</f>
        <v>306441</v>
      </c>
      <c r="AT83" s="95"/>
      <c r="AU83" s="96" t="n">
        <f aca="false">48852+15000+15231-4267+116229+6523+2702+2621-4998+17257</f>
        <v>215150</v>
      </c>
      <c r="AV83" s="95"/>
      <c r="AW83" s="95" t="n">
        <f aca="false">IF(+O83-AS83+AU83&gt;0,O83-AS83+AU83,0)</f>
        <v>0</v>
      </c>
      <c r="AX83" s="95"/>
      <c r="AY83" s="135" t="n">
        <f aca="false">+AW83+AS83</f>
        <v>306441</v>
      </c>
      <c r="AZ83" s="95"/>
      <c r="BA83" s="136" t="n">
        <f aca="false">O83-AS83-AW83</f>
        <v>-215150</v>
      </c>
    </row>
    <row r="84" customFormat="false" ht="12.75" hidden="false" customHeight="false" outlineLevel="0" collapsed="false">
      <c r="A84" s="225"/>
      <c r="B84" s="132" t="s">
        <v>243</v>
      </c>
      <c r="C84" s="218"/>
      <c r="E84" s="94"/>
      <c r="G84" s="94" t="s">
        <v>208</v>
      </c>
      <c r="K84" s="133" t="n">
        <v>0</v>
      </c>
      <c r="M84" s="133"/>
      <c r="O84" s="133" t="n">
        <f aca="false">SUM(K84:N84)</f>
        <v>0</v>
      </c>
      <c r="Q84" s="157"/>
      <c r="R84" s="216"/>
      <c r="S84" s="157"/>
      <c r="T84" s="216"/>
      <c r="U84" s="96"/>
      <c r="V84" s="96"/>
      <c r="W84" s="96"/>
      <c r="X84" s="96"/>
      <c r="Y84" s="96"/>
      <c r="Z84" s="96"/>
      <c r="AA84" s="96"/>
      <c r="AB84" s="95"/>
      <c r="AC84" s="96"/>
      <c r="AD84" s="95"/>
      <c r="AE84" s="96"/>
      <c r="AF84" s="96"/>
      <c r="AG84" s="96" t="n">
        <v>0</v>
      </c>
      <c r="AH84" s="96"/>
      <c r="AI84" s="96"/>
      <c r="AJ84" s="96"/>
      <c r="AK84" s="96"/>
      <c r="AL84" s="96"/>
      <c r="AM84" s="96"/>
      <c r="AN84" s="96"/>
      <c r="AO84" s="96"/>
      <c r="AP84" s="96"/>
      <c r="AQ84" s="96"/>
      <c r="AR84" s="95"/>
      <c r="AS84" s="95" t="n">
        <f aca="false">SUM(P84:AR84)</f>
        <v>0</v>
      </c>
      <c r="AT84" s="95"/>
      <c r="AU84" s="96" t="n">
        <f aca="false">0</f>
        <v>0</v>
      </c>
      <c r="AV84" s="95"/>
      <c r="AW84" s="95" t="n">
        <f aca="false">IF(+O84-AS84+AU84&gt;0,O84-AS84+AU84,0)</f>
        <v>0</v>
      </c>
      <c r="AX84" s="95"/>
      <c r="AY84" s="95" t="n">
        <f aca="false">+AW84+AS84</f>
        <v>0</v>
      </c>
      <c r="AZ84" s="95"/>
      <c r="BA84" s="136" t="n">
        <f aca="false">O84-AS84-AW84</f>
        <v>0</v>
      </c>
    </row>
    <row r="85" customFormat="false" ht="12.75" hidden="false" customHeight="false" outlineLevel="0" collapsed="false">
      <c r="A85" s="225"/>
      <c r="B85" s="132" t="s">
        <v>244</v>
      </c>
      <c r="C85" s="218"/>
      <c r="E85" s="94"/>
      <c r="G85" s="94" t="s">
        <v>208</v>
      </c>
      <c r="K85" s="133" t="n">
        <v>151616</v>
      </c>
      <c r="M85" s="133"/>
      <c r="O85" s="133" t="n">
        <f aca="false">SUM(K85:N85)</f>
        <v>151616</v>
      </c>
      <c r="Q85" s="157"/>
      <c r="R85" s="216"/>
      <c r="S85" s="157"/>
      <c r="T85" s="216"/>
      <c r="U85" s="96"/>
      <c r="V85" s="96"/>
      <c r="W85" s="96"/>
      <c r="X85" s="96"/>
      <c r="Y85" s="96"/>
      <c r="Z85" s="96"/>
      <c r="AA85" s="96"/>
      <c r="AB85" s="95"/>
      <c r="AC85" s="96" t="n">
        <v>2715</v>
      </c>
      <c r="AD85" s="95"/>
      <c r="AE85" s="96" t="n">
        <v>81897</v>
      </c>
      <c r="AF85" s="96"/>
      <c r="AG85" s="96" t="n">
        <f aca="false">289555+35432</f>
        <v>324987</v>
      </c>
      <c r="AH85" s="96"/>
      <c r="AI85" s="96"/>
      <c r="AJ85" s="96"/>
      <c r="AK85" s="96"/>
      <c r="AL85" s="96"/>
      <c r="AM85" s="96"/>
      <c r="AN85" s="96"/>
      <c r="AO85" s="96"/>
      <c r="AP85" s="96"/>
      <c r="AQ85" s="96"/>
      <c r="AR85" s="95"/>
      <c r="AS85" s="95" t="n">
        <f aca="false">SUM(P85:AR85)</f>
        <v>409599</v>
      </c>
      <c r="AT85" s="95"/>
      <c r="AU85" s="96" t="n">
        <f aca="false">70885+427466-240368+712-712</f>
        <v>257983</v>
      </c>
      <c r="AV85" s="95"/>
      <c r="AW85" s="95" t="n">
        <f aca="false">IF(+O85-AS85+AU85&gt;0,O85-AS85+AU85,0)</f>
        <v>0</v>
      </c>
      <c r="AX85" s="95"/>
      <c r="AY85" s="95" t="n">
        <f aca="false">+AW85+AS85</f>
        <v>409599</v>
      </c>
      <c r="AZ85" s="95"/>
      <c r="BA85" s="136" t="n">
        <f aca="false">O85-AS85-AW85</f>
        <v>-257983</v>
      </c>
    </row>
    <row r="86" customFormat="false" ht="12.75" hidden="false" customHeight="false" outlineLevel="0" collapsed="false">
      <c r="A86" s="225"/>
      <c r="B86" s="132" t="s">
        <v>245</v>
      </c>
      <c r="C86" s="218"/>
      <c r="E86" s="94"/>
      <c r="G86" s="94" t="s">
        <v>208</v>
      </c>
      <c r="K86" s="133"/>
      <c r="M86" s="133"/>
      <c r="O86" s="133" t="n">
        <f aca="false">SUM(K86:N86)</f>
        <v>0</v>
      </c>
      <c r="Q86" s="157"/>
      <c r="R86" s="216"/>
      <c r="S86" s="157"/>
      <c r="T86" s="216"/>
      <c r="U86" s="96"/>
      <c r="V86" s="96"/>
      <c r="W86" s="96"/>
      <c r="X86" s="96"/>
      <c r="Y86" s="96"/>
      <c r="Z86" s="96"/>
      <c r="AA86" s="96"/>
      <c r="AB86" s="95"/>
      <c r="AC86" s="96"/>
      <c r="AD86" s="95"/>
      <c r="AE86" s="96"/>
      <c r="AF86" s="96"/>
      <c r="AG86" s="96"/>
      <c r="AH86" s="96"/>
      <c r="AI86" s="96"/>
      <c r="AJ86" s="96"/>
      <c r="AK86" s="96"/>
      <c r="AL86" s="96"/>
      <c r="AM86" s="96"/>
      <c r="AN86" s="96"/>
      <c r="AO86" s="96"/>
      <c r="AP86" s="96"/>
      <c r="AQ86" s="96"/>
      <c r="AR86" s="95"/>
      <c r="AS86" s="95" t="n">
        <f aca="false">SUM(P86:AR86)</f>
        <v>0</v>
      </c>
      <c r="AT86" s="95"/>
      <c r="AU86" s="96"/>
      <c r="AV86" s="95"/>
      <c r="AW86" s="95" t="n">
        <f aca="false">IF(+O86-AS86+AU86&gt;0,O86-AS86+AU86,0)</f>
        <v>0</v>
      </c>
      <c r="AX86" s="95"/>
      <c r="AY86" s="95" t="n">
        <f aca="false">+AW86+AS86</f>
        <v>0</v>
      </c>
      <c r="AZ86" s="95"/>
      <c r="BA86" s="136" t="n">
        <f aca="false">O86-AS86-AW86</f>
        <v>0</v>
      </c>
    </row>
    <row r="87" customFormat="false" ht="12.75" hidden="false" customHeight="false" outlineLevel="0" collapsed="false">
      <c r="A87" s="225"/>
      <c r="B87" s="132" t="s">
        <v>242</v>
      </c>
      <c r="C87" s="218"/>
      <c r="E87" s="94"/>
      <c r="G87" s="94" t="s">
        <v>208</v>
      </c>
      <c r="K87" s="133" t="n">
        <v>566895</v>
      </c>
      <c r="M87" s="133"/>
      <c r="O87" s="133" t="n">
        <f aca="false">SUM(K87:N87)</f>
        <v>566895</v>
      </c>
      <c r="Q87" s="157"/>
      <c r="R87" s="216"/>
      <c r="S87" s="157"/>
      <c r="T87" s="216"/>
      <c r="U87" s="96"/>
      <c r="V87" s="96"/>
      <c r="W87" s="96"/>
      <c r="X87" s="96"/>
      <c r="Y87" s="96"/>
      <c r="Z87" s="96"/>
      <c r="AA87" s="96"/>
      <c r="AB87" s="95"/>
      <c r="AC87" s="96" t="n">
        <v>580833</v>
      </c>
      <c r="AD87" s="95"/>
      <c r="AE87" s="96" t="n">
        <v>50490</v>
      </c>
      <c r="AF87" s="96"/>
      <c r="AG87" s="96" t="n">
        <f aca="false">580843+234469-725512+40600+139334+49290</f>
        <v>319024</v>
      </c>
      <c r="AH87" s="96"/>
      <c r="AI87" s="96" t="n">
        <f aca="false">725512+349818</f>
        <v>1075330</v>
      </c>
      <c r="AJ87" s="96"/>
      <c r="AK87" s="96" t="n">
        <v>383598</v>
      </c>
      <c r="AL87" s="96"/>
      <c r="AM87" s="96" t="n">
        <v>104692</v>
      </c>
      <c r="AN87" s="96"/>
      <c r="AO87" s="96" t="n">
        <v>94687</v>
      </c>
      <c r="AP87" s="96"/>
      <c r="AQ87" s="96"/>
      <c r="AR87" s="95"/>
      <c r="AS87" s="95" t="n">
        <f aca="false">SUM(P87:AR87)</f>
        <v>2608654</v>
      </c>
      <c r="AT87" s="95"/>
      <c r="AU87" s="96" t="n">
        <f aca="false">550632-566895-4509+75000+100000+77531+631030+28360+222806+100867+13511+122668+38712+17617+124548+51452+209+335+152+1+5180-210</f>
        <v>1588997</v>
      </c>
      <c r="AV87" s="95"/>
      <c r="AW87" s="136" t="n">
        <f aca="false">IF(+O87-AS87+AU87&gt;0,O87-AS87+AU87,0)</f>
        <v>0</v>
      </c>
      <c r="AX87" s="95"/>
      <c r="AY87" s="135" t="n">
        <f aca="false">+AW87+AS87</f>
        <v>2608654</v>
      </c>
      <c r="AZ87" s="95"/>
      <c r="BA87" s="136" t="n">
        <f aca="false">O87-AS87-AW87</f>
        <v>-2041759</v>
      </c>
      <c r="BC87" s="157" t="s">
        <v>391</v>
      </c>
    </row>
    <row r="88" customFormat="false" ht="12.75" hidden="false" customHeight="false" outlineLevel="0" collapsed="false">
      <c r="A88" s="225"/>
      <c r="B88" s="132" t="s">
        <v>243</v>
      </c>
      <c r="C88" s="218"/>
      <c r="E88" s="94"/>
      <c r="G88" s="94" t="s">
        <v>208</v>
      </c>
      <c r="K88" s="133" t="n">
        <v>92834</v>
      </c>
      <c r="M88" s="133"/>
      <c r="O88" s="133" t="n">
        <f aca="false">SUM(K88:N88)</f>
        <v>92834</v>
      </c>
      <c r="Q88" s="157"/>
      <c r="R88" s="216"/>
      <c r="S88" s="157"/>
      <c r="T88" s="216"/>
      <c r="U88" s="96"/>
      <c r="V88" s="96"/>
      <c r="W88" s="96"/>
      <c r="X88" s="96"/>
      <c r="Y88" s="96"/>
      <c r="Z88" s="96"/>
      <c r="AA88" s="96"/>
      <c r="AB88" s="95"/>
      <c r="AC88" s="96"/>
      <c r="AD88" s="95"/>
      <c r="AE88" s="96"/>
      <c r="AF88" s="96"/>
      <c r="AG88" s="96" t="n">
        <v>0</v>
      </c>
      <c r="AH88" s="96"/>
      <c r="AI88" s="96"/>
      <c r="AJ88" s="96"/>
      <c r="AK88" s="96"/>
      <c r="AL88" s="96"/>
      <c r="AM88" s="96"/>
      <c r="AN88" s="96"/>
      <c r="AO88" s="96"/>
      <c r="AP88" s="96"/>
      <c r="AQ88" s="96"/>
      <c r="AR88" s="95"/>
      <c r="AS88" s="95" t="n">
        <f aca="false">SUM(P88:AR88)</f>
        <v>0</v>
      </c>
      <c r="AT88" s="95"/>
      <c r="AU88" s="96" t="n">
        <f aca="false">180000-92834-30000+26000-176000</f>
        <v>-92834</v>
      </c>
      <c r="AV88" s="95"/>
      <c r="AW88" s="95" t="n">
        <f aca="false">IF(+O88-AS88+AU88&gt;0,O88-AS88+AU88,0)</f>
        <v>0</v>
      </c>
      <c r="AX88" s="95"/>
      <c r="AY88" s="95" t="n">
        <f aca="false">+AW88+AS88</f>
        <v>0</v>
      </c>
      <c r="AZ88" s="95"/>
      <c r="BA88" s="136" t="n">
        <f aca="false">O88-AS88-AW88</f>
        <v>92834</v>
      </c>
    </row>
    <row r="89" customFormat="false" ht="12.75" hidden="false" customHeight="false" outlineLevel="0" collapsed="false">
      <c r="A89" s="225"/>
      <c r="B89" s="132" t="s">
        <v>244</v>
      </c>
      <c r="C89" s="218"/>
      <c r="E89" s="94"/>
      <c r="G89" s="94" t="s">
        <v>208</v>
      </c>
      <c r="K89" s="133" t="n">
        <v>557486</v>
      </c>
      <c r="M89" s="133"/>
      <c r="O89" s="133" t="n">
        <f aca="false">SUM(K89:N89)</f>
        <v>557486</v>
      </c>
      <c r="Q89" s="157"/>
      <c r="R89" s="216"/>
      <c r="S89" s="157"/>
      <c r="T89" s="216"/>
      <c r="U89" s="96" t="n">
        <v>0</v>
      </c>
      <c r="V89" s="96"/>
      <c r="W89" s="96"/>
      <c r="X89" s="96"/>
      <c r="Y89" s="96" t="n">
        <v>1777</v>
      </c>
      <c r="Z89" s="96"/>
      <c r="AA89" s="96"/>
      <c r="AB89" s="95"/>
      <c r="AC89" s="96" t="n">
        <v>21772</v>
      </c>
      <c r="AD89" s="95"/>
      <c r="AE89" s="96" t="n">
        <v>129389</v>
      </c>
      <c r="AF89" s="96"/>
      <c r="AG89" s="96" t="n">
        <f aca="false">418839+292435</f>
        <v>711274</v>
      </c>
      <c r="AH89" s="96"/>
      <c r="AI89" s="96" t="n">
        <v>129804</v>
      </c>
      <c r="AJ89" s="96"/>
      <c r="AK89" s="96" t="n">
        <v>5251</v>
      </c>
      <c r="AL89" s="96"/>
      <c r="AM89" s="96"/>
      <c r="AN89" s="96"/>
      <c r="AO89" s="96"/>
      <c r="AP89" s="96"/>
      <c r="AQ89" s="96"/>
      <c r="AR89" s="95"/>
      <c r="AS89" s="95" t="n">
        <f aca="false">SUM(P89:AR89)</f>
        <v>999267</v>
      </c>
      <c r="AT89" s="95"/>
      <c r="AU89" s="96" t="n">
        <f aca="false">18803+879767-239590+113794+327471-330993-327471</f>
        <v>441781</v>
      </c>
      <c r="AV89" s="95"/>
      <c r="AW89" s="95" t="n">
        <f aca="false">IF(+O89-AS89+AU89&gt;0,O89-AS89+AU89,0)</f>
        <v>0</v>
      </c>
      <c r="AX89" s="95"/>
      <c r="AY89" s="95" t="n">
        <f aca="false">+AW89+AS89</f>
        <v>999267</v>
      </c>
      <c r="AZ89" s="95"/>
      <c r="BA89" s="136" t="n">
        <f aca="false">O89-AS89-AW89</f>
        <v>-441781</v>
      </c>
    </row>
    <row r="90" customFormat="false" ht="12.75" hidden="false" customHeight="false" outlineLevel="0" collapsed="false">
      <c r="A90" s="225"/>
      <c r="B90" s="132" t="s">
        <v>246</v>
      </c>
      <c r="C90" s="218"/>
      <c r="E90" s="94"/>
      <c r="G90" s="94" t="s">
        <v>208</v>
      </c>
      <c r="K90" s="133" t="n">
        <v>233106</v>
      </c>
      <c r="M90" s="133"/>
      <c r="O90" s="133" t="n">
        <f aca="false">SUM(K90:N90)</f>
        <v>233106</v>
      </c>
      <c r="Q90" s="157"/>
      <c r="R90" s="216"/>
      <c r="S90" s="157"/>
      <c r="T90" s="216"/>
      <c r="U90" s="96"/>
      <c r="V90" s="96"/>
      <c r="W90" s="96"/>
      <c r="X90" s="96"/>
      <c r="Y90" s="96"/>
      <c r="Z90" s="96"/>
      <c r="AA90" s="96"/>
      <c r="AB90" s="95"/>
      <c r="AC90" s="96" t="n">
        <v>4104</v>
      </c>
      <c r="AD90" s="95"/>
      <c r="AE90" s="96" t="n">
        <v>542</v>
      </c>
      <c r="AF90" s="96"/>
      <c r="AG90" s="96" t="n">
        <f aca="false">222951+47497-72876+35929</f>
        <v>233501</v>
      </c>
      <c r="AH90" s="96"/>
      <c r="AI90" s="96" t="n">
        <f aca="false">72876+28644</f>
        <v>101520</v>
      </c>
      <c r="AJ90" s="96"/>
      <c r="AK90" s="96" t="n">
        <v>99402</v>
      </c>
      <c r="AL90" s="96"/>
      <c r="AM90" s="96" t="n">
        <v>19680</v>
      </c>
      <c r="AN90" s="96"/>
      <c r="AO90" s="96" t="n">
        <v>5692</v>
      </c>
      <c r="AP90" s="96"/>
      <c r="AQ90" s="96"/>
      <c r="AR90" s="95"/>
      <c r="AS90" s="95" t="n">
        <f aca="false">SUM(P90:AR90)</f>
        <v>464441</v>
      </c>
      <c r="AT90" s="95"/>
      <c r="AU90" s="96" t="n">
        <f aca="false">291034-321922+43561+47003+295776+6016-15000+15708-10-136523+5692</f>
        <v>231335</v>
      </c>
      <c r="AV90" s="95"/>
      <c r="AW90" s="95" t="n">
        <f aca="false">IF(+O90-AS90+AU90&gt;0,O90-AS90+AU90,0)</f>
        <v>0</v>
      </c>
      <c r="AX90" s="95"/>
      <c r="AY90" s="95" t="n">
        <f aca="false">+AW90+AS90</f>
        <v>464441</v>
      </c>
      <c r="AZ90" s="95"/>
      <c r="BA90" s="136" t="n">
        <f aca="false">O90-AS90-AW90</f>
        <v>-231335</v>
      </c>
    </row>
    <row r="91" customFormat="false" ht="12.75" hidden="false" customHeight="false" outlineLevel="0" collapsed="false">
      <c r="A91" s="225"/>
      <c r="B91" s="132" t="s">
        <v>247</v>
      </c>
      <c r="C91" s="218"/>
      <c r="E91" s="94"/>
      <c r="G91" s="94" t="s">
        <v>208</v>
      </c>
      <c r="K91" s="133" t="n">
        <v>315756</v>
      </c>
      <c r="M91" s="133"/>
      <c r="O91" s="133" t="n">
        <f aca="false">SUM(K91:N91)</f>
        <v>315756</v>
      </c>
      <c r="Q91" s="157"/>
      <c r="R91" s="216"/>
      <c r="S91" s="157"/>
      <c r="T91" s="216"/>
      <c r="U91" s="96"/>
      <c r="V91" s="96"/>
      <c r="W91" s="96"/>
      <c r="X91" s="96"/>
      <c r="Y91" s="96"/>
      <c r="Z91" s="96"/>
      <c r="AA91" s="96"/>
      <c r="AB91" s="95"/>
      <c r="AC91" s="96"/>
      <c r="AD91" s="95"/>
      <c r="AE91" s="96"/>
      <c r="AF91" s="96"/>
      <c r="AG91" s="96"/>
      <c r="AH91" s="96"/>
      <c r="AI91" s="96" t="n">
        <v>161942</v>
      </c>
      <c r="AJ91" s="96"/>
      <c r="AK91" s="96" t="n">
        <v>-76357</v>
      </c>
      <c r="AL91" s="96"/>
      <c r="AM91" s="96"/>
      <c r="AN91" s="96"/>
      <c r="AO91" s="96" t="n">
        <v>13401</v>
      </c>
      <c r="AP91" s="96"/>
      <c r="AQ91" s="96"/>
      <c r="AR91" s="95"/>
      <c r="AS91" s="95" t="n">
        <f aca="false">SUM(P91:AR91)</f>
        <v>98986</v>
      </c>
      <c r="AT91" s="95"/>
      <c r="AU91" s="96" t="n">
        <f aca="false">-185756-44415+13401</f>
        <v>-216770</v>
      </c>
      <c r="AV91" s="95"/>
      <c r="AW91" s="95" t="n">
        <f aca="false">IF(+O91-AS91+AU91&gt;0,O91-AS91+AU91,0)</f>
        <v>0</v>
      </c>
      <c r="AX91" s="95"/>
      <c r="AY91" s="136" t="n">
        <f aca="false">+AW91+AS91</f>
        <v>98986</v>
      </c>
      <c r="AZ91" s="95"/>
      <c r="BA91" s="136" t="n">
        <f aca="false">O91-AS91-AW91</f>
        <v>216770</v>
      </c>
    </row>
    <row r="92" customFormat="false" ht="12.75" hidden="false" customHeight="false" outlineLevel="0" collapsed="false">
      <c r="A92" s="225"/>
      <c r="B92" s="132" t="s">
        <v>248</v>
      </c>
      <c r="C92" s="218"/>
      <c r="E92" s="94"/>
      <c r="G92" s="94" t="s">
        <v>208</v>
      </c>
      <c r="K92" s="133" t="n">
        <v>121213</v>
      </c>
      <c r="M92" s="133"/>
      <c r="O92" s="133" t="n">
        <f aca="false">SUM(K92:N92)</f>
        <v>121213</v>
      </c>
      <c r="Q92" s="157"/>
      <c r="R92" s="216"/>
      <c r="S92" s="157"/>
      <c r="T92" s="216"/>
      <c r="U92" s="96"/>
      <c r="V92" s="96"/>
      <c r="W92" s="96"/>
      <c r="X92" s="96"/>
      <c r="Y92" s="96"/>
      <c r="Z92" s="96"/>
      <c r="AA92" s="96"/>
      <c r="AB92" s="95"/>
      <c r="AC92" s="96"/>
      <c r="AD92" s="95"/>
      <c r="AE92" s="96"/>
      <c r="AF92" s="96"/>
      <c r="AG92" s="96"/>
      <c r="AH92" s="96"/>
      <c r="AI92" s="96" t="n">
        <v>272986</v>
      </c>
      <c r="AJ92" s="96"/>
      <c r="AK92" s="96" t="n">
        <v>135739</v>
      </c>
      <c r="AL92" s="96"/>
      <c r="AM92" s="96"/>
      <c r="AN92" s="96"/>
      <c r="AO92" s="96" t="n">
        <v>1500</v>
      </c>
      <c r="AP92" s="96"/>
      <c r="AQ92" s="96"/>
      <c r="AR92" s="95"/>
      <c r="AS92" s="95" t="n">
        <f aca="false">SUM(P92:AR92)</f>
        <v>410225</v>
      </c>
      <c r="AT92" s="95"/>
      <c r="AU92" s="96" t="n">
        <f aca="false">276887+10625+1500</f>
        <v>289012</v>
      </c>
      <c r="AV92" s="95"/>
      <c r="AW92" s="95" t="n">
        <f aca="false">IF(+O92-AS92+AU92&gt;0,O92-AS92+AU92,0)</f>
        <v>0</v>
      </c>
      <c r="AX92" s="95"/>
      <c r="AY92" s="95" t="n">
        <f aca="false">+AW92+AS92</f>
        <v>410225</v>
      </c>
      <c r="AZ92" s="95"/>
      <c r="BA92" s="136" t="n">
        <f aca="false">O92-AS92-AW92</f>
        <v>-289012</v>
      </c>
    </row>
    <row r="93" customFormat="false" ht="12.75" hidden="false" customHeight="false" outlineLevel="0" collapsed="false">
      <c r="A93" s="225"/>
      <c r="B93" s="132" t="s">
        <v>249</v>
      </c>
      <c r="C93" s="218"/>
      <c r="E93" s="94"/>
      <c r="G93" s="94" t="s">
        <v>208</v>
      </c>
      <c r="K93" s="133" t="n">
        <v>0</v>
      </c>
      <c r="M93" s="133"/>
      <c r="O93" s="133" t="n">
        <f aca="false">SUM(K93:N93)</f>
        <v>0</v>
      </c>
      <c r="Q93" s="157"/>
      <c r="R93" s="216"/>
      <c r="S93" s="157"/>
      <c r="T93" s="216"/>
      <c r="U93" s="96"/>
      <c r="V93" s="96"/>
      <c r="W93" s="96"/>
      <c r="X93" s="96"/>
      <c r="Y93" s="96"/>
      <c r="Z93" s="96"/>
      <c r="AA93" s="96"/>
      <c r="AB93" s="95"/>
      <c r="AC93" s="96"/>
      <c r="AD93" s="95"/>
      <c r="AE93" s="96"/>
      <c r="AF93" s="96"/>
      <c r="AG93" s="96"/>
      <c r="AH93" s="96"/>
      <c r="AI93" s="96"/>
      <c r="AJ93" s="96"/>
      <c r="AK93" s="96"/>
      <c r="AL93" s="96"/>
      <c r="AM93" s="96"/>
      <c r="AN93" s="96"/>
      <c r="AO93" s="96"/>
      <c r="AP93" s="96"/>
      <c r="AQ93" s="96"/>
      <c r="AR93" s="95"/>
      <c r="AS93" s="95" t="n">
        <f aca="false">SUM(P93:AR93)</f>
        <v>0</v>
      </c>
      <c r="AT93" s="95"/>
      <c r="AU93" s="96"/>
      <c r="AV93" s="95"/>
      <c r="AW93" s="95" t="n">
        <f aca="false">IF(+O93-AS93+AU93&gt;0,O93-AS93+AU93,0)</f>
        <v>0</v>
      </c>
      <c r="AX93" s="95"/>
      <c r="AY93" s="95" t="n">
        <f aca="false">+AW93+AS93</f>
        <v>0</v>
      </c>
      <c r="AZ93" s="95"/>
      <c r="BA93" s="136" t="n">
        <f aca="false">O93-AS93-AW93</f>
        <v>0</v>
      </c>
    </row>
    <row r="94" customFormat="false" ht="12.75" hidden="false" customHeight="false" outlineLevel="0" collapsed="false">
      <c r="A94" s="225"/>
      <c r="B94" s="132" t="s">
        <v>392</v>
      </c>
      <c r="C94" s="218"/>
      <c r="E94" s="94"/>
      <c r="G94" s="94" t="s">
        <v>208</v>
      </c>
      <c r="K94" s="133" t="n">
        <v>2025626</v>
      </c>
      <c r="M94" s="133" t="n">
        <v>300000</v>
      </c>
      <c r="O94" s="133" t="n">
        <f aca="false">SUM(K94:N94)</f>
        <v>2325626</v>
      </c>
      <c r="Q94" s="157"/>
      <c r="R94" s="216"/>
      <c r="S94" s="157"/>
      <c r="T94" s="216"/>
      <c r="U94" s="96" t="n">
        <v>0</v>
      </c>
      <c r="V94" s="96"/>
      <c r="W94" s="96"/>
      <c r="X94" s="96"/>
      <c r="Y94" s="96" t="n">
        <f aca="false">971+839-2214-355</f>
        <v>-759</v>
      </c>
      <c r="Z94" s="96"/>
      <c r="AA94" s="96"/>
      <c r="AB94" s="95"/>
      <c r="AC94" s="96" t="n">
        <v>176718</v>
      </c>
      <c r="AD94" s="95"/>
      <c r="AE94" s="96" t="n">
        <v>378305</v>
      </c>
      <c r="AF94" s="96"/>
      <c r="AG94" s="96" t="n">
        <f aca="false">933931+985411+39128</f>
        <v>1958470</v>
      </c>
      <c r="AH94" s="96"/>
      <c r="AI94" s="96" t="n">
        <v>547802</v>
      </c>
      <c r="AJ94" s="96"/>
      <c r="AK94" s="96" t="n">
        <v>129669</v>
      </c>
      <c r="AL94" s="96"/>
      <c r="AM94" s="96" t="n">
        <v>41433</v>
      </c>
      <c r="AN94" s="96"/>
      <c r="AO94" s="96" t="n">
        <v>127909</v>
      </c>
      <c r="AP94" s="96"/>
      <c r="AQ94" s="96"/>
      <c r="AR94" s="95"/>
      <c r="AS94" s="95" t="n">
        <f aca="false">SUM(P94:AR94)</f>
        <v>3359547</v>
      </c>
      <c r="AT94" s="95"/>
      <c r="AU94" s="96" t="n">
        <f aca="false">103299+18412+1543616-484968+4036-520000+109846+83132+6285+94328+246082+50509+16001+52839+39128+20909+5319-218752+9446+9812-283267+127909</f>
        <v>1033921</v>
      </c>
      <c r="AV94" s="95"/>
      <c r="AW94" s="95" t="n">
        <f aca="false">IF(+O94-AS94+AU94&gt;0,O94-AS94+AU94,0)</f>
        <v>0</v>
      </c>
      <c r="AX94" s="95"/>
      <c r="AY94" s="95" t="n">
        <f aca="false">+AW94+AS94</f>
        <v>3359547</v>
      </c>
      <c r="AZ94" s="95"/>
      <c r="BA94" s="136" t="n">
        <f aca="false">O94-AS94-AW94</f>
        <v>-1033921</v>
      </c>
    </row>
    <row r="95" customFormat="false" ht="12.75" hidden="false" customHeight="false" outlineLevel="0" collapsed="false">
      <c r="A95" s="225"/>
      <c r="B95" s="132" t="s">
        <v>252</v>
      </c>
      <c r="C95" s="218"/>
      <c r="E95" s="94"/>
      <c r="G95" s="94" t="s">
        <v>208</v>
      </c>
      <c r="K95" s="133" t="n">
        <v>4497959</v>
      </c>
      <c r="L95" s="219"/>
      <c r="M95" s="133" t="n">
        <v>609703</v>
      </c>
      <c r="N95" s="219"/>
      <c r="O95" s="133" t="n">
        <f aca="false">SUM(K95:N95)</f>
        <v>5107662</v>
      </c>
      <c r="R95" s="216"/>
      <c r="S95" s="96" t="n">
        <v>92014</v>
      </c>
      <c r="T95" s="216"/>
      <c r="U95" s="96" t="n">
        <f aca="false">10290.7+1200+322</f>
        <v>11812.7</v>
      </c>
      <c r="V95" s="96"/>
      <c r="W95" s="96" t="n">
        <f aca="false">8464.5+707</f>
        <v>9171.5</v>
      </c>
      <c r="X95" s="96"/>
      <c r="Y95" s="96" t="n">
        <f aca="false">909+390412</f>
        <v>391321</v>
      </c>
      <c r="Z95" s="96"/>
      <c r="AA95" s="96"/>
      <c r="AB95" s="95"/>
      <c r="AC95" s="96" t="n">
        <v>1446895</v>
      </c>
      <c r="AD95" s="95"/>
      <c r="AE95" s="96" t="n">
        <v>793920</v>
      </c>
      <c r="AF95" s="96"/>
      <c r="AG95" s="96" t="n">
        <f aca="false">1334112+206182</f>
        <v>1540294</v>
      </c>
      <c r="AH95" s="96"/>
      <c r="AI95" s="96" t="n">
        <v>609415</v>
      </c>
      <c r="AJ95" s="96"/>
      <c r="AK95" s="96" t="n">
        <v>-261044</v>
      </c>
      <c r="AL95" s="96"/>
      <c r="AM95" s="96" t="n">
        <v>19105</v>
      </c>
      <c r="AN95" s="96"/>
      <c r="AO95" s="96" t="n">
        <v>45956</v>
      </c>
      <c r="AP95" s="96"/>
      <c r="AQ95" s="96"/>
      <c r="AR95" s="95"/>
      <c r="AS95" s="95" t="n">
        <f aca="false">SUM(P95:AR95)</f>
        <v>4698860.2</v>
      </c>
      <c r="AT95" s="95"/>
      <c r="AU95" s="96" t="n">
        <f aca="false">4821110-5107662-127464+86561+2667+47113-177083+45956</f>
        <v>-408802</v>
      </c>
      <c r="AV95" s="95"/>
      <c r="AW95" s="95" t="n">
        <f aca="false">IF(+O95-AS95+AU95&gt;0,O95-AS95+AU95,0)</f>
        <v>0</v>
      </c>
      <c r="AX95" s="95"/>
      <c r="AY95" s="136" t="n">
        <f aca="false">+AW95+AS95</f>
        <v>4698860.2</v>
      </c>
      <c r="AZ95" s="95"/>
      <c r="BA95" s="136" t="n">
        <f aca="false">O95-AS95-AW95</f>
        <v>408801.8</v>
      </c>
    </row>
    <row r="96" customFormat="false" ht="12.75" hidden="false" customHeight="false" outlineLevel="0" collapsed="false">
      <c r="A96" s="225"/>
      <c r="B96" s="132" t="s">
        <v>393</v>
      </c>
      <c r="C96" s="218"/>
      <c r="E96" s="94"/>
      <c r="G96" s="94" t="s">
        <v>208</v>
      </c>
      <c r="K96" s="133" t="n">
        <v>0</v>
      </c>
      <c r="M96" s="133" t="n">
        <v>0</v>
      </c>
      <c r="O96" s="133" t="n">
        <f aca="false">SUM(K96:N96)</f>
        <v>0</v>
      </c>
      <c r="R96" s="216"/>
      <c r="T96" s="216"/>
      <c r="U96" s="96"/>
      <c r="V96" s="96"/>
      <c r="W96" s="96"/>
      <c r="X96" s="96"/>
      <c r="Y96" s="96"/>
      <c r="Z96" s="96"/>
      <c r="AA96" s="96"/>
      <c r="AB96" s="95"/>
      <c r="AC96" s="96"/>
      <c r="AD96" s="95"/>
      <c r="AE96" s="96"/>
      <c r="AF96" s="96"/>
      <c r="AG96" s="96"/>
      <c r="AH96" s="96"/>
      <c r="AI96" s="96"/>
      <c r="AJ96" s="96"/>
      <c r="AK96" s="96"/>
      <c r="AL96" s="96"/>
      <c r="AM96" s="96" t="n">
        <v>364</v>
      </c>
      <c r="AN96" s="96"/>
      <c r="AO96" s="96"/>
      <c r="AP96" s="96"/>
      <c r="AQ96" s="96"/>
      <c r="AR96" s="95"/>
      <c r="AS96" s="95" t="n">
        <f aca="false">SUM(P96:AR96)</f>
        <v>364</v>
      </c>
      <c r="AT96" s="95"/>
      <c r="AU96" s="96" t="n">
        <f aca="false">29229+13142+14079+318-56404</f>
        <v>364</v>
      </c>
      <c r="AV96" s="95"/>
      <c r="AW96" s="95" t="n">
        <f aca="false">IF(+O96-AS96+AU96&gt;0,O96-AS96+AU96,0)</f>
        <v>0</v>
      </c>
      <c r="AX96" s="95"/>
      <c r="AY96" s="95" t="n">
        <f aca="false">+AW96+AS96</f>
        <v>364</v>
      </c>
      <c r="AZ96" s="95"/>
      <c r="BA96" s="136" t="n">
        <f aca="false">O96-AS96-AW96</f>
        <v>-364</v>
      </c>
    </row>
    <row r="97" customFormat="false" ht="12.75" hidden="false" customHeight="false" outlineLevel="0" collapsed="false">
      <c r="A97" s="225"/>
      <c r="B97" s="132" t="s">
        <v>253</v>
      </c>
      <c r="C97" s="218"/>
      <c r="E97" s="94"/>
      <c r="K97" s="133"/>
      <c r="M97" s="133"/>
      <c r="O97" s="133"/>
      <c r="R97" s="216"/>
      <c r="T97" s="216"/>
      <c r="U97" s="96"/>
      <c r="V97" s="96"/>
      <c r="W97" s="96"/>
      <c r="X97" s="96"/>
      <c r="Y97" s="96"/>
      <c r="Z97" s="96"/>
      <c r="AA97" s="96"/>
      <c r="AB97" s="95"/>
      <c r="AC97" s="96"/>
      <c r="AD97" s="95"/>
      <c r="AE97" s="96"/>
      <c r="AF97" s="96"/>
      <c r="AG97" s="96"/>
      <c r="AH97" s="96"/>
      <c r="AI97" s="96"/>
      <c r="AJ97" s="96"/>
      <c r="AK97" s="96" t="n">
        <v>14609.7</v>
      </c>
      <c r="AL97" s="96"/>
      <c r="AM97" s="96" t="n">
        <f aca="false">175000+65.48</f>
        <v>175065.48</v>
      </c>
      <c r="AN97" s="96"/>
      <c r="AO97" s="96"/>
      <c r="AP97" s="96"/>
      <c r="AQ97" s="96"/>
      <c r="AR97" s="95"/>
      <c r="AS97" s="95" t="n">
        <f aca="false">SUM(P97:AR97)</f>
        <v>189675.18</v>
      </c>
      <c r="AT97" s="95"/>
      <c r="AU97" s="96" t="n">
        <v>0</v>
      </c>
      <c r="AV97" s="95"/>
      <c r="AW97" s="95" t="n">
        <f aca="false">IF(+O97-AS97+AU97&gt;0,O97-AS97+AU97,0)</f>
        <v>0</v>
      </c>
      <c r="AX97" s="95"/>
      <c r="AY97" s="95" t="n">
        <f aca="false">+AW97+AS97</f>
        <v>189675.18</v>
      </c>
      <c r="AZ97" s="95"/>
      <c r="BA97" s="136" t="n">
        <f aca="false">O97-AS97-AW97</f>
        <v>-189675.18</v>
      </c>
    </row>
    <row r="98" customFormat="false" ht="12.75" hidden="false" customHeight="false" outlineLevel="0" collapsed="false">
      <c r="A98" s="224"/>
      <c r="B98" s="226" t="s">
        <v>254</v>
      </c>
      <c r="C98" s="218"/>
      <c r="E98" s="94"/>
      <c r="G98" s="90"/>
      <c r="K98" s="155" t="n">
        <f aca="false">SUM(K73:K96)</f>
        <v>11841668</v>
      </c>
      <c r="M98" s="155" t="n">
        <f aca="false">SUM(M73:M96)</f>
        <v>909703</v>
      </c>
      <c r="O98" s="155" t="n">
        <f aca="false">SUM(O73:O97)</f>
        <v>12751371</v>
      </c>
      <c r="Q98" s="154" t="n">
        <f aca="false">SUM(Q73:Q97)</f>
        <v>0</v>
      </c>
      <c r="R98" s="154"/>
      <c r="S98" s="154" t="n">
        <f aca="false">SUM(S73:S97)</f>
        <v>92014</v>
      </c>
      <c r="T98" s="154"/>
      <c r="U98" s="154" t="n">
        <f aca="false">SUM(U73:U97)</f>
        <v>122182.7</v>
      </c>
      <c r="V98" s="154"/>
      <c r="W98" s="154" t="n">
        <f aca="false">SUM(W73:W97)</f>
        <v>307623.5</v>
      </c>
      <c r="X98" s="154"/>
      <c r="Y98" s="154" t="n">
        <f aca="false">SUM(Y73:Y97)</f>
        <v>1152720</v>
      </c>
      <c r="Z98" s="154"/>
      <c r="AA98" s="154" t="n">
        <f aca="false">SUM(AA73:AA97)</f>
        <v>0</v>
      </c>
      <c r="AB98" s="154"/>
      <c r="AC98" s="154" t="n">
        <f aca="false">SUM(AC73:AC97)</f>
        <v>2771933</v>
      </c>
      <c r="AD98" s="154"/>
      <c r="AE98" s="154" t="n">
        <f aca="false">SUM(AE73:AE97)</f>
        <v>1931796</v>
      </c>
      <c r="AF98" s="154"/>
      <c r="AG98" s="154" t="n">
        <f aca="false">SUM(AG73:AG97)</f>
        <v>6052695</v>
      </c>
      <c r="AH98" s="154"/>
      <c r="AI98" s="154" t="n">
        <f aca="false">SUM(AI73:AI97)</f>
        <v>3119977</v>
      </c>
      <c r="AJ98" s="154"/>
      <c r="AK98" s="154" t="n">
        <f aca="false">SUM(AK73:AK97)</f>
        <v>923802.7</v>
      </c>
      <c r="AL98" s="154"/>
      <c r="AM98" s="154" t="n">
        <f aca="false">SUM(AM73:AM97)</f>
        <v>438997.48</v>
      </c>
      <c r="AN98" s="154"/>
      <c r="AO98" s="154" t="n">
        <f aca="false">SUM(AO73:AO97)</f>
        <v>432769</v>
      </c>
      <c r="AP98" s="154"/>
      <c r="AQ98" s="154" t="n">
        <f aca="false">SUM(AQ73:AQ97)</f>
        <v>0</v>
      </c>
      <c r="AR98" s="154"/>
      <c r="AS98" s="154" t="n">
        <f aca="false">SUM(AS73:AS97)</f>
        <v>17346510.38</v>
      </c>
      <c r="AU98" s="154" t="n">
        <f aca="false">SUM(AU73:AU96)</f>
        <v>3952702</v>
      </c>
      <c r="AW98" s="155" t="n">
        <f aca="false">SUM(AW73:AW96)</f>
        <v>0</v>
      </c>
      <c r="AY98" s="155" t="n">
        <f aca="false">+AW98+AS98</f>
        <v>17346510.38</v>
      </c>
      <c r="BA98" s="155" t="n">
        <f aca="false">O98-AS98-AW98</f>
        <v>-4595139.38</v>
      </c>
    </row>
    <row r="99" customFormat="false" ht="12.75" hidden="false" customHeight="false" outlineLevel="0" collapsed="false">
      <c r="A99" s="225"/>
      <c r="B99" s="132"/>
      <c r="C99" s="218"/>
      <c r="E99" s="94"/>
      <c r="U99" s="96"/>
      <c r="BA99" s="136"/>
    </row>
    <row r="100" customFormat="false" ht="12.75" hidden="false" customHeight="false" outlineLevel="0" collapsed="false">
      <c r="A100" s="227" t="s">
        <v>255</v>
      </c>
      <c r="B100" s="132"/>
      <c r="C100" s="218"/>
      <c r="E100" s="94"/>
      <c r="U100" s="96"/>
      <c r="BA100" s="136"/>
    </row>
    <row r="101" customFormat="false" ht="12.75" hidden="false" customHeight="false" outlineLevel="0" collapsed="false">
      <c r="A101" s="227"/>
      <c r="B101" s="132" t="s">
        <v>256</v>
      </c>
      <c r="C101" s="218" t="s">
        <v>207</v>
      </c>
      <c r="E101" s="94" t="s">
        <v>173</v>
      </c>
      <c r="G101" s="94" t="s">
        <v>208</v>
      </c>
      <c r="I101" s="94" t="s">
        <v>174</v>
      </c>
      <c r="K101" s="133" t="n">
        <v>502431</v>
      </c>
      <c r="M101" s="133"/>
      <c r="O101" s="133" t="n">
        <f aca="false">SUM(K101:N101)</f>
        <v>502431</v>
      </c>
      <c r="Q101" s="157"/>
      <c r="R101" s="216"/>
      <c r="S101" s="157"/>
      <c r="T101" s="216"/>
      <c r="U101" s="96" t="n">
        <v>74539</v>
      </c>
      <c r="V101" s="96"/>
      <c r="W101" s="96" t="n">
        <v>32391</v>
      </c>
      <c r="X101" s="96"/>
      <c r="Y101" s="96" t="n">
        <f aca="false">23668+5886</f>
        <v>29554</v>
      </c>
      <c r="Z101" s="96"/>
      <c r="AA101" s="96"/>
      <c r="AB101" s="95"/>
      <c r="AC101" s="96" t="n">
        <v>61016</v>
      </c>
      <c r="AD101" s="95"/>
      <c r="AE101" s="96" t="n">
        <v>45639</v>
      </c>
      <c r="AF101" s="96"/>
      <c r="AG101" s="96" t="n">
        <f aca="false">24992+9252</f>
        <v>34244</v>
      </c>
      <c r="AH101" s="96"/>
      <c r="AI101" s="96" t="n">
        <v>4861</v>
      </c>
      <c r="AJ101" s="96"/>
      <c r="AK101" s="96" t="n">
        <v>11293</v>
      </c>
      <c r="AL101" s="96"/>
      <c r="AM101" s="96" t="n">
        <v>29853</v>
      </c>
      <c r="AN101" s="96"/>
      <c r="AO101" s="96" t="n">
        <v>48884</v>
      </c>
      <c r="AP101" s="96"/>
      <c r="AQ101" s="96"/>
      <c r="AR101" s="95"/>
      <c r="AS101" s="95" t="n">
        <f aca="false">SUM(P101:AR101)</f>
        <v>372274</v>
      </c>
      <c r="AT101" s="95"/>
      <c r="AU101" s="96" t="n">
        <f aca="false">268179-502431+72539-22482-46870+2043+48884</f>
        <v>-180138</v>
      </c>
      <c r="AV101" s="95"/>
      <c r="AW101" s="136" t="n">
        <f aca="false">IF(+O101-AS101+AU101&gt;0,O101-AS101+AU101,0)+546651</f>
        <v>546651</v>
      </c>
      <c r="AX101" s="95"/>
      <c r="AY101" s="136" t="n">
        <f aca="false">+AW101+AS101</f>
        <v>918925</v>
      </c>
      <c r="AZ101" s="95"/>
      <c r="BA101" s="136" t="n">
        <f aca="false">O101-AS101-AW101</f>
        <v>-416494</v>
      </c>
    </row>
    <row r="102" customFormat="false" ht="12.75" hidden="false" customHeight="false" outlineLevel="0" collapsed="false">
      <c r="A102" s="227"/>
      <c r="B102" s="132" t="s">
        <v>257</v>
      </c>
      <c r="C102" s="218"/>
      <c r="E102" s="94"/>
      <c r="G102" s="94" t="s">
        <v>208</v>
      </c>
      <c r="K102" s="133" t="n">
        <v>72888</v>
      </c>
      <c r="M102" s="133"/>
      <c r="O102" s="133" t="n">
        <f aca="false">SUM(K102:N102)</f>
        <v>72888</v>
      </c>
      <c r="Q102" s="157"/>
      <c r="R102" s="216"/>
      <c r="S102" s="157"/>
      <c r="T102" s="216"/>
      <c r="U102" s="96" t="n">
        <v>2061</v>
      </c>
      <c r="V102" s="96"/>
      <c r="W102" s="96" t="n">
        <v>7110</v>
      </c>
      <c r="X102" s="96"/>
      <c r="Y102" s="96" t="n">
        <f aca="false">11526+8947</f>
        <v>20473</v>
      </c>
      <c r="Z102" s="96"/>
      <c r="AA102" s="96"/>
      <c r="AB102" s="95"/>
      <c r="AC102" s="96" t="n">
        <v>-19199</v>
      </c>
      <c r="AD102" s="95"/>
      <c r="AE102" s="96" t="n">
        <v>24070</v>
      </c>
      <c r="AF102" s="96"/>
      <c r="AG102" s="96" t="n">
        <f aca="false">110+9689</f>
        <v>9799</v>
      </c>
      <c r="AH102" s="96"/>
      <c r="AI102" s="96" t="n">
        <v>115</v>
      </c>
      <c r="AJ102" s="96"/>
      <c r="AK102" s="96" t="n">
        <v>699</v>
      </c>
      <c r="AL102" s="96"/>
      <c r="AM102" s="96" t="n">
        <v>1951</v>
      </c>
      <c r="AN102" s="96"/>
      <c r="AO102" s="96"/>
      <c r="AP102" s="96"/>
      <c r="AQ102" s="96"/>
      <c r="AR102" s="95"/>
      <c r="AS102" s="95" t="n">
        <f aca="false">SUM(P102:AR102)</f>
        <v>47079</v>
      </c>
      <c r="AT102" s="95"/>
      <c r="AU102" s="96" t="n">
        <f aca="false">36569-72888+15268+11706+25-16489</f>
        <v>-25809</v>
      </c>
      <c r="AV102" s="95"/>
      <c r="AW102" s="95" t="n">
        <f aca="false">IF(+O102-AS102+AU102&gt;0,O102-AS102+AU102,0)</f>
        <v>0</v>
      </c>
      <c r="AX102" s="95"/>
      <c r="AY102" s="95" t="n">
        <f aca="false">+AW102+AS102</f>
        <v>47079</v>
      </c>
      <c r="AZ102" s="95"/>
      <c r="BA102" s="136" t="n">
        <f aca="false">O102-AS102-AW102</f>
        <v>25809</v>
      </c>
    </row>
    <row r="103" customFormat="false" ht="12.75" hidden="false" customHeight="false" outlineLevel="0" collapsed="false">
      <c r="A103" s="227"/>
      <c r="B103" s="132" t="s">
        <v>258</v>
      </c>
      <c r="C103" s="218"/>
      <c r="E103" s="94"/>
      <c r="G103" s="94" t="s">
        <v>208</v>
      </c>
      <c r="K103" s="133" t="n">
        <v>944679</v>
      </c>
      <c r="M103" s="133"/>
      <c r="O103" s="133" t="n">
        <f aca="false">SUM(K103:N103)</f>
        <v>944679</v>
      </c>
      <c r="Q103" s="157"/>
      <c r="R103" s="216"/>
      <c r="S103" s="157"/>
      <c r="T103" s="216"/>
      <c r="U103" s="96" t="n">
        <v>9204</v>
      </c>
      <c r="V103" s="96"/>
      <c r="W103" s="96" t="n">
        <v>29546</v>
      </c>
      <c r="X103" s="96"/>
      <c r="Y103" s="96" t="n">
        <f aca="false">453+78183</f>
        <v>78636</v>
      </c>
      <c r="Z103" s="96"/>
      <c r="AA103" s="96"/>
      <c r="AB103" s="95"/>
      <c r="AC103" s="96" t="n">
        <v>68411</v>
      </c>
      <c r="AD103" s="95"/>
      <c r="AE103" s="96" t="n">
        <v>138302</v>
      </c>
      <c r="AF103" s="96"/>
      <c r="AG103" s="96" t="n">
        <f aca="false">129085+109974</f>
        <v>239059</v>
      </c>
      <c r="AH103" s="96"/>
      <c r="AI103" s="96" t="n">
        <v>64533</v>
      </c>
      <c r="AJ103" s="96"/>
      <c r="AK103" s="96" t="n">
        <v>210126</v>
      </c>
      <c r="AL103" s="96"/>
      <c r="AM103" s="96" t="n">
        <v>79331</v>
      </c>
      <c r="AN103" s="96"/>
      <c r="AO103" s="96" t="n">
        <v>33955</v>
      </c>
      <c r="AP103" s="96"/>
      <c r="AQ103" s="96"/>
      <c r="AR103" s="95"/>
      <c r="AS103" s="95" t="n">
        <f aca="false">SUM(P103:AR103)</f>
        <v>951103</v>
      </c>
      <c r="AT103" s="95"/>
      <c r="AU103" s="96" t="n">
        <f aca="false">843894-944679+25513+117814-25215+1390-46248+33955</f>
        <v>6424</v>
      </c>
      <c r="AV103" s="95"/>
      <c r="AW103" s="95" t="n">
        <f aca="false">IF(+O103-AS103+AU103&gt;0,O103-AS103+AU103,0)</f>
        <v>0</v>
      </c>
      <c r="AX103" s="95"/>
      <c r="AY103" s="95" t="n">
        <f aca="false">+AW103+AS103</f>
        <v>951103</v>
      </c>
      <c r="AZ103" s="95"/>
      <c r="BA103" s="136" t="n">
        <f aca="false">O103-AS103-AW103</f>
        <v>-6424</v>
      </c>
    </row>
    <row r="104" customFormat="false" ht="12.75" hidden="false" customHeight="false" outlineLevel="0" collapsed="false">
      <c r="A104" s="227"/>
      <c r="B104" s="132" t="s">
        <v>394</v>
      </c>
      <c r="C104" s="218"/>
      <c r="E104" s="94" t="s">
        <v>173</v>
      </c>
      <c r="G104" s="94" t="s">
        <v>208</v>
      </c>
      <c r="I104" s="94" t="s">
        <v>174</v>
      </c>
      <c r="K104" s="133" t="n">
        <f aca="false">4215187+1334392+1373350</f>
        <v>6922929</v>
      </c>
      <c r="M104" s="133"/>
      <c r="O104" s="133" t="n">
        <f aca="false">SUM(K104:N104)</f>
        <v>6922929</v>
      </c>
      <c r="Q104" s="157"/>
      <c r="R104" s="216"/>
      <c r="S104" s="157"/>
      <c r="T104" s="216"/>
      <c r="U104" s="96" t="n">
        <v>613553</v>
      </c>
      <c r="V104" s="96"/>
      <c r="W104" s="96" t="n">
        <v>239488</v>
      </c>
      <c r="X104" s="96"/>
      <c r="Y104" s="96" t="n">
        <f aca="false">188385+294094</f>
        <v>482479</v>
      </c>
      <c r="Z104" s="96"/>
      <c r="AA104" s="96"/>
      <c r="AB104" s="95"/>
      <c r="AC104" s="96" t="n">
        <v>385303</v>
      </c>
      <c r="AD104" s="95"/>
      <c r="AE104" s="96" t="n">
        <v>634602</v>
      </c>
      <c r="AF104" s="96"/>
      <c r="AG104" s="96" t="n">
        <f aca="false">989305+949276-158788</f>
        <v>1779793</v>
      </c>
      <c r="AH104" s="96"/>
      <c r="AI104" s="96" t="n">
        <f aca="false">158788+451091</f>
        <v>609879</v>
      </c>
      <c r="AJ104" s="96"/>
      <c r="AK104" s="96" t="n">
        <f aca="false">713507</f>
        <v>713507</v>
      </c>
      <c r="AL104" s="96"/>
      <c r="AM104" s="96" t="n">
        <v>575717</v>
      </c>
      <c r="AN104" s="96"/>
      <c r="AO104" s="96"/>
      <c r="AP104" s="96"/>
      <c r="AQ104" s="96"/>
      <c r="AR104" s="95"/>
      <c r="AS104" s="95" t="n">
        <f aca="false">SUM(P104:AR104)</f>
        <v>6034321</v>
      </c>
      <c r="AT104" s="95"/>
      <c r="AU104" s="96" t="n">
        <f aca="false">3238604-4215187+169686+779497-55138+70426+118441-94958+49461+21963+67707-1039110</f>
        <v>-888608</v>
      </c>
      <c r="AV104" s="95"/>
      <c r="AW104" s="95" t="n">
        <f aca="false">IF(+O104-AS104+AU104&gt;0,O104-AS104+AU104,0)</f>
        <v>0</v>
      </c>
      <c r="AX104" s="95"/>
      <c r="AY104" s="95" t="n">
        <f aca="false">+AW104+AS104</f>
        <v>6034321</v>
      </c>
      <c r="AZ104" s="95"/>
      <c r="BA104" s="136" t="n">
        <f aca="false">O104-AS104-AW104</f>
        <v>888608</v>
      </c>
    </row>
    <row r="105" customFormat="false" ht="12.75" hidden="false" customHeight="false" outlineLevel="0" collapsed="false">
      <c r="A105" s="227"/>
      <c r="B105" s="132" t="s">
        <v>395</v>
      </c>
      <c r="C105" s="218"/>
      <c r="E105" s="94"/>
      <c r="K105" s="138" t="n">
        <v>917579</v>
      </c>
      <c r="M105" s="138"/>
      <c r="O105" s="138" t="n">
        <f aca="false">SUM(K105:N105)</f>
        <v>917579</v>
      </c>
      <c r="Q105" s="228"/>
      <c r="R105" s="216"/>
      <c r="S105" s="228"/>
      <c r="T105" s="216"/>
      <c r="U105" s="96" t="n">
        <v>0</v>
      </c>
      <c r="V105" s="96"/>
      <c r="W105" s="96" t="n">
        <v>17113</v>
      </c>
      <c r="X105" s="96"/>
      <c r="Y105" s="96" t="n">
        <f aca="false">1320+26220+1845+5518</f>
        <v>34903</v>
      </c>
      <c r="Z105" s="96"/>
      <c r="AA105" s="96"/>
      <c r="AB105" s="95"/>
      <c r="AC105" s="96" t="n">
        <v>45418</v>
      </c>
      <c r="AD105" s="95"/>
      <c r="AE105" s="96" t="n">
        <v>105853</v>
      </c>
      <c r="AF105" s="96"/>
      <c r="AG105" s="96" t="n">
        <f aca="false">473335+962263-70682</f>
        <v>1364916</v>
      </c>
      <c r="AH105" s="96"/>
      <c r="AI105" s="96" t="n">
        <f aca="false">70682+729194</f>
        <v>799876</v>
      </c>
      <c r="AJ105" s="96"/>
      <c r="AK105" s="96" t="n">
        <v>416874</v>
      </c>
      <c r="AL105" s="96"/>
      <c r="AM105" s="96" t="n">
        <v>24589</v>
      </c>
      <c r="AN105" s="96"/>
      <c r="AO105" s="96" t="n">
        <v>428124</v>
      </c>
      <c r="AP105" s="96"/>
      <c r="AQ105" s="96"/>
      <c r="AR105" s="95"/>
      <c r="AS105" s="95" t="n">
        <f aca="false">SUM(P105:AR105)</f>
        <v>3237666</v>
      </c>
      <c r="AT105" s="95"/>
      <c r="AU105" s="96" t="n">
        <f aca="false">844909-917579+230285+493009+48664+1525471+1583734+7916+115420-181730-1858136+428124-104000</f>
        <v>2216087</v>
      </c>
      <c r="AV105" s="95"/>
      <c r="AW105" s="95" t="n">
        <f aca="false">IF(+O105-AS105+AU105&gt;0,O105-AS105+AU105,0)</f>
        <v>0</v>
      </c>
      <c r="AX105" s="95"/>
      <c r="AY105" s="95" t="n">
        <f aca="false">+AW105+AS105</f>
        <v>3237666</v>
      </c>
      <c r="AZ105" s="95"/>
      <c r="BA105" s="141" t="n">
        <f aca="false">O105-AS105-AW105</f>
        <v>-2320087</v>
      </c>
    </row>
    <row r="106" customFormat="false" ht="12.75" hidden="false" customHeight="false" outlineLevel="0" collapsed="false">
      <c r="A106" s="224"/>
      <c r="B106" s="226" t="s">
        <v>396</v>
      </c>
      <c r="C106" s="218"/>
      <c r="E106" s="94"/>
      <c r="G106" s="229"/>
      <c r="K106" s="24" t="n">
        <f aca="false">SUM(K101:K105)</f>
        <v>9360506</v>
      </c>
      <c r="M106" s="24" t="n">
        <f aca="false">SUM(M101:M105)</f>
        <v>0</v>
      </c>
      <c r="O106" s="24" t="n">
        <f aca="false">SUM(O101:O105)</f>
        <v>9360506</v>
      </c>
      <c r="Q106" s="154" t="n">
        <f aca="false">SUM(Q101:Q105)</f>
        <v>0</v>
      </c>
      <c r="S106" s="154" t="n">
        <f aca="false">SUM(S101:S105)</f>
        <v>0</v>
      </c>
      <c r="U106" s="154" t="n">
        <f aca="false">SUM(U101:U105)</f>
        <v>699357</v>
      </c>
      <c r="W106" s="154" t="n">
        <f aca="false">SUM(W101:W105)</f>
        <v>325648</v>
      </c>
      <c r="Y106" s="154" t="n">
        <f aca="false">SUM(Y101:Y105)</f>
        <v>646045</v>
      </c>
      <c r="AA106" s="154" t="n">
        <f aca="false">SUM(AA101:AA105)</f>
        <v>0</v>
      </c>
      <c r="AC106" s="154" t="n">
        <f aca="false">SUM(AC101:AC105)</f>
        <v>540949</v>
      </c>
      <c r="AE106" s="154" t="n">
        <f aca="false">SUM(AE101:AE105)</f>
        <v>948466</v>
      </c>
      <c r="AF106" s="129"/>
      <c r="AG106" s="154" t="n">
        <f aca="false">SUM(AG101:AG105)</f>
        <v>3427811</v>
      </c>
      <c r="AH106" s="129"/>
      <c r="AI106" s="154" t="n">
        <f aca="false">SUM(AI101:AI105)</f>
        <v>1479264</v>
      </c>
      <c r="AJ106" s="129"/>
      <c r="AK106" s="154" t="n">
        <f aca="false">SUM(AK101:AK105)</f>
        <v>1352499</v>
      </c>
      <c r="AL106" s="154"/>
      <c r="AM106" s="154" t="n">
        <f aca="false">SUM(AM101:AM105)</f>
        <v>711441</v>
      </c>
      <c r="AN106" s="129"/>
      <c r="AO106" s="154" t="n">
        <f aca="false">SUM(AO101:AO105)</f>
        <v>510963</v>
      </c>
      <c r="AP106" s="129"/>
      <c r="AQ106" s="154" t="n">
        <f aca="false">SUM(AQ101:AQ105)</f>
        <v>0</v>
      </c>
      <c r="AS106" s="155" t="n">
        <f aca="false">SUM(AS101:AS105)</f>
        <v>10642443</v>
      </c>
      <c r="AU106" s="154" t="n">
        <f aca="false">SUM(AU101:AU105)</f>
        <v>1127956</v>
      </c>
      <c r="AW106" s="155" t="n">
        <f aca="false">SUM(AW101:AW105)</f>
        <v>546651</v>
      </c>
      <c r="AY106" s="155" t="n">
        <f aca="false">+AW106+AS106</f>
        <v>11189094</v>
      </c>
      <c r="BA106" s="155" t="n">
        <f aca="false">O106-AS106-AW106</f>
        <v>-1828588</v>
      </c>
    </row>
    <row r="107" customFormat="false" ht="12.75" hidden="false" customHeight="false" outlineLevel="0" collapsed="false">
      <c r="A107" s="224"/>
      <c r="B107" s="226"/>
      <c r="C107" s="218"/>
      <c r="E107" s="94"/>
      <c r="G107" s="90"/>
      <c r="K107" s="24"/>
      <c r="M107" s="24"/>
      <c r="O107" s="24"/>
      <c r="Q107" s="129"/>
      <c r="S107" s="129"/>
      <c r="U107" s="96"/>
      <c r="BA107" s="136"/>
    </row>
    <row r="108" customFormat="false" ht="12.75" hidden="false" customHeight="false" outlineLevel="0" collapsed="false">
      <c r="A108" s="227" t="s">
        <v>263</v>
      </c>
      <c r="B108" s="132"/>
      <c r="C108" s="218" t="s">
        <v>207</v>
      </c>
      <c r="E108" s="94" t="s">
        <v>173</v>
      </c>
      <c r="G108" s="94" t="s">
        <v>385</v>
      </c>
      <c r="I108" s="94" t="s">
        <v>174</v>
      </c>
      <c r="K108" s="24" t="n">
        <v>0</v>
      </c>
      <c r="M108" s="24"/>
      <c r="O108" s="24" t="n">
        <f aca="false">SUM(K108:N108)</f>
        <v>0</v>
      </c>
      <c r="Q108" s="129"/>
      <c r="S108" s="129"/>
      <c r="U108" s="129" t="n">
        <v>14581</v>
      </c>
      <c r="W108" s="129" t="n">
        <v>11246</v>
      </c>
      <c r="Y108" s="129" t="n">
        <f aca="false">1831142.77-1798765</f>
        <v>32377.77</v>
      </c>
      <c r="AA108" s="129"/>
      <c r="AC108" s="129" t="n">
        <v>59632</v>
      </c>
      <c r="AE108" s="129" t="n">
        <v>51845</v>
      </c>
      <c r="AF108" s="129"/>
      <c r="AG108" s="129" t="n">
        <f aca="false">103320+80991</f>
        <v>184311</v>
      </c>
      <c r="AH108" s="129"/>
      <c r="AI108" s="129" t="n">
        <v>63648</v>
      </c>
      <c r="AJ108" s="129"/>
      <c r="AK108" s="129" t="n">
        <v>40710</v>
      </c>
      <c r="AL108" s="129"/>
      <c r="AM108" s="129" t="n">
        <v>17557</v>
      </c>
      <c r="AN108" s="129"/>
      <c r="AO108" s="129" t="n">
        <v>16987</v>
      </c>
      <c r="AP108" s="129"/>
      <c r="AQ108" s="129"/>
      <c r="AS108" s="95" t="n">
        <f aca="false">SUM(P108:AR108)</f>
        <v>492894.77</v>
      </c>
      <c r="AU108" s="129" t="n">
        <f aca="false">649600-173692+16987</f>
        <v>492895</v>
      </c>
      <c r="AW108" s="95" t="n">
        <f aca="false">IF(+O108-AS108+AU108&gt;0,O108-AS108+AU108,0)</f>
        <v>0.229999999981374</v>
      </c>
      <c r="AY108" s="95" t="n">
        <f aca="false">+AW108+AS108</f>
        <v>492895</v>
      </c>
      <c r="BA108" s="136" t="n">
        <f aca="false">O108-AS108-AW108</f>
        <v>-492895</v>
      </c>
    </row>
    <row r="109" customFormat="false" ht="12.75" hidden="false" customHeight="false" outlineLevel="0" collapsed="false">
      <c r="A109" s="227"/>
      <c r="B109" s="132"/>
      <c r="C109" s="218"/>
      <c r="E109" s="94"/>
      <c r="K109" s="24"/>
      <c r="M109" s="24"/>
      <c r="O109" s="24"/>
      <c r="Q109" s="129"/>
      <c r="S109" s="129"/>
      <c r="U109" s="96"/>
      <c r="BA109" s="136"/>
    </row>
    <row r="110" customFormat="false" ht="12.75" hidden="false" customHeight="false" outlineLevel="0" collapsed="false">
      <c r="A110" s="227"/>
      <c r="B110" s="132"/>
      <c r="C110" s="218"/>
      <c r="E110" s="94"/>
      <c r="K110" s="24"/>
      <c r="M110" s="24"/>
      <c r="O110" s="24"/>
      <c r="Q110" s="129"/>
      <c r="S110" s="129"/>
      <c r="U110" s="96"/>
      <c r="BA110" s="136"/>
    </row>
    <row r="111" customFormat="false" ht="12.75" hidden="false" customHeight="false" outlineLevel="0" collapsed="false">
      <c r="A111" s="227"/>
      <c r="B111" s="132"/>
      <c r="C111" s="218"/>
      <c r="E111" s="94"/>
      <c r="K111" s="24" t="n">
        <v>0</v>
      </c>
      <c r="M111" s="24" t="n">
        <v>0</v>
      </c>
      <c r="O111" s="133" t="n">
        <v>0</v>
      </c>
      <c r="Q111" s="129" t="n">
        <v>0</v>
      </c>
      <c r="S111" s="129" t="n">
        <v>0</v>
      </c>
      <c r="U111" s="96"/>
      <c r="AS111" s="95" t="n">
        <f aca="false">SUM(P111:AR111)</f>
        <v>0</v>
      </c>
      <c r="AW111" s="95" t="n">
        <f aca="false">IF(+O111-AS111+AU111&gt;0,O111-AS111+AU111,0)</f>
        <v>0</v>
      </c>
      <c r="AY111" s="95" t="n">
        <f aca="false">+AW111+AS111</f>
        <v>0</v>
      </c>
      <c r="BA111" s="136" t="n">
        <f aca="false">O111-AS111-AW111</f>
        <v>0</v>
      </c>
      <c r="BC111" s="174"/>
    </row>
    <row r="112" customFormat="false" ht="12.75" hidden="false" customHeight="false" outlineLevel="0" collapsed="false">
      <c r="A112" s="227" t="s">
        <v>262</v>
      </c>
      <c r="B112" s="132"/>
      <c r="C112" s="218"/>
      <c r="E112" s="94"/>
      <c r="K112" s="192" t="n">
        <v>0</v>
      </c>
      <c r="M112" s="192" t="n">
        <v>0</v>
      </c>
      <c r="O112" s="138" t="n">
        <v>0</v>
      </c>
      <c r="Q112" s="230" t="n">
        <v>0</v>
      </c>
      <c r="S112" s="230" t="n">
        <v>0</v>
      </c>
      <c r="U112" s="96"/>
      <c r="AS112" s="95" t="n">
        <f aca="false">SUM(P112:AR112)</f>
        <v>0</v>
      </c>
      <c r="AU112" s="96" t="n">
        <v>283000</v>
      </c>
      <c r="AW112" s="95" t="n">
        <f aca="false">IF(+O112-AS112+AU112&gt;0,O112-AS112+AU112,0)</f>
        <v>283000</v>
      </c>
      <c r="AY112" s="95" t="n">
        <f aca="false">+AW112+AS112</f>
        <v>283000</v>
      </c>
      <c r="BA112" s="141" t="n">
        <f aca="false">O112-AS112-AW112</f>
        <v>-283000</v>
      </c>
      <c r="BC112" s="174"/>
    </row>
    <row r="113" customFormat="false" ht="12.75" hidden="false" customHeight="false" outlineLevel="0" collapsed="false">
      <c r="A113" s="227"/>
      <c r="B113" s="132"/>
      <c r="C113" s="218"/>
      <c r="E113" s="94"/>
      <c r="K113" s="24" t="n">
        <f aca="false">SUM(K111:K112)</f>
        <v>0</v>
      </c>
      <c r="M113" s="24" t="n">
        <f aca="false">SUM(M111:M112)</f>
        <v>0</v>
      </c>
      <c r="O113" s="24" t="n">
        <f aca="false">SUM(O111:O112)</f>
        <v>0</v>
      </c>
      <c r="Q113" s="129" t="n">
        <f aca="false">SUM(Q111:Q112)</f>
        <v>0</v>
      </c>
      <c r="S113" s="129" t="n">
        <f aca="false">SUM(S111:S112)</f>
        <v>0</v>
      </c>
      <c r="U113" s="154" t="n">
        <f aca="false">SUM(U111:U112)</f>
        <v>0</v>
      </c>
      <c r="W113" s="154" t="n">
        <f aca="false">SUM(W111:W112)</f>
        <v>0</v>
      </c>
      <c r="Y113" s="154" t="n">
        <f aca="false">SUM(Y111:Y112)</f>
        <v>0</v>
      </c>
      <c r="AA113" s="154" t="n">
        <f aca="false">SUM(AA111:AA112)</f>
        <v>0</v>
      </c>
      <c r="AC113" s="154" t="n">
        <f aca="false">SUM(AC111:AC112)</f>
        <v>0</v>
      </c>
      <c r="AE113" s="154" t="n">
        <f aca="false">SUM(AE111:AE112)</f>
        <v>0</v>
      </c>
      <c r="AF113" s="129"/>
      <c r="AG113" s="154" t="n">
        <f aca="false">SUM(AG111:AG112)</f>
        <v>0</v>
      </c>
      <c r="AH113" s="129"/>
      <c r="AI113" s="154" t="n">
        <f aca="false">SUM(AI111:AI112)</f>
        <v>0</v>
      </c>
      <c r="AJ113" s="129"/>
      <c r="AK113" s="154" t="n">
        <f aca="false">SUM(AK111:AK112)</f>
        <v>0</v>
      </c>
      <c r="AL113" s="154"/>
      <c r="AM113" s="154" t="n">
        <f aca="false">SUM(AM111:AM112)</f>
        <v>0</v>
      </c>
      <c r="AN113" s="129"/>
      <c r="AO113" s="154" t="n">
        <f aca="false">SUM(AO111:AO112)</f>
        <v>0</v>
      </c>
      <c r="AP113" s="129"/>
      <c r="AQ113" s="154" t="n">
        <f aca="false">SUM(AQ111:AQ112)</f>
        <v>0</v>
      </c>
      <c r="AS113" s="155" t="n">
        <f aca="false">SUM(AS111:AS112)</f>
        <v>0</v>
      </c>
      <c r="AU113" s="154" t="n">
        <f aca="false">SUM(AU111:AU112)</f>
        <v>283000</v>
      </c>
      <c r="AW113" s="155" t="n">
        <f aca="false">SUM(AW111:AW112)</f>
        <v>283000</v>
      </c>
      <c r="AY113" s="155" t="n">
        <f aca="false">+AW113+AS113</f>
        <v>283000</v>
      </c>
      <c r="BA113" s="155" t="n">
        <f aca="false">O113-AS113-AW113</f>
        <v>-283000</v>
      </c>
      <c r="BC113" s="174"/>
    </row>
    <row r="114" customFormat="false" ht="12.75" hidden="false" customHeight="false" outlineLevel="0" collapsed="false">
      <c r="A114" s="227"/>
      <c r="B114" s="132"/>
      <c r="C114" s="218"/>
      <c r="E114" s="94"/>
      <c r="G114" s="229"/>
      <c r="U114" s="96"/>
      <c r="BA114" s="136"/>
      <c r="BC114" s="174"/>
    </row>
    <row r="115" customFormat="false" ht="12.75" hidden="false" customHeight="false" outlineLevel="0" collapsed="false">
      <c r="A115" s="152" t="s">
        <v>266</v>
      </c>
      <c r="C115" s="218" t="s">
        <v>207</v>
      </c>
      <c r="E115" s="94" t="s">
        <v>173</v>
      </c>
      <c r="G115" s="94" t="s">
        <v>385</v>
      </c>
      <c r="I115" s="94" t="s">
        <v>174</v>
      </c>
      <c r="K115" s="163" t="n">
        <v>0</v>
      </c>
      <c r="M115" s="163"/>
      <c r="O115" s="163" t="n">
        <f aca="false">SUM(K115:N115)</f>
        <v>0</v>
      </c>
      <c r="Q115" s="129" t="n">
        <v>0</v>
      </c>
      <c r="S115" s="129" t="n">
        <v>0</v>
      </c>
      <c r="U115" s="96"/>
      <c r="AW115" s="95" t="n">
        <f aca="false">IF(+O115-AS115+AU115&gt;0,O115-AS115+AU115,0)</f>
        <v>0</v>
      </c>
      <c r="AY115" s="95" t="n">
        <f aca="false">+AW115+AS115</f>
        <v>0</v>
      </c>
      <c r="BA115" s="136" t="n">
        <f aca="false">O115-AS115-AW115</f>
        <v>0</v>
      </c>
      <c r="BC115" s="174"/>
    </row>
    <row r="116" customFormat="false" ht="12.75" hidden="false" customHeight="false" outlineLevel="0" collapsed="false">
      <c r="A116" s="225"/>
      <c r="B116" s="132"/>
      <c r="C116" s="218"/>
      <c r="E116" s="94"/>
      <c r="K116" s="24"/>
      <c r="M116" s="24"/>
      <c r="O116" s="24"/>
      <c r="Q116" s="129"/>
      <c r="S116" s="129"/>
      <c r="U116" s="96"/>
      <c r="BA116" s="136"/>
    </row>
    <row r="117" customFormat="false" ht="12.75" hidden="false" customHeight="false" outlineLevel="0" collapsed="false">
      <c r="A117" s="227" t="s">
        <v>264</v>
      </c>
      <c r="B117" s="132"/>
      <c r="C117" s="218"/>
      <c r="E117" s="94"/>
      <c r="K117" s="24" t="n">
        <f aca="false">K115+K113+K108+K106+K98+K70</f>
        <v>24414158</v>
      </c>
      <c r="M117" s="24" t="n">
        <f aca="false">M115+M113+M108+M106+M98+M70</f>
        <v>909703</v>
      </c>
      <c r="O117" s="24" t="n">
        <f aca="false">O115+O113+O108+O106+O98+O70</f>
        <v>25323861</v>
      </c>
      <c r="Q117" s="129" t="n">
        <f aca="false">Q115+Q113+Q108+Q106+Q98+Q70</f>
        <v>39128</v>
      </c>
      <c r="S117" s="129" t="n">
        <f aca="false">S115+S113+S108+S106+S98+S70</f>
        <v>127943.35</v>
      </c>
      <c r="U117" s="129" t="n">
        <f aca="false">U115+U113+U108+U106+U98+U70</f>
        <v>899776.32</v>
      </c>
      <c r="W117" s="129" t="n">
        <f aca="false">W115+W113+W108+W106+W98+W70</f>
        <v>810086.3</v>
      </c>
      <c r="Y117" s="129" t="n">
        <f aca="false">Y115+Y113+Y108+Y106+Y98+Y70</f>
        <v>1831142.77</v>
      </c>
      <c r="AA117" s="129" t="n">
        <f aca="false">AA115+AA113+AA108+AA106+AA98+AA70</f>
        <v>0</v>
      </c>
      <c r="AC117" s="129" t="n">
        <f aca="false">AC115+AC113+AC108+AC106+AC98+AC70</f>
        <v>3372514</v>
      </c>
      <c r="AE117" s="129" t="n">
        <f aca="false">AE115+AE113+AE108+AE106+AE98+AE70</f>
        <v>2932107</v>
      </c>
      <c r="AF117" s="129"/>
      <c r="AG117" s="129" t="n">
        <f aca="false">AG115+AG113+AG108+AG106+AG98+AG70</f>
        <v>9360536</v>
      </c>
      <c r="AH117" s="129"/>
      <c r="AI117" s="129" t="n">
        <f aca="false">AI115+AI113+AI108+AI106+AI98+AI70</f>
        <v>4662889</v>
      </c>
      <c r="AJ117" s="129"/>
      <c r="AK117" s="129" t="n">
        <f aca="false">AK115+AK113+AK108+AK106+AK98+AK70</f>
        <v>2317011.7</v>
      </c>
      <c r="AL117" s="129"/>
      <c r="AM117" s="129" t="n">
        <f aca="false">AM115+AM113+AM108+AM106+AM98+AM70</f>
        <v>1167995.48</v>
      </c>
      <c r="AN117" s="129"/>
      <c r="AO117" s="129" t="n">
        <f aca="false">AO115+AO113+AO108+AO106+AO98+AO70</f>
        <v>960719</v>
      </c>
      <c r="AP117" s="129"/>
      <c r="AQ117" s="129" t="n">
        <f aca="false">AQ115+AQ113+AQ108+AQ106+AQ98+AQ70</f>
        <v>0</v>
      </c>
      <c r="AS117" s="24" t="n">
        <f aca="false">AS115+AS113+AS108+AS106+AS98+AS70</f>
        <v>28481848.92</v>
      </c>
      <c r="AU117" s="129" t="n">
        <f aca="false">AU115+AU113+AU108+AU106+AU98+AU70</f>
        <v>2644569</v>
      </c>
      <c r="AW117" s="24" t="n">
        <f aca="false">AW115+AW113+AW108+AW106+AW98+AW70</f>
        <v>829651.23</v>
      </c>
      <c r="AY117" s="24" t="n">
        <f aca="false">+AW117+AS117</f>
        <v>29311500.15</v>
      </c>
      <c r="BA117" s="24" t="n">
        <f aca="false">O117-AS117-AW117</f>
        <v>-3987639.15</v>
      </c>
    </row>
    <row r="118" customFormat="false" ht="12.75" hidden="false" customHeight="false" outlineLevel="0" collapsed="false">
      <c r="A118" s="224"/>
      <c r="B118" s="226"/>
      <c r="C118" s="218"/>
      <c r="E118" s="94"/>
      <c r="K118" s="24"/>
      <c r="M118" s="24"/>
      <c r="O118" s="24"/>
      <c r="Q118" s="129"/>
      <c r="S118" s="129"/>
      <c r="U118" s="96"/>
      <c r="BA118" s="136"/>
    </row>
    <row r="119" customFormat="false" ht="12.75" hidden="false" customHeight="false" outlineLevel="0" collapsed="false">
      <c r="A119" s="231"/>
      <c r="B119" s="165" t="s">
        <v>265</v>
      </c>
      <c r="C119" s="232"/>
      <c r="D119" s="171"/>
      <c r="E119" s="233"/>
      <c r="F119" s="171"/>
      <c r="G119" s="233"/>
      <c r="H119" s="171"/>
      <c r="I119" s="233"/>
      <c r="J119" s="171"/>
      <c r="K119" s="168" t="n">
        <f aca="false">K117+K44+K36</f>
        <v>134716363</v>
      </c>
      <c r="L119" s="171"/>
      <c r="M119" s="168" t="n">
        <f aca="false">M117+M44+M36</f>
        <v>726528</v>
      </c>
      <c r="N119" s="171"/>
      <c r="O119" s="168" t="n">
        <f aca="false">O117+O44+O36</f>
        <v>135442891</v>
      </c>
      <c r="P119" s="171"/>
      <c r="Q119" s="169" t="n">
        <f aca="false">Q117+Q44+Q36</f>
        <v>39314465.48</v>
      </c>
      <c r="R119" s="234"/>
      <c r="S119" s="169" t="n">
        <f aca="false">S117+S44+S36</f>
        <v>361737.4</v>
      </c>
      <c r="T119" s="234"/>
      <c r="U119" s="169" t="n">
        <f aca="false">U117+U44+U36</f>
        <v>11766303.94</v>
      </c>
      <c r="V119" s="235"/>
      <c r="W119" s="169" t="n">
        <f aca="false">W117+W44+W36</f>
        <v>7669305.92</v>
      </c>
      <c r="X119" s="235"/>
      <c r="Y119" s="169" t="n">
        <f aca="false">Y117+Y44+Y36</f>
        <v>14772856.29</v>
      </c>
      <c r="Z119" s="235"/>
      <c r="AA119" s="169" t="n">
        <f aca="false">AA117+AA44+AA36</f>
        <v>14318260.06</v>
      </c>
      <c r="AB119" s="171"/>
      <c r="AC119" s="169" t="n">
        <f aca="false">AC117+AC44+AC36</f>
        <v>19407680.9</v>
      </c>
      <c r="AD119" s="171"/>
      <c r="AE119" s="169" t="n">
        <f aca="false">AE117+AE44+AE36</f>
        <v>3694592.53</v>
      </c>
      <c r="AF119" s="169"/>
      <c r="AG119" s="169" t="n">
        <f aca="false">AG117+AG44+AG36</f>
        <v>9504401.03</v>
      </c>
      <c r="AH119" s="169"/>
      <c r="AI119" s="169" t="n">
        <f aca="false">AI117+AI44+AI36</f>
        <v>7984512.71</v>
      </c>
      <c r="AJ119" s="169"/>
      <c r="AK119" s="169" t="n">
        <f aca="false">AK117+AK44+AK36</f>
        <v>3417967.64</v>
      </c>
      <c r="AL119" s="169"/>
      <c r="AM119" s="169" t="n">
        <f aca="false">AM117+AM44+AM36</f>
        <v>1195414.56</v>
      </c>
      <c r="AN119" s="169"/>
      <c r="AO119" s="169" t="n">
        <f aca="false">AO117+AO44+AO36</f>
        <v>5824399.35</v>
      </c>
      <c r="AP119" s="169"/>
      <c r="AQ119" s="169" t="n">
        <f aca="false">AQ117+AQ44+AQ36</f>
        <v>1424.38</v>
      </c>
      <c r="AR119" s="171"/>
      <c r="AS119" s="168" t="n">
        <f aca="false">AS117+AS44+AS36</f>
        <v>139233322.19</v>
      </c>
      <c r="AT119" s="171"/>
      <c r="AU119" s="169" t="n">
        <f aca="false">AU117+AU44+AU36</f>
        <v>4341623</v>
      </c>
      <c r="AV119" s="171"/>
      <c r="AW119" s="168" t="n">
        <f aca="false">AW117+AW44</f>
        <v>839780.69</v>
      </c>
      <c r="AX119" s="171"/>
      <c r="AY119" s="168" t="n">
        <f aca="false">+AW119+AS119</f>
        <v>140073102.88</v>
      </c>
      <c r="AZ119" s="171"/>
      <c r="BA119" s="168" t="n">
        <f aca="false">O119-AS119-AW119</f>
        <v>-4630211.88</v>
      </c>
      <c r="BB119" s="171"/>
      <c r="BD119" s="174"/>
      <c r="BE119" s="174"/>
      <c r="BF119" s="174"/>
      <c r="BG119" s="174"/>
      <c r="BH119" s="174"/>
      <c r="BI119" s="174"/>
      <c r="BJ119" s="174"/>
      <c r="BK119" s="174"/>
      <c r="BL119" s="174"/>
      <c r="BM119" s="174"/>
      <c r="BN119" s="174"/>
      <c r="BO119" s="174"/>
      <c r="BP119" s="174"/>
      <c r="BQ119" s="174"/>
      <c r="BR119" s="174"/>
      <c r="BS119" s="174"/>
      <c r="BT119" s="174"/>
      <c r="BU119" s="174"/>
      <c r="BV119" s="174"/>
      <c r="BW119" s="174"/>
      <c r="BX119" s="174"/>
      <c r="BY119" s="174"/>
      <c r="BZ119" s="174"/>
      <c r="CA119" s="174"/>
      <c r="CB119" s="174"/>
      <c r="CC119" s="174"/>
      <c r="CD119" s="174"/>
      <c r="CE119" s="174"/>
      <c r="CF119" s="174"/>
      <c r="CG119" s="174"/>
      <c r="CH119" s="174"/>
      <c r="CI119" s="174"/>
      <c r="CJ119" s="174"/>
      <c r="CK119" s="174"/>
      <c r="CL119" s="174"/>
      <c r="CM119" s="174"/>
      <c r="CN119" s="174"/>
      <c r="CO119" s="174"/>
      <c r="CP119" s="174"/>
      <c r="CQ119" s="174"/>
      <c r="CR119" s="174"/>
      <c r="CS119" s="174"/>
      <c r="CT119" s="174"/>
      <c r="CU119" s="174"/>
      <c r="CV119" s="174"/>
      <c r="CW119" s="174"/>
      <c r="CX119" s="174"/>
      <c r="CY119" s="174"/>
      <c r="CZ119" s="174"/>
      <c r="DA119" s="174"/>
      <c r="DB119" s="174"/>
      <c r="DC119" s="174"/>
      <c r="DD119" s="174"/>
      <c r="DE119" s="174"/>
      <c r="DF119" s="174"/>
      <c r="DG119" s="174"/>
      <c r="DH119" s="174"/>
      <c r="DI119" s="174"/>
      <c r="DJ119" s="174"/>
      <c r="DK119" s="174"/>
      <c r="DL119" s="174"/>
      <c r="DM119" s="174"/>
      <c r="DN119" s="174"/>
      <c r="DO119" s="174"/>
      <c r="DP119" s="174"/>
      <c r="DQ119" s="174"/>
      <c r="DR119" s="174"/>
      <c r="DS119" s="174"/>
      <c r="DT119" s="174"/>
      <c r="DU119" s="174"/>
      <c r="DV119" s="174"/>
      <c r="DW119" s="174"/>
      <c r="DX119" s="174"/>
      <c r="DY119" s="174"/>
      <c r="DZ119" s="174"/>
      <c r="EA119" s="174"/>
      <c r="EB119" s="174"/>
      <c r="EC119" s="174"/>
      <c r="ED119" s="174"/>
      <c r="EE119" s="174"/>
      <c r="EF119" s="174"/>
      <c r="EG119" s="174"/>
      <c r="EH119" s="174"/>
      <c r="EI119" s="174"/>
      <c r="EJ119" s="174"/>
      <c r="EK119" s="174"/>
      <c r="EL119" s="174"/>
      <c r="EM119" s="174"/>
      <c r="EN119" s="174"/>
      <c r="EO119" s="174"/>
      <c r="EP119" s="174"/>
      <c r="EQ119" s="174"/>
      <c r="ER119" s="174"/>
      <c r="ES119" s="174"/>
      <c r="ET119" s="174"/>
      <c r="EU119" s="174"/>
      <c r="EV119" s="174"/>
      <c r="EW119" s="174"/>
      <c r="EX119" s="174"/>
      <c r="EY119" s="174"/>
      <c r="EZ119" s="174"/>
      <c r="FA119" s="174"/>
      <c r="FB119" s="174"/>
      <c r="FC119" s="174"/>
      <c r="FD119" s="174"/>
      <c r="FE119" s="174"/>
      <c r="FF119" s="174"/>
      <c r="FG119" s="174"/>
      <c r="FH119" s="174"/>
      <c r="FI119" s="174"/>
      <c r="FJ119" s="174"/>
      <c r="FK119" s="174"/>
      <c r="FL119" s="174"/>
      <c r="FM119" s="174"/>
      <c r="FN119" s="174"/>
      <c r="FO119" s="174"/>
      <c r="FP119" s="174"/>
      <c r="FQ119" s="174"/>
      <c r="FR119" s="174"/>
      <c r="FS119" s="174"/>
      <c r="FT119" s="174"/>
      <c r="FU119" s="174"/>
      <c r="FV119" s="174"/>
      <c r="FW119" s="174"/>
      <c r="FX119" s="174"/>
      <c r="FY119" s="174"/>
      <c r="FZ119" s="174"/>
      <c r="GA119" s="174"/>
      <c r="GB119" s="174"/>
      <c r="GC119" s="174"/>
      <c r="GD119" s="174"/>
      <c r="GE119" s="174"/>
      <c r="GF119" s="174"/>
      <c r="GG119" s="174"/>
      <c r="GH119" s="174"/>
      <c r="GI119" s="174"/>
      <c r="GJ119" s="174"/>
      <c r="GK119" s="174"/>
      <c r="GL119" s="174"/>
      <c r="GM119" s="174"/>
      <c r="GN119" s="174"/>
      <c r="GO119" s="174"/>
      <c r="GP119" s="174"/>
      <c r="GQ119" s="174"/>
      <c r="GR119" s="174"/>
      <c r="GS119" s="174"/>
      <c r="GT119" s="174"/>
      <c r="GU119" s="174"/>
      <c r="GV119" s="174"/>
      <c r="GW119" s="174"/>
      <c r="GX119" s="174"/>
      <c r="GY119" s="174"/>
      <c r="GZ119" s="174"/>
      <c r="HA119" s="174"/>
      <c r="HB119" s="174"/>
      <c r="HC119" s="174"/>
      <c r="HD119" s="174"/>
      <c r="HE119" s="174"/>
      <c r="HF119" s="174"/>
      <c r="HG119" s="174"/>
      <c r="HH119" s="174"/>
      <c r="HI119" s="174"/>
      <c r="HJ119" s="174"/>
      <c r="HK119" s="174"/>
      <c r="HL119" s="174"/>
      <c r="HM119" s="174"/>
      <c r="HN119" s="174"/>
      <c r="HO119" s="174"/>
      <c r="HP119" s="174"/>
      <c r="HQ119" s="174"/>
      <c r="HR119" s="174"/>
      <c r="HS119" s="174"/>
      <c r="HT119" s="174"/>
      <c r="HU119" s="174"/>
      <c r="HV119" s="174"/>
      <c r="HW119" s="174"/>
      <c r="HX119" s="174"/>
      <c r="HY119" s="174"/>
      <c r="HZ119" s="174"/>
      <c r="IA119" s="174"/>
      <c r="IB119" s="174"/>
      <c r="IC119" s="174"/>
      <c r="ID119" s="174"/>
      <c r="IE119" s="174"/>
      <c r="IF119" s="174"/>
      <c r="IG119" s="174"/>
      <c r="IH119" s="174"/>
      <c r="II119" s="174"/>
      <c r="IJ119" s="174"/>
      <c r="IK119" s="174"/>
      <c r="IL119" s="174"/>
      <c r="IM119" s="174"/>
      <c r="IN119" s="174"/>
      <c r="IO119" s="174"/>
      <c r="IP119" s="174"/>
      <c r="IQ119" s="174"/>
      <c r="IR119" s="174"/>
      <c r="IS119" s="174"/>
      <c r="IT119" s="174"/>
      <c r="IU119" s="174"/>
      <c r="IV119" s="174"/>
      <c r="IW119" s="174"/>
    </row>
    <row r="120" customFormat="false" ht="12.75" hidden="false" customHeight="false" outlineLevel="0" collapsed="false">
      <c r="A120" s="225"/>
      <c r="B120" s="132"/>
      <c r="C120" s="218"/>
      <c r="E120" s="94"/>
      <c r="U120" s="96"/>
    </row>
    <row r="121" customFormat="false" ht="12.75" hidden="false" customHeight="false" outlineLevel="0" collapsed="false">
      <c r="A121" s="152" t="s">
        <v>397</v>
      </c>
      <c r="B121" s="132"/>
      <c r="C121" s="214" t="s">
        <v>267</v>
      </c>
      <c r="E121" s="229" t="s">
        <v>398</v>
      </c>
      <c r="G121" s="94" t="s">
        <v>269</v>
      </c>
      <c r="K121" s="24" t="n">
        <v>600000</v>
      </c>
      <c r="M121" s="24" t="n">
        <v>59539</v>
      </c>
      <c r="O121" s="24" t="n">
        <f aca="false">SUM(K121:N121)</f>
        <v>659539</v>
      </c>
      <c r="U121" s="96"/>
      <c r="AA121" s="96" t="n">
        <v>72162</v>
      </c>
      <c r="AC121" s="96" t="n">
        <v>162075</v>
      </c>
      <c r="AE121" s="236" t="n">
        <v>232976.55</v>
      </c>
      <c r="AF121" s="236"/>
      <c r="AG121" s="236" t="n">
        <v>64037.38</v>
      </c>
      <c r="AH121" s="236"/>
      <c r="AI121" s="236" t="n">
        <v>17167.9</v>
      </c>
      <c r="AJ121" s="236"/>
      <c r="AK121" s="236" t="n">
        <v>19695.76</v>
      </c>
      <c r="AL121" s="236"/>
      <c r="AM121" s="236" t="n">
        <v>463.85</v>
      </c>
      <c r="AN121" s="236"/>
      <c r="AO121" s="236" t="n">
        <v>0</v>
      </c>
      <c r="AP121" s="236"/>
      <c r="AQ121" s="236" t="n">
        <v>0</v>
      </c>
      <c r="AS121" s="95" t="n">
        <f aca="false">SUM(P121:AR121)</f>
        <v>568578.44</v>
      </c>
      <c r="AU121" s="96" t="n">
        <f aca="false">706219-659539+83333.33-218863-1-2110</f>
        <v>-90960.67</v>
      </c>
      <c r="AW121" s="95" t="n">
        <f aca="false">IF(+O121-AS121+AU121&gt;0,O121-AS121+AU121,0)</f>
        <v>0</v>
      </c>
      <c r="AY121" s="95" t="n">
        <f aca="false">+AW121+AS121</f>
        <v>568578.44</v>
      </c>
      <c r="BA121" s="136" t="n">
        <f aca="false">O121-AS121-AW121</f>
        <v>90960.5600000001</v>
      </c>
      <c r="BC121" s="174"/>
    </row>
    <row r="122" customFormat="false" ht="12.75" hidden="false" customHeight="false" outlineLevel="0" collapsed="false">
      <c r="A122" s="152"/>
      <c r="B122" s="127" t="s">
        <v>399</v>
      </c>
      <c r="C122" s="214"/>
      <c r="E122" s="229" t="s">
        <v>398</v>
      </c>
      <c r="G122" s="94" t="s">
        <v>269</v>
      </c>
      <c r="K122" s="24" t="n">
        <v>25000</v>
      </c>
      <c r="M122" s="24"/>
      <c r="O122" s="24" t="n">
        <f aca="false">SUM(K122:N122)</f>
        <v>25000</v>
      </c>
      <c r="Q122" s="96" t="n">
        <v>6111</v>
      </c>
      <c r="U122" s="96"/>
      <c r="AS122" s="95" t="n">
        <f aca="false">SUM(P122:AR122)</f>
        <v>6111</v>
      </c>
      <c r="AU122" s="96" t="n">
        <f aca="false">-25000-6111</f>
        <v>-31111</v>
      </c>
      <c r="AW122" s="95" t="n">
        <f aca="false">IF(+O122-AS122+AU122&gt;0,O122-AS122+AU122,0)-6110</f>
        <v>-6110</v>
      </c>
      <c r="AY122" s="95" t="n">
        <f aca="false">+AW122+AS122</f>
        <v>1</v>
      </c>
      <c r="BA122" s="136" t="n">
        <f aca="false">O122-AS122-AW122</f>
        <v>24999</v>
      </c>
    </row>
    <row r="123" customFormat="false" ht="12.75" hidden="false" customHeight="false" outlineLevel="0" collapsed="false">
      <c r="A123" s="152"/>
      <c r="B123" s="127"/>
      <c r="C123" s="214"/>
      <c r="E123" s="229"/>
      <c r="K123" s="155" t="n">
        <f aca="false">SUM(K121:K122)</f>
        <v>625000</v>
      </c>
      <c r="M123" s="155" t="n">
        <f aca="false">SUM(M121:M122)</f>
        <v>59539</v>
      </c>
      <c r="O123" s="155" t="n">
        <f aca="false">SUM(O121:O122)</f>
        <v>684539</v>
      </c>
      <c r="Q123" s="155" t="n">
        <f aca="false">SUM(Q121:Q122)</f>
        <v>6111</v>
      </c>
      <c r="S123" s="155" t="n">
        <f aca="false">SUM(S121:S122)</f>
        <v>0</v>
      </c>
      <c r="U123" s="155" t="n">
        <f aca="false">SUM(U121:U122)</f>
        <v>0</v>
      </c>
      <c r="W123" s="155" t="n">
        <f aca="false">SUM(W121:W122)</f>
        <v>0</v>
      </c>
      <c r="Y123" s="155" t="n">
        <f aca="false">SUM(Y121:Y122)</f>
        <v>0</v>
      </c>
      <c r="AA123" s="155" t="n">
        <f aca="false">SUM(AA121:AA122)</f>
        <v>72162</v>
      </c>
      <c r="AC123" s="155" t="n">
        <f aca="false">SUM(AC121:AC122)</f>
        <v>162075</v>
      </c>
      <c r="AE123" s="155" t="n">
        <f aca="false">SUM(AE121:AE122)</f>
        <v>232976.55</v>
      </c>
      <c r="AF123" s="24"/>
      <c r="AG123" s="155" t="n">
        <f aca="false">SUM(AG121:AG122)</f>
        <v>64037.38</v>
      </c>
      <c r="AH123" s="24"/>
      <c r="AI123" s="155" t="n">
        <f aca="false">SUM(AI121:AI122)</f>
        <v>17167.9</v>
      </c>
      <c r="AJ123" s="24"/>
      <c r="AK123" s="155" t="n">
        <f aca="false">SUM(AK121:AK122)</f>
        <v>19695.76</v>
      </c>
      <c r="AL123" s="155"/>
      <c r="AM123" s="155" t="n">
        <f aca="false">SUM(AM121:AM122)</f>
        <v>463.85</v>
      </c>
      <c r="AN123" s="24"/>
      <c r="AO123" s="155" t="n">
        <f aca="false">SUM(AO121:AO122)</f>
        <v>0</v>
      </c>
      <c r="AP123" s="24"/>
      <c r="AQ123" s="155" t="n">
        <f aca="false">SUM(AQ121:AQ122)</f>
        <v>0</v>
      </c>
      <c r="AS123" s="155" t="n">
        <f aca="false">SUM(AS121:AS122)</f>
        <v>574689.44</v>
      </c>
      <c r="AU123" s="155" t="n">
        <f aca="false">SUM(AU121:AU122)</f>
        <v>-122071.67</v>
      </c>
      <c r="AW123" s="155" t="n">
        <f aca="false">SUM(AW121:AW122)</f>
        <v>-6110</v>
      </c>
      <c r="AY123" s="155" t="n">
        <f aca="false">SUM(AY121:AY122)</f>
        <v>568579.44</v>
      </c>
      <c r="BA123" s="155" t="n">
        <f aca="false">O123-AS123-AW123</f>
        <v>115959.56</v>
      </c>
    </row>
    <row r="124" customFormat="false" ht="12.75" hidden="false" customHeight="false" outlineLevel="0" collapsed="false">
      <c r="A124" s="225"/>
      <c r="B124" s="132"/>
      <c r="C124" s="218"/>
      <c r="E124" s="94"/>
      <c r="U124" s="96"/>
      <c r="AS124" s="95"/>
      <c r="AW124" s="95"/>
      <c r="AY124" s="95"/>
    </row>
    <row r="125" customFormat="false" ht="12.75" hidden="false" customHeight="false" outlineLevel="0" collapsed="false">
      <c r="A125" s="152" t="s">
        <v>271</v>
      </c>
      <c r="B125" s="132"/>
      <c r="C125" s="218" t="s">
        <v>147</v>
      </c>
      <c r="E125" s="94" t="s">
        <v>400</v>
      </c>
      <c r="G125" s="94" t="s">
        <v>273</v>
      </c>
      <c r="K125" s="237" t="n">
        <v>2000000</v>
      </c>
      <c r="M125" s="24" t="n">
        <v>-1212200</v>
      </c>
      <c r="O125" s="237" t="n">
        <f aca="false">SUM(K125:N125)</f>
        <v>787800</v>
      </c>
      <c r="U125" s="96"/>
      <c r="AI125" s="96" t="n">
        <f aca="false">95634.82+7768.5+2603.1+1702.9+753.48+548.8+404.8+71.5+47.3+28.33+37139.95+10764</f>
        <v>157467.48</v>
      </c>
      <c r="AJ125" s="96"/>
      <c r="AK125" s="96" t="n">
        <v>525705.88</v>
      </c>
      <c r="AL125" s="96"/>
      <c r="AM125" s="96" t="n">
        <v>11613.5</v>
      </c>
      <c r="AN125" s="96"/>
      <c r="AO125" s="96" t="n">
        <v>1988</v>
      </c>
      <c r="AP125" s="96"/>
      <c r="AQ125" s="96" t="n">
        <v>0</v>
      </c>
      <c r="AS125" s="95" t="n">
        <f aca="false">SUM(P125:AR125)</f>
        <v>696774.86</v>
      </c>
      <c r="AW125" s="95" t="n">
        <f aca="false">IF(+O125-AS125+AU125&gt;0,O125-AS125+AU125,0)</f>
        <v>91025.14</v>
      </c>
      <c r="AY125" s="24" t="n">
        <f aca="false">+AW125+AS125</f>
        <v>787800</v>
      </c>
      <c r="BA125" s="136" t="n">
        <f aca="false">O125-AS125-AW125</f>
        <v>0</v>
      </c>
    </row>
    <row r="126" customFormat="false" ht="12.75" hidden="false" customHeight="false" outlineLevel="0" collapsed="false">
      <c r="A126" s="225"/>
      <c r="B126" s="132"/>
      <c r="C126" s="218"/>
      <c r="E126" s="94"/>
      <c r="U126" s="96"/>
    </row>
    <row r="127" customFormat="false" ht="12.75" hidden="false" customHeight="false" outlineLevel="0" collapsed="false">
      <c r="A127" s="152" t="s">
        <v>274</v>
      </c>
      <c r="B127" s="219"/>
      <c r="C127" s="218" t="s">
        <v>147</v>
      </c>
      <c r="E127" s="94" t="s">
        <v>275</v>
      </c>
      <c r="G127" s="94" t="s">
        <v>401</v>
      </c>
      <c r="I127" s="90"/>
      <c r="K127" s="24" t="n">
        <f aca="false">531298</f>
        <v>531298</v>
      </c>
      <c r="M127" s="24"/>
      <c r="O127" s="24" t="n">
        <f aca="false">SUM(K127:N127)</f>
        <v>531298</v>
      </c>
      <c r="Q127" s="129" t="n">
        <f aca="false">525298+6012</f>
        <v>531310</v>
      </c>
      <c r="S127" s="129"/>
      <c r="U127" s="96"/>
      <c r="AC127" s="96" t="n">
        <v>3333.33</v>
      </c>
      <c r="AS127" s="95" t="n">
        <f aca="false">SUM(P127:AR127)</f>
        <v>534643.33</v>
      </c>
      <c r="AW127" s="95" t="n">
        <f aca="false">IF(+O127-AS127+AU127&gt;0,O127-AS127+AU127,0)</f>
        <v>0</v>
      </c>
      <c r="AY127" s="95" t="n">
        <f aca="false">+AW127+AS127</f>
        <v>534643.33</v>
      </c>
      <c r="BA127" s="136" t="n">
        <f aca="false">O127-AS127-AW127</f>
        <v>-3345.32999999996</v>
      </c>
    </row>
    <row r="128" customFormat="false" ht="12.75" hidden="false" customHeight="false" outlineLevel="0" collapsed="false">
      <c r="A128" s="175"/>
      <c r="B128" s="238" t="s">
        <v>402</v>
      </c>
      <c r="C128" s="239"/>
      <c r="D128" s="240"/>
      <c r="E128" s="241"/>
      <c r="F128" s="240"/>
      <c r="H128" s="240"/>
      <c r="I128" s="241"/>
      <c r="J128" s="240"/>
      <c r="K128" s="162" t="n">
        <v>5000</v>
      </c>
      <c r="L128" s="240"/>
      <c r="M128" s="162"/>
      <c r="N128" s="240"/>
      <c r="O128" s="162" t="n">
        <f aca="false">SUM(K128:N128)</f>
        <v>5000</v>
      </c>
      <c r="P128" s="240"/>
      <c r="Q128" s="129"/>
      <c r="S128" s="129"/>
      <c r="U128" s="96"/>
      <c r="AB128" s="240"/>
      <c r="AD128" s="240"/>
      <c r="AR128" s="240"/>
      <c r="AS128" s="95" t="n">
        <f aca="false">SUM(P128:AR128)</f>
        <v>0</v>
      </c>
      <c r="AT128" s="240"/>
      <c r="AU128" s="96" t="n">
        <v>-5000</v>
      </c>
      <c r="AV128" s="240"/>
      <c r="AW128" s="95" t="n">
        <f aca="false">IF(+O128-AS128+AU128&gt;0,O128-AS128+AU128,0)</f>
        <v>0</v>
      </c>
      <c r="AX128" s="240"/>
      <c r="AY128" s="95" t="n">
        <f aca="false">+AW128+AS128</f>
        <v>0</v>
      </c>
      <c r="AZ128" s="240"/>
      <c r="BA128" s="136" t="n">
        <f aca="false">O128-AS128-AW128</f>
        <v>5000</v>
      </c>
      <c r="BB128" s="240"/>
      <c r="BD128" s="240"/>
      <c r="BE128" s="240"/>
      <c r="BF128" s="240"/>
      <c r="BG128" s="240"/>
      <c r="BH128" s="240"/>
      <c r="BI128" s="240"/>
      <c r="BJ128" s="240"/>
      <c r="BK128" s="240"/>
      <c r="BL128" s="240"/>
      <c r="BM128" s="240"/>
      <c r="BN128" s="240"/>
      <c r="BO128" s="240"/>
      <c r="BP128" s="240"/>
      <c r="BQ128" s="240"/>
      <c r="BR128" s="240"/>
      <c r="BS128" s="240"/>
      <c r="BT128" s="240"/>
      <c r="BU128" s="240"/>
      <c r="BV128" s="240"/>
      <c r="BW128" s="240"/>
      <c r="BX128" s="240"/>
      <c r="BY128" s="240"/>
      <c r="BZ128" s="240"/>
      <c r="CA128" s="240"/>
      <c r="CB128" s="240"/>
      <c r="CC128" s="240"/>
      <c r="CD128" s="240"/>
      <c r="CE128" s="240"/>
      <c r="CF128" s="240"/>
      <c r="CG128" s="240"/>
      <c r="CH128" s="240"/>
      <c r="CI128" s="240"/>
      <c r="CJ128" s="240"/>
      <c r="CK128" s="240"/>
      <c r="CL128" s="240"/>
      <c r="CM128" s="240"/>
      <c r="CN128" s="240"/>
      <c r="CO128" s="240"/>
      <c r="CP128" s="240"/>
      <c r="CQ128" s="240"/>
      <c r="CR128" s="240"/>
      <c r="CS128" s="240"/>
      <c r="CT128" s="240"/>
      <c r="CU128" s="240"/>
      <c r="CV128" s="240"/>
      <c r="CW128" s="240"/>
      <c r="CX128" s="240"/>
      <c r="CY128" s="240"/>
      <c r="CZ128" s="240"/>
      <c r="DA128" s="240"/>
      <c r="DB128" s="240"/>
      <c r="DC128" s="240"/>
      <c r="DD128" s="240"/>
      <c r="DE128" s="240"/>
      <c r="DF128" s="240"/>
      <c r="DG128" s="240"/>
      <c r="DH128" s="240"/>
      <c r="DI128" s="240"/>
      <c r="DJ128" s="240"/>
      <c r="DK128" s="240"/>
      <c r="DL128" s="240"/>
      <c r="DM128" s="240"/>
      <c r="DN128" s="240"/>
      <c r="DO128" s="240"/>
      <c r="DP128" s="240"/>
      <c r="DQ128" s="240"/>
      <c r="DR128" s="240"/>
      <c r="DS128" s="240"/>
      <c r="DT128" s="240"/>
      <c r="DU128" s="240"/>
      <c r="DV128" s="240"/>
      <c r="DW128" s="240"/>
      <c r="DX128" s="240"/>
      <c r="DY128" s="240"/>
      <c r="DZ128" s="240"/>
      <c r="EA128" s="240"/>
      <c r="EB128" s="240"/>
      <c r="EC128" s="240"/>
      <c r="ED128" s="240"/>
      <c r="EE128" s="240"/>
      <c r="EF128" s="240"/>
      <c r="EG128" s="240"/>
      <c r="EH128" s="240"/>
      <c r="EI128" s="240"/>
      <c r="EJ128" s="240"/>
      <c r="EK128" s="240"/>
      <c r="EL128" s="240"/>
      <c r="EM128" s="240"/>
      <c r="EN128" s="240"/>
      <c r="EO128" s="240"/>
      <c r="EP128" s="240"/>
      <c r="EQ128" s="240"/>
      <c r="ER128" s="240"/>
      <c r="ES128" s="240"/>
      <c r="ET128" s="240"/>
      <c r="EU128" s="240"/>
      <c r="EV128" s="240"/>
      <c r="EW128" s="240"/>
      <c r="EX128" s="240"/>
      <c r="EY128" s="240"/>
      <c r="EZ128" s="240"/>
      <c r="FA128" s="240"/>
      <c r="FB128" s="240"/>
      <c r="FC128" s="240"/>
      <c r="FD128" s="240"/>
      <c r="FE128" s="240"/>
      <c r="FF128" s="240"/>
      <c r="FG128" s="240"/>
      <c r="FH128" s="240"/>
      <c r="FI128" s="240"/>
      <c r="FJ128" s="240"/>
      <c r="FK128" s="240"/>
      <c r="FL128" s="240"/>
      <c r="FM128" s="240"/>
      <c r="FN128" s="240"/>
      <c r="FO128" s="240"/>
      <c r="FP128" s="240"/>
      <c r="FQ128" s="240"/>
      <c r="FR128" s="240"/>
      <c r="FS128" s="240"/>
      <c r="FT128" s="240"/>
      <c r="FU128" s="240"/>
      <c r="FV128" s="240"/>
      <c r="FW128" s="240"/>
      <c r="FX128" s="240"/>
      <c r="FY128" s="240"/>
      <c r="FZ128" s="240"/>
      <c r="GA128" s="240"/>
      <c r="GB128" s="240"/>
      <c r="GC128" s="240"/>
      <c r="GD128" s="240"/>
      <c r="GE128" s="240"/>
      <c r="GF128" s="240"/>
      <c r="GG128" s="240"/>
      <c r="GH128" s="240"/>
      <c r="GI128" s="240"/>
      <c r="GJ128" s="240"/>
      <c r="GK128" s="240"/>
      <c r="GL128" s="240"/>
      <c r="GM128" s="240"/>
      <c r="GN128" s="240"/>
      <c r="GO128" s="240"/>
      <c r="GP128" s="240"/>
      <c r="GQ128" s="240"/>
      <c r="GR128" s="240"/>
      <c r="GS128" s="240"/>
      <c r="GT128" s="240"/>
      <c r="GU128" s="240"/>
      <c r="GV128" s="240"/>
      <c r="GW128" s="240"/>
      <c r="GX128" s="240"/>
      <c r="GY128" s="240"/>
      <c r="GZ128" s="240"/>
      <c r="HA128" s="240"/>
      <c r="HB128" s="240"/>
      <c r="HC128" s="240"/>
      <c r="HD128" s="240"/>
      <c r="HE128" s="240"/>
      <c r="HF128" s="240"/>
      <c r="HG128" s="240"/>
      <c r="HH128" s="240"/>
      <c r="HI128" s="240"/>
      <c r="HJ128" s="240"/>
      <c r="HK128" s="240"/>
      <c r="HL128" s="240"/>
      <c r="HM128" s="240"/>
      <c r="HN128" s="240"/>
      <c r="HO128" s="240"/>
      <c r="HP128" s="240"/>
      <c r="HQ128" s="240"/>
      <c r="HR128" s="240"/>
      <c r="HS128" s="240"/>
      <c r="HT128" s="240"/>
      <c r="HU128" s="240"/>
      <c r="HV128" s="240"/>
      <c r="HW128" s="240"/>
      <c r="HX128" s="240"/>
      <c r="HY128" s="240"/>
      <c r="HZ128" s="240"/>
      <c r="IA128" s="240"/>
      <c r="IB128" s="240"/>
      <c r="IC128" s="240"/>
      <c r="ID128" s="240"/>
      <c r="IE128" s="240"/>
      <c r="IF128" s="240"/>
      <c r="IG128" s="240"/>
      <c r="IH128" s="240"/>
      <c r="II128" s="240"/>
      <c r="IJ128" s="240"/>
      <c r="IK128" s="240"/>
      <c r="IL128" s="240"/>
      <c r="IM128" s="240"/>
      <c r="IN128" s="240"/>
      <c r="IO128" s="240"/>
      <c r="IP128" s="240"/>
      <c r="IQ128" s="240"/>
      <c r="IR128" s="240"/>
      <c r="IS128" s="240"/>
      <c r="IT128" s="240"/>
      <c r="IU128" s="240"/>
      <c r="IV128" s="240"/>
      <c r="IW128" s="240"/>
    </row>
    <row r="129" customFormat="false" ht="12.75" hidden="false" customHeight="false" outlineLevel="0" collapsed="false">
      <c r="A129" s="175"/>
      <c r="B129" s="238" t="s">
        <v>403</v>
      </c>
      <c r="C129" s="239"/>
      <c r="D129" s="240"/>
      <c r="E129" s="241"/>
      <c r="F129" s="240"/>
      <c r="H129" s="240"/>
      <c r="I129" s="241"/>
      <c r="J129" s="240"/>
      <c r="K129" s="162" t="n">
        <f aca="false">85800-5000</f>
        <v>80800</v>
      </c>
      <c r="L129" s="240"/>
      <c r="M129" s="162"/>
      <c r="N129" s="240"/>
      <c r="O129" s="162" t="n">
        <f aca="false">SUM(K129:N129)</f>
        <v>80800</v>
      </c>
      <c r="P129" s="240"/>
      <c r="Q129" s="129"/>
      <c r="S129" s="129"/>
      <c r="U129" s="96"/>
      <c r="AB129" s="240"/>
      <c r="AD129" s="240"/>
      <c r="AR129" s="240"/>
      <c r="AS129" s="95" t="n">
        <f aca="false">SUM(P129:AR129)</f>
        <v>0</v>
      </c>
      <c r="AT129" s="240"/>
      <c r="AU129" s="96" t="n">
        <v>-80800</v>
      </c>
      <c r="AV129" s="240"/>
      <c r="AW129" s="95" t="n">
        <f aca="false">IF(+O129-AS129+AU129&gt;0,O129-AS129+AU129,0)</f>
        <v>0</v>
      </c>
      <c r="AX129" s="240"/>
      <c r="AY129" s="95" t="n">
        <f aca="false">+AW129+AS129</f>
        <v>0</v>
      </c>
      <c r="AZ129" s="240"/>
      <c r="BA129" s="136" t="n">
        <f aca="false">O129-AS129-AW129</f>
        <v>80800</v>
      </c>
      <c r="BB129" s="240"/>
      <c r="BD129" s="240"/>
      <c r="BE129" s="240"/>
      <c r="BF129" s="240"/>
      <c r="BG129" s="240"/>
      <c r="BH129" s="240"/>
      <c r="BI129" s="240"/>
      <c r="BJ129" s="240"/>
      <c r="BK129" s="240"/>
      <c r="BL129" s="240"/>
      <c r="BM129" s="240"/>
      <c r="BN129" s="240"/>
      <c r="BO129" s="240"/>
      <c r="BP129" s="240"/>
      <c r="BQ129" s="240"/>
      <c r="BR129" s="240"/>
      <c r="BS129" s="240"/>
      <c r="BT129" s="240"/>
      <c r="BU129" s="240"/>
      <c r="BV129" s="240"/>
      <c r="BW129" s="240"/>
      <c r="BX129" s="240"/>
      <c r="BY129" s="240"/>
      <c r="BZ129" s="240"/>
      <c r="CA129" s="240"/>
      <c r="CB129" s="240"/>
      <c r="CC129" s="240"/>
      <c r="CD129" s="240"/>
      <c r="CE129" s="240"/>
      <c r="CF129" s="240"/>
      <c r="CG129" s="240"/>
      <c r="CH129" s="240"/>
      <c r="CI129" s="240"/>
      <c r="CJ129" s="240"/>
      <c r="CK129" s="240"/>
      <c r="CL129" s="240"/>
      <c r="CM129" s="240"/>
      <c r="CN129" s="240"/>
      <c r="CO129" s="240"/>
      <c r="CP129" s="240"/>
      <c r="CQ129" s="240"/>
      <c r="CR129" s="240"/>
      <c r="CS129" s="240"/>
      <c r="CT129" s="240"/>
      <c r="CU129" s="240"/>
      <c r="CV129" s="240"/>
      <c r="CW129" s="240"/>
      <c r="CX129" s="240"/>
      <c r="CY129" s="240"/>
      <c r="CZ129" s="240"/>
      <c r="DA129" s="240"/>
      <c r="DB129" s="240"/>
      <c r="DC129" s="240"/>
      <c r="DD129" s="240"/>
      <c r="DE129" s="240"/>
      <c r="DF129" s="240"/>
      <c r="DG129" s="240"/>
      <c r="DH129" s="240"/>
      <c r="DI129" s="240"/>
      <c r="DJ129" s="240"/>
      <c r="DK129" s="240"/>
      <c r="DL129" s="240"/>
      <c r="DM129" s="240"/>
      <c r="DN129" s="240"/>
      <c r="DO129" s="240"/>
      <c r="DP129" s="240"/>
      <c r="DQ129" s="240"/>
      <c r="DR129" s="240"/>
      <c r="DS129" s="240"/>
      <c r="DT129" s="240"/>
      <c r="DU129" s="240"/>
      <c r="DV129" s="240"/>
      <c r="DW129" s="240"/>
      <c r="DX129" s="240"/>
      <c r="DY129" s="240"/>
      <c r="DZ129" s="240"/>
      <c r="EA129" s="240"/>
      <c r="EB129" s="240"/>
      <c r="EC129" s="240"/>
      <c r="ED129" s="240"/>
      <c r="EE129" s="240"/>
      <c r="EF129" s="240"/>
      <c r="EG129" s="240"/>
      <c r="EH129" s="240"/>
      <c r="EI129" s="240"/>
      <c r="EJ129" s="240"/>
      <c r="EK129" s="240"/>
      <c r="EL129" s="240"/>
      <c r="EM129" s="240"/>
      <c r="EN129" s="240"/>
      <c r="EO129" s="240"/>
      <c r="EP129" s="240"/>
      <c r="EQ129" s="240"/>
      <c r="ER129" s="240"/>
      <c r="ES129" s="240"/>
      <c r="ET129" s="240"/>
      <c r="EU129" s="240"/>
      <c r="EV129" s="240"/>
      <c r="EW129" s="240"/>
      <c r="EX129" s="240"/>
      <c r="EY129" s="240"/>
      <c r="EZ129" s="240"/>
      <c r="FA129" s="240"/>
      <c r="FB129" s="240"/>
      <c r="FC129" s="240"/>
      <c r="FD129" s="240"/>
      <c r="FE129" s="240"/>
      <c r="FF129" s="240"/>
      <c r="FG129" s="240"/>
      <c r="FH129" s="240"/>
      <c r="FI129" s="240"/>
      <c r="FJ129" s="240"/>
      <c r="FK129" s="240"/>
      <c r="FL129" s="240"/>
      <c r="FM129" s="240"/>
      <c r="FN129" s="240"/>
      <c r="FO129" s="240"/>
      <c r="FP129" s="240"/>
      <c r="FQ129" s="240"/>
      <c r="FR129" s="240"/>
      <c r="FS129" s="240"/>
      <c r="FT129" s="240"/>
      <c r="FU129" s="240"/>
      <c r="FV129" s="240"/>
      <c r="FW129" s="240"/>
      <c r="FX129" s="240"/>
      <c r="FY129" s="240"/>
      <c r="FZ129" s="240"/>
      <c r="GA129" s="240"/>
      <c r="GB129" s="240"/>
      <c r="GC129" s="240"/>
      <c r="GD129" s="240"/>
      <c r="GE129" s="240"/>
      <c r="GF129" s="240"/>
      <c r="GG129" s="240"/>
      <c r="GH129" s="240"/>
      <c r="GI129" s="240"/>
      <c r="GJ129" s="240"/>
      <c r="GK129" s="240"/>
      <c r="GL129" s="240"/>
      <c r="GM129" s="240"/>
      <c r="GN129" s="240"/>
      <c r="GO129" s="240"/>
      <c r="GP129" s="240"/>
      <c r="GQ129" s="240"/>
      <c r="GR129" s="240"/>
      <c r="GS129" s="240"/>
      <c r="GT129" s="240"/>
      <c r="GU129" s="240"/>
      <c r="GV129" s="240"/>
      <c r="GW129" s="240"/>
      <c r="GX129" s="240"/>
      <c r="GY129" s="240"/>
      <c r="GZ129" s="240"/>
      <c r="HA129" s="240"/>
      <c r="HB129" s="240"/>
      <c r="HC129" s="240"/>
      <c r="HD129" s="240"/>
      <c r="HE129" s="240"/>
      <c r="HF129" s="240"/>
      <c r="HG129" s="240"/>
      <c r="HH129" s="240"/>
      <c r="HI129" s="240"/>
      <c r="HJ129" s="240"/>
      <c r="HK129" s="240"/>
      <c r="HL129" s="240"/>
      <c r="HM129" s="240"/>
      <c r="HN129" s="240"/>
      <c r="HO129" s="240"/>
      <c r="HP129" s="240"/>
      <c r="HQ129" s="240"/>
      <c r="HR129" s="240"/>
      <c r="HS129" s="240"/>
      <c r="HT129" s="240"/>
      <c r="HU129" s="240"/>
      <c r="HV129" s="240"/>
      <c r="HW129" s="240"/>
      <c r="HX129" s="240"/>
      <c r="HY129" s="240"/>
      <c r="HZ129" s="240"/>
      <c r="IA129" s="240"/>
      <c r="IB129" s="240"/>
      <c r="IC129" s="240"/>
      <c r="ID129" s="240"/>
      <c r="IE129" s="240"/>
      <c r="IF129" s="240"/>
      <c r="IG129" s="240"/>
      <c r="IH129" s="240"/>
      <c r="II129" s="240"/>
      <c r="IJ129" s="240"/>
      <c r="IK129" s="240"/>
      <c r="IL129" s="240"/>
      <c r="IM129" s="240"/>
      <c r="IN129" s="240"/>
      <c r="IO129" s="240"/>
      <c r="IP129" s="240"/>
      <c r="IQ129" s="240"/>
      <c r="IR129" s="240"/>
      <c r="IS129" s="240"/>
      <c r="IT129" s="240"/>
      <c r="IU129" s="240"/>
      <c r="IV129" s="240"/>
      <c r="IW129" s="240"/>
    </row>
    <row r="130" customFormat="false" ht="12.75" hidden="false" customHeight="false" outlineLevel="0" collapsed="false">
      <c r="A130" s="175"/>
      <c r="B130" s="238" t="s">
        <v>404</v>
      </c>
      <c r="C130" s="239"/>
      <c r="D130" s="240"/>
      <c r="E130" s="241"/>
      <c r="F130" s="240"/>
      <c r="H130" s="240"/>
      <c r="I130" s="241"/>
      <c r="J130" s="240"/>
      <c r="K130" s="162" t="n">
        <v>5000</v>
      </c>
      <c r="L130" s="240"/>
      <c r="M130" s="162"/>
      <c r="N130" s="240"/>
      <c r="O130" s="162" t="n">
        <f aca="false">SUM(K130:N130)</f>
        <v>5000</v>
      </c>
      <c r="P130" s="240"/>
      <c r="Q130" s="129"/>
      <c r="S130" s="129"/>
      <c r="U130" s="96"/>
      <c r="AB130" s="240"/>
      <c r="AD130" s="240"/>
      <c r="AR130" s="240"/>
      <c r="AS130" s="95" t="n">
        <f aca="false">SUM(P130:AR130)</f>
        <v>0</v>
      </c>
      <c r="AT130" s="240"/>
      <c r="AU130" s="96" t="n">
        <v>-5000</v>
      </c>
      <c r="AV130" s="240"/>
      <c r="AW130" s="95" t="n">
        <f aca="false">IF(+O130-AS130+AU130&gt;0,O130-AS130+AU130,0)</f>
        <v>0</v>
      </c>
      <c r="AX130" s="240"/>
      <c r="AY130" s="95" t="n">
        <f aca="false">+AW130+AS130</f>
        <v>0</v>
      </c>
      <c r="AZ130" s="240"/>
      <c r="BA130" s="136" t="n">
        <f aca="false">O130-AS130-AW130</f>
        <v>5000</v>
      </c>
      <c r="BB130" s="240"/>
      <c r="BD130" s="240"/>
      <c r="BE130" s="240"/>
      <c r="BF130" s="240"/>
      <c r="BG130" s="240"/>
      <c r="BH130" s="240"/>
      <c r="BI130" s="240"/>
      <c r="BJ130" s="240"/>
      <c r="BK130" s="240"/>
      <c r="BL130" s="240"/>
      <c r="BM130" s="240"/>
      <c r="BN130" s="240"/>
      <c r="BO130" s="240"/>
      <c r="BP130" s="240"/>
      <c r="BQ130" s="240"/>
      <c r="BR130" s="240"/>
      <c r="BS130" s="240"/>
      <c r="BT130" s="240"/>
      <c r="BU130" s="240"/>
      <c r="BV130" s="240"/>
      <c r="BW130" s="240"/>
      <c r="BX130" s="240"/>
      <c r="BY130" s="240"/>
      <c r="BZ130" s="240"/>
      <c r="CA130" s="240"/>
      <c r="CB130" s="240"/>
      <c r="CC130" s="240"/>
      <c r="CD130" s="240"/>
      <c r="CE130" s="240"/>
      <c r="CF130" s="240"/>
      <c r="CG130" s="240"/>
      <c r="CH130" s="240"/>
      <c r="CI130" s="240"/>
      <c r="CJ130" s="240"/>
      <c r="CK130" s="240"/>
      <c r="CL130" s="240"/>
      <c r="CM130" s="240"/>
      <c r="CN130" s="240"/>
      <c r="CO130" s="240"/>
      <c r="CP130" s="240"/>
      <c r="CQ130" s="240"/>
      <c r="CR130" s="240"/>
      <c r="CS130" s="240"/>
      <c r="CT130" s="240"/>
      <c r="CU130" s="240"/>
      <c r="CV130" s="240"/>
      <c r="CW130" s="240"/>
      <c r="CX130" s="240"/>
      <c r="CY130" s="240"/>
      <c r="CZ130" s="240"/>
      <c r="DA130" s="240"/>
      <c r="DB130" s="240"/>
      <c r="DC130" s="240"/>
      <c r="DD130" s="240"/>
      <c r="DE130" s="240"/>
      <c r="DF130" s="240"/>
      <c r="DG130" s="240"/>
      <c r="DH130" s="240"/>
      <c r="DI130" s="240"/>
      <c r="DJ130" s="240"/>
      <c r="DK130" s="240"/>
      <c r="DL130" s="240"/>
      <c r="DM130" s="240"/>
      <c r="DN130" s="240"/>
      <c r="DO130" s="240"/>
      <c r="DP130" s="240"/>
      <c r="DQ130" s="240"/>
      <c r="DR130" s="240"/>
      <c r="DS130" s="240"/>
      <c r="DT130" s="240"/>
      <c r="DU130" s="240"/>
      <c r="DV130" s="240"/>
      <c r="DW130" s="240"/>
      <c r="DX130" s="240"/>
      <c r="DY130" s="240"/>
      <c r="DZ130" s="240"/>
      <c r="EA130" s="240"/>
      <c r="EB130" s="240"/>
      <c r="EC130" s="240"/>
      <c r="ED130" s="240"/>
      <c r="EE130" s="240"/>
      <c r="EF130" s="240"/>
      <c r="EG130" s="240"/>
      <c r="EH130" s="240"/>
      <c r="EI130" s="240"/>
      <c r="EJ130" s="240"/>
      <c r="EK130" s="240"/>
      <c r="EL130" s="240"/>
      <c r="EM130" s="240"/>
      <c r="EN130" s="240"/>
      <c r="EO130" s="240"/>
      <c r="EP130" s="240"/>
      <c r="EQ130" s="240"/>
      <c r="ER130" s="240"/>
      <c r="ES130" s="240"/>
      <c r="ET130" s="240"/>
      <c r="EU130" s="240"/>
      <c r="EV130" s="240"/>
      <c r="EW130" s="240"/>
      <c r="EX130" s="240"/>
      <c r="EY130" s="240"/>
      <c r="EZ130" s="240"/>
      <c r="FA130" s="240"/>
      <c r="FB130" s="240"/>
      <c r="FC130" s="240"/>
      <c r="FD130" s="240"/>
      <c r="FE130" s="240"/>
      <c r="FF130" s="240"/>
      <c r="FG130" s="240"/>
      <c r="FH130" s="240"/>
      <c r="FI130" s="240"/>
      <c r="FJ130" s="240"/>
      <c r="FK130" s="240"/>
      <c r="FL130" s="240"/>
      <c r="FM130" s="240"/>
      <c r="FN130" s="240"/>
      <c r="FO130" s="240"/>
      <c r="FP130" s="240"/>
      <c r="FQ130" s="240"/>
      <c r="FR130" s="240"/>
      <c r="FS130" s="240"/>
      <c r="FT130" s="240"/>
      <c r="FU130" s="240"/>
      <c r="FV130" s="240"/>
      <c r="FW130" s="240"/>
      <c r="FX130" s="240"/>
      <c r="FY130" s="240"/>
      <c r="FZ130" s="240"/>
      <c r="GA130" s="240"/>
      <c r="GB130" s="240"/>
      <c r="GC130" s="240"/>
      <c r="GD130" s="240"/>
      <c r="GE130" s="240"/>
      <c r="GF130" s="240"/>
      <c r="GG130" s="240"/>
      <c r="GH130" s="240"/>
      <c r="GI130" s="240"/>
      <c r="GJ130" s="240"/>
      <c r="GK130" s="240"/>
      <c r="GL130" s="240"/>
      <c r="GM130" s="240"/>
      <c r="GN130" s="240"/>
      <c r="GO130" s="240"/>
      <c r="GP130" s="240"/>
      <c r="GQ130" s="240"/>
      <c r="GR130" s="240"/>
      <c r="GS130" s="240"/>
      <c r="GT130" s="240"/>
      <c r="GU130" s="240"/>
      <c r="GV130" s="240"/>
      <c r="GW130" s="240"/>
      <c r="GX130" s="240"/>
      <c r="GY130" s="240"/>
      <c r="GZ130" s="240"/>
      <c r="HA130" s="240"/>
      <c r="HB130" s="240"/>
      <c r="HC130" s="240"/>
      <c r="HD130" s="240"/>
      <c r="HE130" s="240"/>
      <c r="HF130" s="240"/>
      <c r="HG130" s="240"/>
      <c r="HH130" s="240"/>
      <c r="HI130" s="240"/>
      <c r="HJ130" s="240"/>
      <c r="HK130" s="240"/>
      <c r="HL130" s="240"/>
      <c r="HM130" s="240"/>
      <c r="HN130" s="240"/>
      <c r="HO130" s="240"/>
      <c r="HP130" s="240"/>
      <c r="HQ130" s="240"/>
      <c r="HR130" s="240"/>
      <c r="HS130" s="240"/>
      <c r="HT130" s="240"/>
      <c r="HU130" s="240"/>
      <c r="HV130" s="240"/>
      <c r="HW130" s="240"/>
      <c r="HX130" s="240"/>
      <c r="HY130" s="240"/>
      <c r="HZ130" s="240"/>
      <c r="IA130" s="240"/>
      <c r="IB130" s="240"/>
      <c r="IC130" s="240"/>
      <c r="ID130" s="240"/>
      <c r="IE130" s="240"/>
      <c r="IF130" s="240"/>
      <c r="IG130" s="240"/>
      <c r="IH130" s="240"/>
      <c r="II130" s="240"/>
      <c r="IJ130" s="240"/>
      <c r="IK130" s="240"/>
      <c r="IL130" s="240"/>
      <c r="IM130" s="240"/>
      <c r="IN130" s="240"/>
      <c r="IO130" s="240"/>
      <c r="IP130" s="240"/>
      <c r="IQ130" s="240"/>
      <c r="IR130" s="240"/>
      <c r="IS130" s="240"/>
      <c r="IT130" s="240"/>
      <c r="IU130" s="240"/>
      <c r="IV130" s="240"/>
      <c r="IW130" s="240"/>
    </row>
    <row r="131" customFormat="false" ht="12.75" hidden="false" customHeight="false" outlineLevel="0" collapsed="false">
      <c r="A131" s="175"/>
      <c r="B131" s="238" t="s">
        <v>405</v>
      </c>
      <c r="C131" s="239"/>
      <c r="D131" s="240"/>
      <c r="E131" s="241"/>
      <c r="F131" s="240"/>
      <c r="H131" s="240"/>
      <c r="I131" s="241"/>
      <c r="J131" s="240"/>
      <c r="K131" s="162" t="n">
        <v>0</v>
      </c>
      <c r="L131" s="240"/>
      <c r="M131" s="162"/>
      <c r="N131" s="240"/>
      <c r="O131" s="162" t="n">
        <f aca="false">SUM(K131:N131)</f>
        <v>0</v>
      </c>
      <c r="P131" s="240"/>
      <c r="Q131" s="129"/>
      <c r="S131" s="129"/>
      <c r="U131" s="96"/>
      <c r="AB131" s="240"/>
      <c r="AD131" s="240"/>
      <c r="AR131" s="240"/>
      <c r="AS131" s="95" t="n">
        <f aca="false">SUM(P131:AR131)</f>
        <v>0</v>
      </c>
      <c r="AT131" s="240"/>
      <c r="AU131" s="96"/>
      <c r="AV131" s="240"/>
      <c r="AW131" s="95" t="n">
        <f aca="false">IF(+O131-AS131+AU131&gt;0,O131-AS131+AU131,0)</f>
        <v>0</v>
      </c>
      <c r="AX131" s="240"/>
      <c r="AY131" s="95" t="n">
        <f aca="false">+AW131+AS131</f>
        <v>0</v>
      </c>
      <c r="AZ131" s="240"/>
      <c r="BA131" s="136" t="n">
        <f aca="false">O131-AS131-AW131</f>
        <v>0</v>
      </c>
      <c r="BB131" s="240"/>
      <c r="BD131" s="240"/>
      <c r="BE131" s="240"/>
      <c r="BF131" s="240"/>
      <c r="BG131" s="240"/>
      <c r="BH131" s="240"/>
      <c r="BI131" s="240"/>
      <c r="BJ131" s="240"/>
      <c r="BK131" s="240"/>
      <c r="BL131" s="240"/>
      <c r="BM131" s="240"/>
      <c r="BN131" s="240"/>
      <c r="BO131" s="240"/>
      <c r="BP131" s="240"/>
      <c r="BQ131" s="240"/>
      <c r="BR131" s="240"/>
      <c r="BS131" s="240"/>
      <c r="BT131" s="240"/>
      <c r="BU131" s="240"/>
      <c r="BV131" s="240"/>
      <c r="BW131" s="240"/>
      <c r="BX131" s="240"/>
      <c r="BY131" s="240"/>
      <c r="BZ131" s="240"/>
      <c r="CA131" s="240"/>
      <c r="CB131" s="240"/>
      <c r="CC131" s="240"/>
      <c r="CD131" s="240"/>
      <c r="CE131" s="240"/>
      <c r="CF131" s="240"/>
      <c r="CG131" s="240"/>
      <c r="CH131" s="240"/>
      <c r="CI131" s="240"/>
      <c r="CJ131" s="240"/>
      <c r="CK131" s="240"/>
      <c r="CL131" s="240"/>
      <c r="CM131" s="240"/>
      <c r="CN131" s="240"/>
      <c r="CO131" s="240"/>
      <c r="CP131" s="240"/>
      <c r="CQ131" s="240"/>
      <c r="CR131" s="240"/>
      <c r="CS131" s="240"/>
      <c r="CT131" s="240"/>
      <c r="CU131" s="240"/>
      <c r="CV131" s="240"/>
      <c r="CW131" s="240"/>
      <c r="CX131" s="240"/>
      <c r="CY131" s="240"/>
      <c r="CZ131" s="240"/>
      <c r="DA131" s="240"/>
      <c r="DB131" s="240"/>
      <c r="DC131" s="240"/>
      <c r="DD131" s="240"/>
      <c r="DE131" s="240"/>
      <c r="DF131" s="240"/>
      <c r="DG131" s="240"/>
      <c r="DH131" s="240"/>
      <c r="DI131" s="240"/>
      <c r="DJ131" s="240"/>
      <c r="DK131" s="240"/>
      <c r="DL131" s="240"/>
      <c r="DM131" s="240"/>
      <c r="DN131" s="240"/>
      <c r="DO131" s="240"/>
      <c r="DP131" s="240"/>
      <c r="DQ131" s="240"/>
      <c r="DR131" s="240"/>
      <c r="DS131" s="240"/>
      <c r="DT131" s="240"/>
      <c r="DU131" s="240"/>
      <c r="DV131" s="240"/>
      <c r="DW131" s="240"/>
      <c r="DX131" s="240"/>
      <c r="DY131" s="240"/>
      <c r="DZ131" s="240"/>
      <c r="EA131" s="240"/>
      <c r="EB131" s="240"/>
      <c r="EC131" s="240"/>
      <c r="ED131" s="240"/>
      <c r="EE131" s="240"/>
      <c r="EF131" s="240"/>
      <c r="EG131" s="240"/>
      <c r="EH131" s="240"/>
      <c r="EI131" s="240"/>
      <c r="EJ131" s="240"/>
      <c r="EK131" s="240"/>
      <c r="EL131" s="240"/>
      <c r="EM131" s="240"/>
      <c r="EN131" s="240"/>
      <c r="EO131" s="240"/>
      <c r="EP131" s="240"/>
      <c r="EQ131" s="240"/>
      <c r="ER131" s="240"/>
      <c r="ES131" s="240"/>
      <c r="ET131" s="240"/>
      <c r="EU131" s="240"/>
      <c r="EV131" s="240"/>
      <c r="EW131" s="240"/>
      <c r="EX131" s="240"/>
      <c r="EY131" s="240"/>
      <c r="EZ131" s="240"/>
      <c r="FA131" s="240"/>
      <c r="FB131" s="240"/>
      <c r="FC131" s="240"/>
      <c r="FD131" s="240"/>
      <c r="FE131" s="240"/>
      <c r="FF131" s="240"/>
      <c r="FG131" s="240"/>
      <c r="FH131" s="240"/>
      <c r="FI131" s="240"/>
      <c r="FJ131" s="240"/>
      <c r="FK131" s="240"/>
      <c r="FL131" s="240"/>
      <c r="FM131" s="240"/>
      <c r="FN131" s="240"/>
      <c r="FO131" s="240"/>
      <c r="FP131" s="240"/>
      <c r="FQ131" s="240"/>
      <c r="FR131" s="240"/>
      <c r="FS131" s="240"/>
      <c r="FT131" s="240"/>
      <c r="FU131" s="240"/>
      <c r="FV131" s="240"/>
      <c r="FW131" s="240"/>
      <c r="FX131" s="240"/>
      <c r="FY131" s="240"/>
      <c r="FZ131" s="240"/>
      <c r="GA131" s="240"/>
      <c r="GB131" s="240"/>
      <c r="GC131" s="240"/>
      <c r="GD131" s="240"/>
      <c r="GE131" s="240"/>
      <c r="GF131" s="240"/>
      <c r="GG131" s="240"/>
      <c r="GH131" s="240"/>
      <c r="GI131" s="240"/>
      <c r="GJ131" s="240"/>
      <c r="GK131" s="240"/>
      <c r="GL131" s="240"/>
      <c r="GM131" s="240"/>
      <c r="GN131" s="240"/>
      <c r="GO131" s="240"/>
      <c r="GP131" s="240"/>
      <c r="GQ131" s="240"/>
      <c r="GR131" s="240"/>
      <c r="GS131" s="240"/>
      <c r="GT131" s="240"/>
      <c r="GU131" s="240"/>
      <c r="GV131" s="240"/>
      <c r="GW131" s="240"/>
      <c r="GX131" s="240"/>
      <c r="GY131" s="240"/>
      <c r="GZ131" s="240"/>
      <c r="HA131" s="240"/>
      <c r="HB131" s="240"/>
      <c r="HC131" s="240"/>
      <c r="HD131" s="240"/>
      <c r="HE131" s="240"/>
      <c r="HF131" s="240"/>
      <c r="HG131" s="240"/>
      <c r="HH131" s="240"/>
      <c r="HI131" s="240"/>
      <c r="HJ131" s="240"/>
      <c r="HK131" s="240"/>
      <c r="HL131" s="240"/>
      <c r="HM131" s="240"/>
      <c r="HN131" s="240"/>
      <c r="HO131" s="240"/>
      <c r="HP131" s="240"/>
      <c r="HQ131" s="240"/>
      <c r="HR131" s="240"/>
      <c r="HS131" s="240"/>
      <c r="HT131" s="240"/>
      <c r="HU131" s="240"/>
      <c r="HV131" s="240"/>
      <c r="HW131" s="240"/>
      <c r="HX131" s="240"/>
      <c r="HY131" s="240"/>
      <c r="HZ131" s="240"/>
      <c r="IA131" s="240"/>
      <c r="IB131" s="240"/>
      <c r="IC131" s="240"/>
      <c r="ID131" s="240"/>
      <c r="IE131" s="240"/>
      <c r="IF131" s="240"/>
      <c r="IG131" s="240"/>
      <c r="IH131" s="240"/>
      <c r="II131" s="240"/>
      <c r="IJ131" s="240"/>
      <c r="IK131" s="240"/>
      <c r="IL131" s="240"/>
      <c r="IM131" s="240"/>
      <c r="IN131" s="240"/>
      <c r="IO131" s="240"/>
      <c r="IP131" s="240"/>
      <c r="IQ131" s="240"/>
      <c r="IR131" s="240"/>
      <c r="IS131" s="240"/>
      <c r="IT131" s="240"/>
      <c r="IU131" s="240"/>
      <c r="IV131" s="240"/>
      <c r="IW131" s="240"/>
    </row>
    <row r="132" customFormat="false" ht="12.75" hidden="false" customHeight="false" outlineLevel="0" collapsed="false">
      <c r="A132" s="175"/>
      <c r="B132" s="238" t="s">
        <v>406</v>
      </c>
      <c r="C132" s="239"/>
      <c r="D132" s="240"/>
      <c r="E132" s="241"/>
      <c r="F132" s="240"/>
      <c r="H132" s="240"/>
      <c r="I132" s="241"/>
      <c r="J132" s="240"/>
      <c r="K132" s="162" t="n">
        <v>0</v>
      </c>
      <c r="L132" s="240"/>
      <c r="M132" s="162"/>
      <c r="N132" s="240"/>
      <c r="O132" s="162" t="n">
        <f aca="false">SUM(K132:N132)</f>
        <v>0</v>
      </c>
      <c r="P132" s="240"/>
      <c r="Q132" s="129"/>
      <c r="S132" s="129"/>
      <c r="U132" s="96"/>
      <c r="AB132" s="240"/>
      <c r="AD132" s="240"/>
      <c r="AR132" s="240"/>
      <c r="AS132" s="95" t="n">
        <f aca="false">SUM(P132:AR132)</f>
        <v>0</v>
      </c>
      <c r="AT132" s="240"/>
      <c r="AU132" s="96"/>
      <c r="AV132" s="240"/>
      <c r="AW132" s="95" t="n">
        <f aca="false">IF(+O132-AS132+AU132&gt;0,O132-AS132+AU132,0)</f>
        <v>0</v>
      </c>
      <c r="AX132" s="240"/>
      <c r="AY132" s="95" t="n">
        <f aca="false">+AW132+AS132</f>
        <v>0</v>
      </c>
      <c r="AZ132" s="240"/>
      <c r="BA132" s="136" t="n">
        <f aca="false">O132-AS132-AW132</f>
        <v>0</v>
      </c>
      <c r="BB132" s="240"/>
      <c r="BD132" s="240"/>
      <c r="BE132" s="240"/>
      <c r="BF132" s="240"/>
      <c r="BG132" s="240"/>
      <c r="BH132" s="240"/>
      <c r="BI132" s="240"/>
      <c r="BJ132" s="240"/>
      <c r="BK132" s="240"/>
      <c r="BL132" s="240"/>
      <c r="BM132" s="240"/>
      <c r="BN132" s="240"/>
      <c r="BO132" s="240"/>
      <c r="BP132" s="240"/>
      <c r="BQ132" s="240"/>
      <c r="BR132" s="240"/>
      <c r="BS132" s="240"/>
      <c r="BT132" s="240"/>
      <c r="BU132" s="240"/>
      <c r="BV132" s="240"/>
      <c r="BW132" s="240"/>
      <c r="BX132" s="240"/>
      <c r="BY132" s="240"/>
      <c r="BZ132" s="240"/>
      <c r="CA132" s="240"/>
      <c r="CB132" s="240"/>
      <c r="CC132" s="240"/>
      <c r="CD132" s="240"/>
      <c r="CE132" s="240"/>
      <c r="CF132" s="240"/>
      <c r="CG132" s="240"/>
      <c r="CH132" s="240"/>
      <c r="CI132" s="240"/>
      <c r="CJ132" s="240"/>
      <c r="CK132" s="240"/>
      <c r="CL132" s="240"/>
      <c r="CM132" s="240"/>
      <c r="CN132" s="240"/>
      <c r="CO132" s="240"/>
      <c r="CP132" s="240"/>
      <c r="CQ132" s="240"/>
      <c r="CR132" s="240"/>
      <c r="CS132" s="240"/>
      <c r="CT132" s="240"/>
      <c r="CU132" s="240"/>
      <c r="CV132" s="240"/>
      <c r="CW132" s="240"/>
      <c r="CX132" s="240"/>
      <c r="CY132" s="240"/>
      <c r="CZ132" s="240"/>
      <c r="DA132" s="240"/>
      <c r="DB132" s="240"/>
      <c r="DC132" s="240"/>
      <c r="DD132" s="240"/>
      <c r="DE132" s="240"/>
      <c r="DF132" s="240"/>
      <c r="DG132" s="240"/>
      <c r="DH132" s="240"/>
      <c r="DI132" s="240"/>
      <c r="DJ132" s="240"/>
      <c r="DK132" s="240"/>
      <c r="DL132" s="240"/>
      <c r="DM132" s="240"/>
      <c r="DN132" s="240"/>
      <c r="DO132" s="240"/>
      <c r="DP132" s="240"/>
      <c r="DQ132" s="240"/>
      <c r="DR132" s="240"/>
      <c r="DS132" s="240"/>
      <c r="DT132" s="240"/>
      <c r="DU132" s="240"/>
      <c r="DV132" s="240"/>
      <c r="DW132" s="240"/>
      <c r="DX132" s="240"/>
      <c r="DY132" s="240"/>
      <c r="DZ132" s="240"/>
      <c r="EA132" s="240"/>
      <c r="EB132" s="240"/>
      <c r="EC132" s="240"/>
      <c r="ED132" s="240"/>
      <c r="EE132" s="240"/>
      <c r="EF132" s="240"/>
      <c r="EG132" s="240"/>
      <c r="EH132" s="240"/>
      <c r="EI132" s="240"/>
      <c r="EJ132" s="240"/>
      <c r="EK132" s="240"/>
      <c r="EL132" s="240"/>
      <c r="EM132" s="240"/>
      <c r="EN132" s="240"/>
      <c r="EO132" s="240"/>
      <c r="EP132" s="240"/>
      <c r="EQ132" s="240"/>
      <c r="ER132" s="240"/>
      <c r="ES132" s="240"/>
      <c r="ET132" s="240"/>
      <c r="EU132" s="240"/>
      <c r="EV132" s="240"/>
      <c r="EW132" s="240"/>
      <c r="EX132" s="240"/>
      <c r="EY132" s="240"/>
      <c r="EZ132" s="240"/>
      <c r="FA132" s="240"/>
      <c r="FB132" s="240"/>
      <c r="FC132" s="240"/>
      <c r="FD132" s="240"/>
      <c r="FE132" s="240"/>
      <c r="FF132" s="240"/>
      <c r="FG132" s="240"/>
      <c r="FH132" s="240"/>
      <c r="FI132" s="240"/>
      <c r="FJ132" s="240"/>
      <c r="FK132" s="240"/>
      <c r="FL132" s="240"/>
      <c r="FM132" s="240"/>
      <c r="FN132" s="240"/>
      <c r="FO132" s="240"/>
      <c r="FP132" s="240"/>
      <c r="FQ132" s="240"/>
      <c r="FR132" s="240"/>
      <c r="FS132" s="240"/>
      <c r="FT132" s="240"/>
      <c r="FU132" s="240"/>
      <c r="FV132" s="240"/>
      <c r="FW132" s="240"/>
      <c r="FX132" s="240"/>
      <c r="FY132" s="240"/>
      <c r="FZ132" s="240"/>
      <c r="GA132" s="240"/>
      <c r="GB132" s="240"/>
      <c r="GC132" s="240"/>
      <c r="GD132" s="240"/>
      <c r="GE132" s="240"/>
      <c r="GF132" s="240"/>
      <c r="GG132" s="240"/>
      <c r="GH132" s="240"/>
      <c r="GI132" s="240"/>
      <c r="GJ132" s="240"/>
      <c r="GK132" s="240"/>
      <c r="GL132" s="240"/>
      <c r="GM132" s="240"/>
      <c r="GN132" s="240"/>
      <c r="GO132" s="240"/>
      <c r="GP132" s="240"/>
      <c r="GQ132" s="240"/>
      <c r="GR132" s="240"/>
      <c r="GS132" s="240"/>
      <c r="GT132" s="240"/>
      <c r="GU132" s="240"/>
      <c r="GV132" s="240"/>
      <c r="GW132" s="240"/>
      <c r="GX132" s="240"/>
      <c r="GY132" s="240"/>
      <c r="GZ132" s="240"/>
      <c r="HA132" s="240"/>
      <c r="HB132" s="240"/>
      <c r="HC132" s="240"/>
      <c r="HD132" s="240"/>
      <c r="HE132" s="240"/>
      <c r="HF132" s="240"/>
      <c r="HG132" s="240"/>
      <c r="HH132" s="240"/>
      <c r="HI132" s="240"/>
      <c r="HJ132" s="240"/>
      <c r="HK132" s="240"/>
      <c r="HL132" s="240"/>
      <c r="HM132" s="240"/>
      <c r="HN132" s="240"/>
      <c r="HO132" s="240"/>
      <c r="HP132" s="240"/>
      <c r="HQ132" s="240"/>
      <c r="HR132" s="240"/>
      <c r="HS132" s="240"/>
      <c r="HT132" s="240"/>
      <c r="HU132" s="240"/>
      <c r="HV132" s="240"/>
      <c r="HW132" s="240"/>
      <c r="HX132" s="240"/>
      <c r="HY132" s="240"/>
      <c r="HZ132" s="240"/>
      <c r="IA132" s="240"/>
      <c r="IB132" s="240"/>
      <c r="IC132" s="240"/>
      <c r="ID132" s="240"/>
      <c r="IE132" s="240"/>
      <c r="IF132" s="240"/>
      <c r="IG132" s="240"/>
      <c r="IH132" s="240"/>
      <c r="II132" s="240"/>
      <c r="IJ132" s="240"/>
      <c r="IK132" s="240"/>
      <c r="IL132" s="240"/>
      <c r="IM132" s="240"/>
      <c r="IN132" s="240"/>
      <c r="IO132" s="240"/>
      <c r="IP132" s="240"/>
      <c r="IQ132" s="240"/>
      <c r="IR132" s="240"/>
      <c r="IS132" s="240"/>
      <c r="IT132" s="240"/>
      <c r="IU132" s="240"/>
      <c r="IV132" s="240"/>
      <c r="IW132" s="240"/>
    </row>
    <row r="133" customFormat="false" ht="12.75" hidden="false" customHeight="false" outlineLevel="0" collapsed="false">
      <c r="A133" s="175"/>
      <c r="B133" s="238" t="s">
        <v>407</v>
      </c>
      <c r="C133" s="239"/>
      <c r="D133" s="240"/>
      <c r="E133" s="241"/>
      <c r="F133" s="240"/>
      <c r="H133" s="240"/>
      <c r="I133" s="241"/>
      <c r="J133" s="240"/>
      <c r="K133" s="162" t="n">
        <v>1000</v>
      </c>
      <c r="L133" s="240"/>
      <c r="M133" s="162"/>
      <c r="N133" s="240"/>
      <c r="O133" s="162" t="n">
        <f aca="false">SUM(K133:N133)</f>
        <v>1000</v>
      </c>
      <c r="P133" s="240"/>
      <c r="Q133" s="129" t="n">
        <v>1000</v>
      </c>
      <c r="S133" s="129"/>
      <c r="U133" s="96"/>
      <c r="AB133" s="240"/>
      <c r="AD133" s="240"/>
      <c r="AR133" s="240"/>
      <c r="AS133" s="95" t="n">
        <f aca="false">SUM(P133:AR133)</f>
        <v>1000</v>
      </c>
      <c r="AT133" s="240"/>
      <c r="AU133" s="96"/>
      <c r="AV133" s="240"/>
      <c r="AW133" s="95" t="n">
        <f aca="false">IF(+O133-AS133+AU133&gt;0,O133-AS133+AU133,0)</f>
        <v>0</v>
      </c>
      <c r="AX133" s="240"/>
      <c r="AY133" s="95" t="n">
        <f aca="false">+AW133+AS133</f>
        <v>1000</v>
      </c>
      <c r="AZ133" s="240"/>
      <c r="BA133" s="136" t="n">
        <f aca="false">O133-AS133-AW133</f>
        <v>0</v>
      </c>
      <c r="BB133" s="240"/>
      <c r="BD133" s="240"/>
      <c r="BE133" s="240"/>
      <c r="BF133" s="240"/>
      <c r="BG133" s="240"/>
      <c r="BH133" s="240"/>
      <c r="BI133" s="240"/>
      <c r="BJ133" s="240"/>
      <c r="BK133" s="240"/>
      <c r="BL133" s="240"/>
      <c r="BM133" s="240"/>
      <c r="BN133" s="240"/>
      <c r="BO133" s="240"/>
      <c r="BP133" s="240"/>
      <c r="BQ133" s="240"/>
      <c r="BR133" s="240"/>
      <c r="BS133" s="240"/>
      <c r="BT133" s="240"/>
      <c r="BU133" s="240"/>
      <c r="BV133" s="240"/>
      <c r="BW133" s="240"/>
      <c r="BX133" s="240"/>
      <c r="BY133" s="240"/>
      <c r="BZ133" s="240"/>
      <c r="CA133" s="240"/>
      <c r="CB133" s="240"/>
      <c r="CC133" s="240"/>
      <c r="CD133" s="240"/>
      <c r="CE133" s="240"/>
      <c r="CF133" s="240"/>
      <c r="CG133" s="240"/>
      <c r="CH133" s="240"/>
      <c r="CI133" s="240"/>
      <c r="CJ133" s="240"/>
      <c r="CK133" s="240"/>
      <c r="CL133" s="240"/>
      <c r="CM133" s="240"/>
      <c r="CN133" s="240"/>
      <c r="CO133" s="240"/>
      <c r="CP133" s="240"/>
      <c r="CQ133" s="240"/>
      <c r="CR133" s="240"/>
      <c r="CS133" s="240"/>
      <c r="CT133" s="240"/>
      <c r="CU133" s="240"/>
      <c r="CV133" s="240"/>
      <c r="CW133" s="240"/>
      <c r="CX133" s="240"/>
      <c r="CY133" s="240"/>
      <c r="CZ133" s="240"/>
      <c r="DA133" s="240"/>
      <c r="DB133" s="240"/>
      <c r="DC133" s="240"/>
      <c r="DD133" s="240"/>
      <c r="DE133" s="240"/>
      <c r="DF133" s="240"/>
      <c r="DG133" s="240"/>
      <c r="DH133" s="240"/>
      <c r="DI133" s="240"/>
      <c r="DJ133" s="240"/>
      <c r="DK133" s="240"/>
      <c r="DL133" s="240"/>
      <c r="DM133" s="240"/>
      <c r="DN133" s="240"/>
      <c r="DO133" s="240"/>
      <c r="DP133" s="240"/>
      <c r="DQ133" s="240"/>
      <c r="DR133" s="240"/>
      <c r="DS133" s="240"/>
      <c r="DT133" s="240"/>
      <c r="DU133" s="240"/>
      <c r="DV133" s="240"/>
      <c r="DW133" s="240"/>
      <c r="DX133" s="240"/>
      <c r="DY133" s="240"/>
      <c r="DZ133" s="240"/>
      <c r="EA133" s="240"/>
      <c r="EB133" s="240"/>
      <c r="EC133" s="240"/>
      <c r="ED133" s="240"/>
      <c r="EE133" s="240"/>
      <c r="EF133" s="240"/>
      <c r="EG133" s="240"/>
      <c r="EH133" s="240"/>
      <c r="EI133" s="240"/>
      <c r="EJ133" s="240"/>
      <c r="EK133" s="240"/>
      <c r="EL133" s="240"/>
      <c r="EM133" s="240"/>
      <c r="EN133" s="240"/>
      <c r="EO133" s="240"/>
      <c r="EP133" s="240"/>
      <c r="EQ133" s="240"/>
      <c r="ER133" s="240"/>
      <c r="ES133" s="240"/>
      <c r="ET133" s="240"/>
      <c r="EU133" s="240"/>
      <c r="EV133" s="240"/>
      <c r="EW133" s="240"/>
      <c r="EX133" s="240"/>
      <c r="EY133" s="240"/>
      <c r="EZ133" s="240"/>
      <c r="FA133" s="240"/>
      <c r="FB133" s="240"/>
      <c r="FC133" s="240"/>
      <c r="FD133" s="240"/>
      <c r="FE133" s="240"/>
      <c r="FF133" s="240"/>
      <c r="FG133" s="240"/>
      <c r="FH133" s="240"/>
      <c r="FI133" s="240"/>
      <c r="FJ133" s="240"/>
      <c r="FK133" s="240"/>
      <c r="FL133" s="240"/>
      <c r="FM133" s="240"/>
      <c r="FN133" s="240"/>
      <c r="FO133" s="240"/>
      <c r="FP133" s="240"/>
      <c r="FQ133" s="240"/>
      <c r="FR133" s="240"/>
      <c r="FS133" s="240"/>
      <c r="FT133" s="240"/>
      <c r="FU133" s="240"/>
      <c r="FV133" s="240"/>
      <c r="FW133" s="240"/>
      <c r="FX133" s="240"/>
      <c r="FY133" s="240"/>
      <c r="FZ133" s="240"/>
      <c r="GA133" s="240"/>
      <c r="GB133" s="240"/>
      <c r="GC133" s="240"/>
      <c r="GD133" s="240"/>
      <c r="GE133" s="240"/>
      <c r="GF133" s="240"/>
      <c r="GG133" s="240"/>
      <c r="GH133" s="240"/>
      <c r="GI133" s="240"/>
      <c r="GJ133" s="240"/>
      <c r="GK133" s="240"/>
      <c r="GL133" s="240"/>
      <c r="GM133" s="240"/>
      <c r="GN133" s="240"/>
      <c r="GO133" s="240"/>
      <c r="GP133" s="240"/>
      <c r="GQ133" s="240"/>
      <c r="GR133" s="240"/>
      <c r="GS133" s="240"/>
      <c r="GT133" s="240"/>
      <c r="GU133" s="240"/>
      <c r="GV133" s="240"/>
      <c r="GW133" s="240"/>
      <c r="GX133" s="240"/>
      <c r="GY133" s="240"/>
      <c r="GZ133" s="240"/>
      <c r="HA133" s="240"/>
      <c r="HB133" s="240"/>
      <c r="HC133" s="240"/>
      <c r="HD133" s="240"/>
      <c r="HE133" s="240"/>
      <c r="HF133" s="240"/>
      <c r="HG133" s="240"/>
      <c r="HH133" s="240"/>
      <c r="HI133" s="240"/>
      <c r="HJ133" s="240"/>
      <c r="HK133" s="240"/>
      <c r="HL133" s="240"/>
      <c r="HM133" s="240"/>
      <c r="HN133" s="240"/>
      <c r="HO133" s="240"/>
      <c r="HP133" s="240"/>
      <c r="HQ133" s="240"/>
      <c r="HR133" s="240"/>
      <c r="HS133" s="240"/>
      <c r="HT133" s="240"/>
      <c r="HU133" s="240"/>
      <c r="HV133" s="240"/>
      <c r="HW133" s="240"/>
      <c r="HX133" s="240"/>
      <c r="HY133" s="240"/>
      <c r="HZ133" s="240"/>
      <c r="IA133" s="240"/>
      <c r="IB133" s="240"/>
      <c r="IC133" s="240"/>
      <c r="ID133" s="240"/>
      <c r="IE133" s="240"/>
      <c r="IF133" s="240"/>
      <c r="IG133" s="240"/>
      <c r="IH133" s="240"/>
      <c r="II133" s="240"/>
      <c r="IJ133" s="240"/>
      <c r="IK133" s="240"/>
      <c r="IL133" s="240"/>
      <c r="IM133" s="240"/>
      <c r="IN133" s="240"/>
      <c r="IO133" s="240"/>
      <c r="IP133" s="240"/>
      <c r="IQ133" s="240"/>
      <c r="IR133" s="240"/>
      <c r="IS133" s="240"/>
      <c r="IT133" s="240"/>
      <c r="IU133" s="240"/>
      <c r="IV133" s="240"/>
      <c r="IW133" s="240"/>
    </row>
    <row r="134" customFormat="false" ht="12.75" hidden="false" customHeight="false" outlineLevel="0" collapsed="false">
      <c r="A134" s="175"/>
      <c r="B134" s="238" t="s">
        <v>408</v>
      </c>
      <c r="C134" s="239"/>
      <c r="D134" s="240"/>
      <c r="E134" s="241"/>
      <c r="F134" s="240"/>
      <c r="H134" s="240"/>
      <c r="I134" s="241"/>
      <c r="J134" s="240"/>
      <c r="K134" s="162" t="n">
        <f aca="false">20000-1000</f>
        <v>19000</v>
      </c>
      <c r="L134" s="240"/>
      <c r="M134" s="162"/>
      <c r="N134" s="240"/>
      <c r="O134" s="162" t="n">
        <f aca="false">SUM(K134:N134)</f>
        <v>19000</v>
      </c>
      <c r="P134" s="240"/>
      <c r="Q134" s="129"/>
      <c r="S134" s="129"/>
      <c r="U134" s="96"/>
      <c r="Y134" s="96" t="n">
        <v>19000</v>
      </c>
      <c r="AB134" s="240"/>
      <c r="AD134" s="240"/>
      <c r="AR134" s="240"/>
      <c r="AS134" s="95" t="n">
        <f aca="false">SUM(P134:AR134)</f>
        <v>19000</v>
      </c>
      <c r="AT134" s="240"/>
      <c r="AU134" s="96"/>
      <c r="AV134" s="240"/>
      <c r="AW134" s="95" t="n">
        <f aca="false">IF(+O134-AS134+AU134&gt;0,O134-AS134+AU134,0)</f>
        <v>0</v>
      </c>
      <c r="AX134" s="240"/>
      <c r="AY134" s="95" t="n">
        <f aca="false">+AW134+AS134</f>
        <v>19000</v>
      </c>
      <c r="AZ134" s="240"/>
      <c r="BA134" s="136" t="n">
        <f aca="false">O134-AS134-AW134</f>
        <v>0</v>
      </c>
      <c r="BB134" s="240"/>
      <c r="BD134" s="240"/>
      <c r="BE134" s="240"/>
      <c r="BF134" s="240"/>
      <c r="BG134" s="240"/>
      <c r="BH134" s="240"/>
      <c r="BI134" s="240"/>
      <c r="BJ134" s="240"/>
      <c r="BK134" s="240"/>
      <c r="BL134" s="240"/>
      <c r="BM134" s="240"/>
      <c r="BN134" s="240"/>
      <c r="BO134" s="240"/>
      <c r="BP134" s="240"/>
      <c r="BQ134" s="240"/>
      <c r="BR134" s="240"/>
      <c r="BS134" s="240"/>
      <c r="BT134" s="240"/>
      <c r="BU134" s="240"/>
      <c r="BV134" s="240"/>
      <c r="BW134" s="240"/>
      <c r="BX134" s="240"/>
      <c r="BY134" s="240"/>
      <c r="BZ134" s="240"/>
      <c r="CA134" s="240"/>
      <c r="CB134" s="240"/>
      <c r="CC134" s="240"/>
      <c r="CD134" s="240"/>
      <c r="CE134" s="240"/>
      <c r="CF134" s="240"/>
      <c r="CG134" s="240"/>
      <c r="CH134" s="240"/>
      <c r="CI134" s="240"/>
      <c r="CJ134" s="240"/>
      <c r="CK134" s="240"/>
      <c r="CL134" s="240"/>
      <c r="CM134" s="240"/>
      <c r="CN134" s="240"/>
      <c r="CO134" s="240"/>
      <c r="CP134" s="240"/>
      <c r="CQ134" s="240"/>
      <c r="CR134" s="240"/>
      <c r="CS134" s="240"/>
      <c r="CT134" s="240"/>
      <c r="CU134" s="240"/>
      <c r="CV134" s="240"/>
      <c r="CW134" s="240"/>
      <c r="CX134" s="240"/>
      <c r="CY134" s="240"/>
      <c r="CZ134" s="240"/>
      <c r="DA134" s="240"/>
      <c r="DB134" s="240"/>
      <c r="DC134" s="240"/>
      <c r="DD134" s="240"/>
      <c r="DE134" s="240"/>
      <c r="DF134" s="240"/>
      <c r="DG134" s="240"/>
      <c r="DH134" s="240"/>
      <c r="DI134" s="240"/>
      <c r="DJ134" s="240"/>
      <c r="DK134" s="240"/>
      <c r="DL134" s="240"/>
      <c r="DM134" s="240"/>
      <c r="DN134" s="240"/>
      <c r="DO134" s="240"/>
      <c r="DP134" s="240"/>
      <c r="DQ134" s="240"/>
      <c r="DR134" s="240"/>
      <c r="DS134" s="240"/>
      <c r="DT134" s="240"/>
      <c r="DU134" s="240"/>
      <c r="DV134" s="240"/>
      <c r="DW134" s="240"/>
      <c r="DX134" s="240"/>
      <c r="DY134" s="240"/>
      <c r="DZ134" s="240"/>
      <c r="EA134" s="240"/>
      <c r="EB134" s="240"/>
      <c r="EC134" s="240"/>
      <c r="ED134" s="240"/>
      <c r="EE134" s="240"/>
      <c r="EF134" s="240"/>
      <c r="EG134" s="240"/>
      <c r="EH134" s="240"/>
      <c r="EI134" s="240"/>
      <c r="EJ134" s="240"/>
      <c r="EK134" s="240"/>
      <c r="EL134" s="240"/>
      <c r="EM134" s="240"/>
      <c r="EN134" s="240"/>
      <c r="EO134" s="240"/>
      <c r="EP134" s="240"/>
      <c r="EQ134" s="240"/>
      <c r="ER134" s="240"/>
      <c r="ES134" s="240"/>
      <c r="ET134" s="240"/>
      <c r="EU134" s="240"/>
      <c r="EV134" s="240"/>
      <c r="EW134" s="240"/>
      <c r="EX134" s="240"/>
      <c r="EY134" s="240"/>
      <c r="EZ134" s="240"/>
      <c r="FA134" s="240"/>
      <c r="FB134" s="240"/>
      <c r="FC134" s="240"/>
      <c r="FD134" s="240"/>
      <c r="FE134" s="240"/>
      <c r="FF134" s="240"/>
      <c r="FG134" s="240"/>
      <c r="FH134" s="240"/>
      <c r="FI134" s="240"/>
      <c r="FJ134" s="240"/>
      <c r="FK134" s="240"/>
      <c r="FL134" s="240"/>
      <c r="FM134" s="240"/>
      <c r="FN134" s="240"/>
      <c r="FO134" s="240"/>
      <c r="FP134" s="240"/>
      <c r="FQ134" s="240"/>
      <c r="FR134" s="240"/>
      <c r="FS134" s="240"/>
      <c r="FT134" s="240"/>
      <c r="FU134" s="240"/>
      <c r="FV134" s="240"/>
      <c r="FW134" s="240"/>
      <c r="FX134" s="240"/>
      <c r="FY134" s="240"/>
      <c r="FZ134" s="240"/>
      <c r="GA134" s="240"/>
      <c r="GB134" s="240"/>
      <c r="GC134" s="240"/>
      <c r="GD134" s="240"/>
      <c r="GE134" s="240"/>
      <c r="GF134" s="240"/>
      <c r="GG134" s="240"/>
      <c r="GH134" s="240"/>
      <c r="GI134" s="240"/>
      <c r="GJ134" s="240"/>
      <c r="GK134" s="240"/>
      <c r="GL134" s="240"/>
      <c r="GM134" s="240"/>
      <c r="GN134" s="240"/>
      <c r="GO134" s="240"/>
      <c r="GP134" s="240"/>
      <c r="GQ134" s="240"/>
      <c r="GR134" s="240"/>
      <c r="GS134" s="240"/>
      <c r="GT134" s="240"/>
      <c r="GU134" s="240"/>
      <c r="GV134" s="240"/>
      <c r="GW134" s="240"/>
      <c r="GX134" s="240"/>
      <c r="GY134" s="240"/>
      <c r="GZ134" s="240"/>
      <c r="HA134" s="240"/>
      <c r="HB134" s="240"/>
      <c r="HC134" s="240"/>
      <c r="HD134" s="240"/>
      <c r="HE134" s="240"/>
      <c r="HF134" s="240"/>
      <c r="HG134" s="240"/>
      <c r="HH134" s="240"/>
      <c r="HI134" s="240"/>
      <c r="HJ134" s="240"/>
      <c r="HK134" s="240"/>
      <c r="HL134" s="240"/>
      <c r="HM134" s="240"/>
      <c r="HN134" s="240"/>
      <c r="HO134" s="240"/>
      <c r="HP134" s="240"/>
      <c r="HQ134" s="240"/>
      <c r="HR134" s="240"/>
      <c r="HS134" s="240"/>
      <c r="HT134" s="240"/>
      <c r="HU134" s="240"/>
      <c r="HV134" s="240"/>
      <c r="HW134" s="240"/>
      <c r="HX134" s="240"/>
      <c r="HY134" s="240"/>
      <c r="HZ134" s="240"/>
      <c r="IA134" s="240"/>
      <c r="IB134" s="240"/>
      <c r="IC134" s="240"/>
      <c r="ID134" s="240"/>
      <c r="IE134" s="240"/>
      <c r="IF134" s="240"/>
      <c r="IG134" s="240"/>
      <c r="IH134" s="240"/>
      <c r="II134" s="240"/>
      <c r="IJ134" s="240"/>
      <c r="IK134" s="240"/>
      <c r="IL134" s="240"/>
      <c r="IM134" s="240"/>
      <c r="IN134" s="240"/>
      <c r="IO134" s="240"/>
      <c r="IP134" s="240"/>
      <c r="IQ134" s="240"/>
      <c r="IR134" s="240"/>
      <c r="IS134" s="240"/>
      <c r="IT134" s="240"/>
      <c r="IU134" s="240"/>
      <c r="IV134" s="240"/>
      <c r="IW134" s="240"/>
    </row>
    <row r="135" customFormat="false" ht="12.75" hidden="false" customHeight="false" outlineLevel="0" collapsed="false">
      <c r="A135" s="175"/>
      <c r="B135" s="238" t="s">
        <v>404</v>
      </c>
      <c r="C135" s="239"/>
      <c r="D135" s="240"/>
      <c r="E135" s="241"/>
      <c r="F135" s="240"/>
      <c r="H135" s="240"/>
      <c r="I135" s="241"/>
      <c r="J135" s="240"/>
      <c r="K135" s="162" t="n">
        <v>5000</v>
      </c>
      <c r="L135" s="240"/>
      <c r="M135" s="162"/>
      <c r="N135" s="240"/>
      <c r="O135" s="162" t="n">
        <f aca="false">SUM(K135:N135)</f>
        <v>5000</v>
      </c>
      <c r="P135" s="240"/>
      <c r="Q135" s="129"/>
      <c r="S135" s="129"/>
      <c r="U135" s="96"/>
      <c r="Y135" s="96" t="n">
        <v>3050</v>
      </c>
      <c r="AB135" s="240"/>
      <c r="AD135" s="240"/>
      <c r="AR135" s="240"/>
      <c r="AS135" s="95" t="n">
        <f aca="false">SUM(P135:AR135)</f>
        <v>3050</v>
      </c>
      <c r="AT135" s="240"/>
      <c r="AU135" s="96" t="n">
        <v>-1950</v>
      </c>
      <c r="AV135" s="240"/>
      <c r="AW135" s="95" t="n">
        <f aca="false">IF(+O135-AS135+AU135&gt;0,O135-AS135+AU135,0)</f>
        <v>0</v>
      </c>
      <c r="AX135" s="240"/>
      <c r="AY135" s="95" t="n">
        <f aca="false">+AW135+AS135</f>
        <v>3050</v>
      </c>
      <c r="AZ135" s="240"/>
      <c r="BA135" s="136" t="n">
        <f aca="false">O135-AS135-AW135</f>
        <v>1950</v>
      </c>
      <c r="BB135" s="240"/>
      <c r="BD135" s="240"/>
      <c r="BE135" s="240"/>
      <c r="BF135" s="240"/>
      <c r="BG135" s="240"/>
      <c r="BH135" s="240"/>
      <c r="BI135" s="240"/>
      <c r="BJ135" s="240"/>
      <c r="BK135" s="240"/>
      <c r="BL135" s="240"/>
      <c r="BM135" s="240"/>
      <c r="BN135" s="240"/>
      <c r="BO135" s="240"/>
      <c r="BP135" s="240"/>
      <c r="BQ135" s="240"/>
      <c r="BR135" s="240"/>
      <c r="BS135" s="240"/>
      <c r="BT135" s="240"/>
      <c r="BU135" s="240"/>
      <c r="BV135" s="240"/>
      <c r="BW135" s="240"/>
      <c r="BX135" s="240"/>
      <c r="BY135" s="240"/>
      <c r="BZ135" s="240"/>
      <c r="CA135" s="240"/>
      <c r="CB135" s="240"/>
      <c r="CC135" s="240"/>
      <c r="CD135" s="240"/>
      <c r="CE135" s="240"/>
      <c r="CF135" s="240"/>
      <c r="CG135" s="240"/>
      <c r="CH135" s="240"/>
      <c r="CI135" s="240"/>
      <c r="CJ135" s="240"/>
      <c r="CK135" s="240"/>
      <c r="CL135" s="240"/>
      <c r="CM135" s="240"/>
      <c r="CN135" s="240"/>
      <c r="CO135" s="240"/>
      <c r="CP135" s="240"/>
      <c r="CQ135" s="240"/>
      <c r="CR135" s="240"/>
      <c r="CS135" s="240"/>
      <c r="CT135" s="240"/>
      <c r="CU135" s="240"/>
      <c r="CV135" s="240"/>
      <c r="CW135" s="240"/>
      <c r="CX135" s="240"/>
      <c r="CY135" s="240"/>
      <c r="CZ135" s="240"/>
      <c r="DA135" s="240"/>
      <c r="DB135" s="240"/>
      <c r="DC135" s="240"/>
      <c r="DD135" s="240"/>
      <c r="DE135" s="240"/>
      <c r="DF135" s="240"/>
      <c r="DG135" s="240"/>
      <c r="DH135" s="240"/>
      <c r="DI135" s="240"/>
      <c r="DJ135" s="240"/>
      <c r="DK135" s="240"/>
      <c r="DL135" s="240"/>
      <c r="DM135" s="240"/>
      <c r="DN135" s="240"/>
      <c r="DO135" s="240"/>
      <c r="DP135" s="240"/>
      <c r="DQ135" s="240"/>
      <c r="DR135" s="240"/>
      <c r="DS135" s="240"/>
      <c r="DT135" s="240"/>
      <c r="DU135" s="240"/>
      <c r="DV135" s="240"/>
      <c r="DW135" s="240"/>
      <c r="DX135" s="240"/>
      <c r="DY135" s="240"/>
      <c r="DZ135" s="240"/>
      <c r="EA135" s="240"/>
      <c r="EB135" s="240"/>
      <c r="EC135" s="240"/>
      <c r="ED135" s="240"/>
      <c r="EE135" s="240"/>
      <c r="EF135" s="240"/>
      <c r="EG135" s="240"/>
      <c r="EH135" s="240"/>
      <c r="EI135" s="240"/>
      <c r="EJ135" s="240"/>
      <c r="EK135" s="240"/>
      <c r="EL135" s="240"/>
      <c r="EM135" s="240"/>
      <c r="EN135" s="240"/>
      <c r="EO135" s="240"/>
      <c r="EP135" s="240"/>
      <c r="EQ135" s="240"/>
      <c r="ER135" s="240"/>
      <c r="ES135" s="240"/>
      <c r="ET135" s="240"/>
      <c r="EU135" s="240"/>
      <c r="EV135" s="240"/>
      <c r="EW135" s="240"/>
      <c r="EX135" s="240"/>
      <c r="EY135" s="240"/>
      <c r="EZ135" s="240"/>
      <c r="FA135" s="240"/>
      <c r="FB135" s="240"/>
      <c r="FC135" s="240"/>
      <c r="FD135" s="240"/>
      <c r="FE135" s="240"/>
      <c r="FF135" s="240"/>
      <c r="FG135" s="240"/>
      <c r="FH135" s="240"/>
      <c r="FI135" s="240"/>
      <c r="FJ135" s="240"/>
      <c r="FK135" s="240"/>
      <c r="FL135" s="240"/>
      <c r="FM135" s="240"/>
      <c r="FN135" s="240"/>
      <c r="FO135" s="240"/>
      <c r="FP135" s="240"/>
      <c r="FQ135" s="240"/>
      <c r="FR135" s="240"/>
      <c r="FS135" s="240"/>
      <c r="FT135" s="240"/>
      <c r="FU135" s="240"/>
      <c r="FV135" s="240"/>
      <c r="FW135" s="240"/>
      <c r="FX135" s="240"/>
      <c r="FY135" s="240"/>
      <c r="FZ135" s="240"/>
      <c r="GA135" s="240"/>
      <c r="GB135" s="240"/>
      <c r="GC135" s="240"/>
      <c r="GD135" s="240"/>
      <c r="GE135" s="240"/>
      <c r="GF135" s="240"/>
      <c r="GG135" s="240"/>
      <c r="GH135" s="240"/>
      <c r="GI135" s="240"/>
      <c r="GJ135" s="240"/>
      <c r="GK135" s="240"/>
      <c r="GL135" s="240"/>
      <c r="GM135" s="240"/>
      <c r="GN135" s="240"/>
      <c r="GO135" s="240"/>
      <c r="GP135" s="240"/>
      <c r="GQ135" s="240"/>
      <c r="GR135" s="240"/>
      <c r="GS135" s="240"/>
      <c r="GT135" s="240"/>
      <c r="GU135" s="240"/>
      <c r="GV135" s="240"/>
      <c r="GW135" s="240"/>
      <c r="GX135" s="240"/>
      <c r="GY135" s="240"/>
      <c r="GZ135" s="240"/>
      <c r="HA135" s="240"/>
      <c r="HB135" s="240"/>
      <c r="HC135" s="240"/>
      <c r="HD135" s="240"/>
      <c r="HE135" s="240"/>
      <c r="HF135" s="240"/>
      <c r="HG135" s="240"/>
      <c r="HH135" s="240"/>
      <c r="HI135" s="240"/>
      <c r="HJ135" s="240"/>
      <c r="HK135" s="240"/>
      <c r="HL135" s="240"/>
      <c r="HM135" s="240"/>
      <c r="HN135" s="240"/>
      <c r="HO135" s="240"/>
      <c r="HP135" s="240"/>
      <c r="HQ135" s="240"/>
      <c r="HR135" s="240"/>
      <c r="HS135" s="240"/>
      <c r="HT135" s="240"/>
      <c r="HU135" s="240"/>
      <c r="HV135" s="240"/>
      <c r="HW135" s="240"/>
      <c r="HX135" s="240"/>
      <c r="HY135" s="240"/>
      <c r="HZ135" s="240"/>
      <c r="IA135" s="240"/>
      <c r="IB135" s="240"/>
      <c r="IC135" s="240"/>
      <c r="ID135" s="240"/>
      <c r="IE135" s="240"/>
      <c r="IF135" s="240"/>
      <c r="IG135" s="240"/>
      <c r="IH135" s="240"/>
      <c r="II135" s="240"/>
      <c r="IJ135" s="240"/>
      <c r="IK135" s="240"/>
      <c r="IL135" s="240"/>
      <c r="IM135" s="240"/>
      <c r="IN135" s="240"/>
      <c r="IO135" s="240"/>
      <c r="IP135" s="240"/>
      <c r="IQ135" s="240"/>
      <c r="IR135" s="240"/>
      <c r="IS135" s="240"/>
      <c r="IT135" s="240"/>
      <c r="IU135" s="240"/>
      <c r="IV135" s="240"/>
      <c r="IW135" s="240"/>
    </row>
    <row r="136" customFormat="false" ht="12.75" hidden="false" customHeight="false" outlineLevel="0" collapsed="false">
      <c r="A136" s="175"/>
      <c r="B136" s="242"/>
      <c r="C136" s="239"/>
      <c r="D136" s="240"/>
      <c r="E136" s="241"/>
      <c r="F136" s="240"/>
      <c r="H136" s="240"/>
      <c r="I136" s="241"/>
      <c r="J136" s="240"/>
      <c r="K136" s="155" t="n">
        <f aca="false">SUM(K127:K135)</f>
        <v>647098</v>
      </c>
      <c r="L136" s="240"/>
      <c r="M136" s="155" t="n">
        <f aca="false">SUM(M127:M135)</f>
        <v>0</v>
      </c>
      <c r="N136" s="240"/>
      <c r="O136" s="155" t="n">
        <f aca="false">SUM(O127:O135)</f>
        <v>647098</v>
      </c>
      <c r="P136" s="240"/>
      <c r="Q136" s="155" t="n">
        <f aca="false">SUM(Q127:Q135)</f>
        <v>532310</v>
      </c>
      <c r="S136" s="155" t="n">
        <f aca="false">SUM(S127:S135)</f>
        <v>0</v>
      </c>
      <c r="U136" s="155" t="n">
        <f aca="false">SUM(U127:U135)</f>
        <v>0</v>
      </c>
      <c r="W136" s="155" t="n">
        <f aca="false">SUM(W127:W135)</f>
        <v>0</v>
      </c>
      <c r="Y136" s="155" t="n">
        <f aca="false">SUM(Y127:Y135)</f>
        <v>22050</v>
      </c>
      <c r="AA136" s="155" t="n">
        <f aca="false">SUM(AA127:AA135)</f>
        <v>0</v>
      </c>
      <c r="AB136" s="240"/>
      <c r="AC136" s="155" t="n">
        <f aca="false">SUM(AC127:AC135)</f>
        <v>3333.33</v>
      </c>
      <c r="AD136" s="240"/>
      <c r="AE136" s="155" t="n">
        <f aca="false">SUM(AE127:AE135)</f>
        <v>0</v>
      </c>
      <c r="AF136" s="24"/>
      <c r="AG136" s="155" t="n">
        <f aca="false">SUM(AG127:AG135)</f>
        <v>0</v>
      </c>
      <c r="AH136" s="24"/>
      <c r="AI136" s="155" t="n">
        <f aca="false">SUM(AI127:AI135)</f>
        <v>0</v>
      </c>
      <c r="AJ136" s="24"/>
      <c r="AK136" s="155" t="n">
        <f aca="false">SUM(AK127:AK135)</f>
        <v>0</v>
      </c>
      <c r="AL136" s="155"/>
      <c r="AM136" s="155" t="n">
        <f aca="false">SUM(AM127:AM135)</f>
        <v>0</v>
      </c>
      <c r="AN136" s="24"/>
      <c r="AO136" s="155" t="n">
        <f aca="false">SUM(AO127:AO135)</f>
        <v>0</v>
      </c>
      <c r="AP136" s="24"/>
      <c r="AQ136" s="155" t="n">
        <f aca="false">SUM(AQ127:AQ135)</f>
        <v>0</v>
      </c>
      <c r="AR136" s="240"/>
      <c r="AS136" s="155" t="n">
        <f aca="false">SUM(AS127:AS135)</f>
        <v>557693.33</v>
      </c>
      <c r="AT136" s="240"/>
      <c r="AU136" s="155" t="n">
        <f aca="false">SUM(AU127:AU135)</f>
        <v>-92750</v>
      </c>
      <c r="AV136" s="240"/>
      <c r="AW136" s="155" t="n">
        <f aca="false">SUM(AW127:AW135)</f>
        <v>0</v>
      </c>
      <c r="AX136" s="240"/>
      <c r="AY136" s="155" t="n">
        <f aca="false">SUM(AY127:AY135)</f>
        <v>557693.33</v>
      </c>
      <c r="AZ136" s="240"/>
      <c r="BA136" s="155" t="n">
        <f aca="false">O136-AS136-AW136</f>
        <v>89404.67</v>
      </c>
      <c r="BB136" s="240"/>
      <c r="BD136" s="240"/>
      <c r="BE136" s="240"/>
      <c r="BF136" s="240"/>
      <c r="BG136" s="240"/>
      <c r="BH136" s="240"/>
      <c r="BI136" s="240"/>
      <c r="BJ136" s="240"/>
      <c r="BK136" s="240"/>
      <c r="BL136" s="240"/>
      <c r="BM136" s="240"/>
      <c r="BN136" s="240"/>
      <c r="BO136" s="240"/>
      <c r="BP136" s="240"/>
      <c r="BQ136" s="240"/>
      <c r="BR136" s="240"/>
      <c r="BS136" s="240"/>
      <c r="BT136" s="240"/>
      <c r="BU136" s="240"/>
      <c r="BV136" s="240"/>
      <c r="BW136" s="240"/>
      <c r="BX136" s="240"/>
      <c r="BY136" s="240"/>
      <c r="BZ136" s="240"/>
      <c r="CA136" s="240"/>
      <c r="CB136" s="240"/>
      <c r="CC136" s="240"/>
      <c r="CD136" s="240"/>
      <c r="CE136" s="240"/>
      <c r="CF136" s="240"/>
      <c r="CG136" s="240"/>
      <c r="CH136" s="240"/>
      <c r="CI136" s="240"/>
      <c r="CJ136" s="240"/>
      <c r="CK136" s="240"/>
      <c r="CL136" s="240"/>
      <c r="CM136" s="240"/>
      <c r="CN136" s="240"/>
      <c r="CO136" s="240"/>
      <c r="CP136" s="240"/>
      <c r="CQ136" s="240"/>
      <c r="CR136" s="240"/>
      <c r="CS136" s="240"/>
      <c r="CT136" s="240"/>
      <c r="CU136" s="240"/>
      <c r="CV136" s="240"/>
      <c r="CW136" s="240"/>
      <c r="CX136" s="240"/>
      <c r="CY136" s="240"/>
      <c r="CZ136" s="240"/>
      <c r="DA136" s="240"/>
      <c r="DB136" s="240"/>
      <c r="DC136" s="240"/>
      <c r="DD136" s="240"/>
      <c r="DE136" s="240"/>
      <c r="DF136" s="240"/>
      <c r="DG136" s="240"/>
      <c r="DH136" s="240"/>
      <c r="DI136" s="240"/>
      <c r="DJ136" s="240"/>
      <c r="DK136" s="240"/>
      <c r="DL136" s="240"/>
      <c r="DM136" s="240"/>
      <c r="DN136" s="240"/>
      <c r="DO136" s="240"/>
      <c r="DP136" s="240"/>
      <c r="DQ136" s="240"/>
      <c r="DR136" s="240"/>
      <c r="DS136" s="240"/>
      <c r="DT136" s="240"/>
      <c r="DU136" s="240"/>
      <c r="DV136" s="240"/>
      <c r="DW136" s="240"/>
      <c r="DX136" s="240"/>
      <c r="DY136" s="240"/>
      <c r="DZ136" s="240"/>
      <c r="EA136" s="240"/>
      <c r="EB136" s="240"/>
      <c r="EC136" s="240"/>
      <c r="ED136" s="240"/>
      <c r="EE136" s="240"/>
      <c r="EF136" s="240"/>
      <c r="EG136" s="240"/>
      <c r="EH136" s="240"/>
      <c r="EI136" s="240"/>
      <c r="EJ136" s="240"/>
      <c r="EK136" s="240"/>
      <c r="EL136" s="240"/>
      <c r="EM136" s="240"/>
      <c r="EN136" s="240"/>
      <c r="EO136" s="240"/>
      <c r="EP136" s="240"/>
      <c r="EQ136" s="240"/>
      <c r="ER136" s="240"/>
      <c r="ES136" s="240"/>
      <c r="ET136" s="240"/>
      <c r="EU136" s="240"/>
      <c r="EV136" s="240"/>
      <c r="EW136" s="240"/>
      <c r="EX136" s="240"/>
      <c r="EY136" s="240"/>
      <c r="EZ136" s="240"/>
      <c r="FA136" s="240"/>
      <c r="FB136" s="240"/>
      <c r="FC136" s="240"/>
      <c r="FD136" s="240"/>
      <c r="FE136" s="240"/>
      <c r="FF136" s="240"/>
      <c r="FG136" s="240"/>
      <c r="FH136" s="240"/>
      <c r="FI136" s="240"/>
      <c r="FJ136" s="240"/>
      <c r="FK136" s="240"/>
      <c r="FL136" s="240"/>
      <c r="FM136" s="240"/>
      <c r="FN136" s="240"/>
      <c r="FO136" s="240"/>
      <c r="FP136" s="240"/>
      <c r="FQ136" s="240"/>
      <c r="FR136" s="240"/>
      <c r="FS136" s="240"/>
      <c r="FT136" s="240"/>
      <c r="FU136" s="240"/>
      <c r="FV136" s="240"/>
      <c r="FW136" s="240"/>
      <c r="FX136" s="240"/>
      <c r="FY136" s="240"/>
      <c r="FZ136" s="240"/>
      <c r="GA136" s="240"/>
      <c r="GB136" s="240"/>
      <c r="GC136" s="240"/>
      <c r="GD136" s="240"/>
      <c r="GE136" s="240"/>
      <c r="GF136" s="240"/>
      <c r="GG136" s="240"/>
      <c r="GH136" s="240"/>
      <c r="GI136" s="240"/>
      <c r="GJ136" s="240"/>
      <c r="GK136" s="240"/>
      <c r="GL136" s="240"/>
      <c r="GM136" s="240"/>
      <c r="GN136" s="240"/>
      <c r="GO136" s="240"/>
      <c r="GP136" s="240"/>
      <c r="GQ136" s="240"/>
      <c r="GR136" s="240"/>
      <c r="GS136" s="240"/>
      <c r="GT136" s="240"/>
      <c r="GU136" s="240"/>
      <c r="GV136" s="240"/>
      <c r="GW136" s="240"/>
      <c r="GX136" s="240"/>
      <c r="GY136" s="240"/>
      <c r="GZ136" s="240"/>
      <c r="HA136" s="240"/>
      <c r="HB136" s="240"/>
      <c r="HC136" s="240"/>
      <c r="HD136" s="240"/>
      <c r="HE136" s="240"/>
      <c r="HF136" s="240"/>
      <c r="HG136" s="240"/>
      <c r="HH136" s="240"/>
      <c r="HI136" s="240"/>
      <c r="HJ136" s="240"/>
      <c r="HK136" s="240"/>
      <c r="HL136" s="240"/>
      <c r="HM136" s="240"/>
      <c r="HN136" s="240"/>
      <c r="HO136" s="240"/>
      <c r="HP136" s="240"/>
      <c r="HQ136" s="240"/>
      <c r="HR136" s="240"/>
      <c r="HS136" s="240"/>
      <c r="HT136" s="240"/>
      <c r="HU136" s="240"/>
      <c r="HV136" s="240"/>
      <c r="HW136" s="240"/>
      <c r="HX136" s="240"/>
      <c r="HY136" s="240"/>
      <c r="HZ136" s="240"/>
      <c r="IA136" s="240"/>
      <c r="IB136" s="240"/>
      <c r="IC136" s="240"/>
      <c r="ID136" s="240"/>
      <c r="IE136" s="240"/>
      <c r="IF136" s="240"/>
      <c r="IG136" s="240"/>
      <c r="IH136" s="240"/>
      <c r="II136" s="240"/>
      <c r="IJ136" s="240"/>
      <c r="IK136" s="240"/>
      <c r="IL136" s="240"/>
      <c r="IM136" s="240"/>
      <c r="IN136" s="240"/>
      <c r="IO136" s="240"/>
      <c r="IP136" s="240"/>
      <c r="IQ136" s="240"/>
      <c r="IR136" s="240"/>
      <c r="IS136" s="240"/>
      <c r="IT136" s="240"/>
      <c r="IU136" s="240"/>
      <c r="IV136" s="240"/>
      <c r="IW136" s="240"/>
    </row>
    <row r="137" customFormat="false" ht="12.75" hidden="false" customHeight="false" outlineLevel="0" collapsed="false">
      <c r="A137" s="225"/>
      <c r="B137" s="132"/>
      <c r="C137" s="218"/>
      <c r="E137" s="94"/>
      <c r="K137" s="24"/>
      <c r="M137" s="24"/>
      <c r="O137" s="24"/>
      <c r="Q137" s="129"/>
      <c r="S137" s="129"/>
      <c r="U137" s="96"/>
      <c r="AY137" s="2"/>
      <c r="BA137" s="24"/>
    </row>
    <row r="138" customFormat="false" ht="12.75" hidden="false" customHeight="false" outlineLevel="0" collapsed="false">
      <c r="A138" s="152" t="s">
        <v>281</v>
      </c>
      <c r="B138" s="219"/>
      <c r="C138" s="218" t="s">
        <v>147</v>
      </c>
      <c r="E138" s="94" t="s">
        <v>169</v>
      </c>
      <c r="G138" s="94" t="s">
        <v>409</v>
      </c>
      <c r="I138" s="90"/>
      <c r="K138" s="237" t="n">
        <v>500000</v>
      </c>
      <c r="M138" s="24" t="n">
        <v>-300000</v>
      </c>
      <c r="O138" s="237" t="n">
        <f aca="false">SUM(K138:N138)</f>
        <v>200000</v>
      </c>
      <c r="Q138" s="96" t="n">
        <v>156576</v>
      </c>
      <c r="S138" s="96" t="n">
        <f aca="false">207085-156576</f>
        <v>50509</v>
      </c>
      <c r="U138" s="96"/>
      <c r="AC138" s="96" t="n">
        <v>29790.65</v>
      </c>
      <c r="AI138" s="157" t="n">
        <v>227</v>
      </c>
      <c r="AM138" s="157" t="n">
        <v>250</v>
      </c>
      <c r="AS138" s="95" t="n">
        <f aca="false">SUM(P138:AR138)</f>
        <v>237352.65</v>
      </c>
      <c r="AW138" s="95" t="n">
        <f aca="false">IF(+O138-AS138+AU138&gt;0,O138-AS138+AU138,0)</f>
        <v>0</v>
      </c>
      <c r="AY138" s="24" t="n">
        <f aca="false">+AW138+AS138</f>
        <v>237352.65</v>
      </c>
      <c r="BA138" s="136" t="n">
        <f aca="false">O138-AS138-AW138</f>
        <v>-37352.65</v>
      </c>
    </row>
    <row r="139" customFormat="false" ht="12.75" hidden="false" customHeight="false" outlineLevel="0" collapsed="false">
      <c r="A139" s="152"/>
      <c r="B139" s="219" t="s">
        <v>410</v>
      </c>
      <c r="C139" s="218"/>
      <c r="E139" s="94"/>
      <c r="G139" s="90"/>
      <c r="K139" s="237"/>
      <c r="M139" s="237"/>
      <c r="O139" s="237"/>
      <c r="U139" s="96"/>
      <c r="AC139" s="96"/>
      <c r="AI139" s="243"/>
      <c r="AJ139" s="243"/>
      <c r="AK139" s="243"/>
      <c r="AL139" s="243"/>
      <c r="AM139" s="243"/>
      <c r="AN139" s="243"/>
      <c r="AO139" s="243"/>
      <c r="AP139" s="243"/>
      <c r="AQ139" s="243"/>
      <c r="BA139" s="136"/>
    </row>
    <row r="140" customFormat="false" ht="12.75" hidden="false" customHeight="false" outlineLevel="0" collapsed="false">
      <c r="A140" s="225"/>
      <c r="B140" s="132"/>
      <c r="C140" s="218"/>
      <c r="E140" s="94"/>
      <c r="K140" s="24"/>
      <c r="M140" s="24"/>
      <c r="O140" s="24"/>
      <c r="Q140" s="129"/>
      <c r="S140" s="129"/>
      <c r="U140" s="96"/>
      <c r="BA140" s="24"/>
    </row>
    <row r="141" customFormat="false" ht="12.75" hidden="false" customHeight="false" outlineLevel="0" collapsed="false">
      <c r="A141" s="152" t="s">
        <v>290</v>
      </c>
      <c r="B141" s="219"/>
      <c r="C141" s="218" t="s">
        <v>147</v>
      </c>
      <c r="E141" s="94" t="s">
        <v>275</v>
      </c>
      <c r="G141" s="94" t="s">
        <v>291</v>
      </c>
      <c r="I141" s="90"/>
      <c r="K141" s="162" t="n">
        <v>981000</v>
      </c>
      <c r="M141" s="162"/>
      <c r="O141" s="162" t="n">
        <f aca="false">SUM(K141:N141)</f>
        <v>981000</v>
      </c>
      <c r="Q141" s="129" t="n">
        <v>738500</v>
      </c>
      <c r="S141" s="129"/>
      <c r="U141" s="96"/>
      <c r="W141" s="96" t="n">
        <v>242359</v>
      </c>
      <c r="AS141" s="95" t="n">
        <f aca="false">SUM(P141:AR141)</f>
        <v>980859</v>
      </c>
      <c r="AW141" s="95" t="n">
        <f aca="false">IF(+O141-AS141+AU141&gt;0,O141-AS141+AU141,0)</f>
        <v>141</v>
      </c>
      <c r="AY141" s="24" t="n">
        <f aca="false">+AW141+AS141</f>
        <v>981000</v>
      </c>
      <c r="BA141" s="136" t="n">
        <f aca="false">O141-AS141-AW141</f>
        <v>0</v>
      </c>
      <c r="BC141" s="90" t="s">
        <v>411</v>
      </c>
    </row>
    <row r="142" customFormat="false" ht="12.75" hidden="false" customHeight="false" outlineLevel="0" collapsed="false">
      <c r="A142" s="225"/>
      <c r="B142" s="132"/>
      <c r="C142" s="218"/>
      <c r="E142" s="94"/>
      <c r="K142" s="24"/>
      <c r="M142" s="24"/>
      <c r="O142" s="24"/>
      <c r="Q142" s="129"/>
      <c r="S142" s="129"/>
      <c r="U142" s="96"/>
      <c r="BA142" s="24"/>
    </row>
    <row r="143" customFormat="false" ht="12.75" hidden="false" customHeight="false" outlineLevel="0" collapsed="false">
      <c r="A143" s="152" t="s">
        <v>292</v>
      </c>
      <c r="B143" s="219"/>
      <c r="C143" s="218" t="s">
        <v>147</v>
      </c>
      <c r="E143" s="94" t="s">
        <v>275</v>
      </c>
      <c r="G143" s="94" t="s">
        <v>293</v>
      </c>
      <c r="I143" s="90"/>
      <c r="K143" s="24"/>
      <c r="M143" s="24"/>
      <c r="O143" s="24"/>
      <c r="Q143" s="129"/>
      <c r="S143" s="129"/>
      <c r="U143" s="96"/>
      <c r="BA143" s="24"/>
      <c r="BC143" s="90" t="s">
        <v>412</v>
      </c>
    </row>
    <row r="144" customFormat="false" ht="12.75" hidden="false" customHeight="false" outlineLevel="0" collapsed="false">
      <c r="A144" s="152"/>
      <c r="B144" s="219" t="s">
        <v>294</v>
      </c>
      <c r="C144" s="218"/>
      <c r="E144" s="94"/>
      <c r="K144" s="24" t="n">
        <v>2732526</v>
      </c>
      <c r="M144" s="24"/>
      <c r="O144" s="24" t="n">
        <f aca="false">SUM(K144:N144)</f>
        <v>2732526</v>
      </c>
      <c r="Q144" s="129"/>
      <c r="S144" s="129"/>
      <c r="U144" s="96" t="n">
        <v>110523.33</v>
      </c>
      <c r="AA144" s="96" t="n">
        <f aca="false">439769.85+866353.31+333535.21</f>
        <v>1639658.37</v>
      </c>
      <c r="AG144" s="96" t="n">
        <v>230833.55</v>
      </c>
      <c r="AH144" s="96"/>
      <c r="AI144" s="96" t="n">
        <f aca="false">863085.98+1820.2</f>
        <v>864906.18</v>
      </c>
      <c r="AJ144" s="96"/>
      <c r="AK144" s="96"/>
      <c r="AL144" s="96"/>
      <c r="AM144" s="96"/>
      <c r="AN144" s="96"/>
      <c r="AO144" s="96"/>
      <c r="AP144" s="96"/>
      <c r="AQ144" s="96"/>
      <c r="AS144" s="95" t="n">
        <f aca="false">SUM(P144:AR144)</f>
        <v>2845921.43</v>
      </c>
      <c r="AW144" s="95" t="n">
        <f aca="false">IF(+O144-AS144+AU144&gt;0,O144-AS144+AU144,0)</f>
        <v>0</v>
      </c>
      <c r="AY144" s="95" t="n">
        <f aca="false">+AW144+AS144</f>
        <v>2845921.43</v>
      </c>
      <c r="BA144" s="136" t="n">
        <f aca="false">O144-AS144-AW144</f>
        <v>-113395.43</v>
      </c>
    </row>
    <row r="145" customFormat="false" ht="12.75" hidden="false" customHeight="false" outlineLevel="0" collapsed="false">
      <c r="A145" s="152"/>
      <c r="B145" s="219" t="s">
        <v>295</v>
      </c>
      <c r="C145" s="218"/>
      <c r="E145" s="94"/>
      <c r="K145" s="24" t="n">
        <f aca="false">K144*0.216</f>
        <v>590225.616</v>
      </c>
      <c r="M145" s="24"/>
      <c r="O145" s="24" t="n">
        <f aca="false">SUM(K145:N145)</f>
        <v>590225.616</v>
      </c>
      <c r="Q145" s="129"/>
      <c r="S145" s="129"/>
      <c r="U145" s="96"/>
      <c r="AK145" s="96" t="n">
        <f aca="false">81237.74+65064.42</f>
        <v>146302.16</v>
      </c>
      <c r="AL145" s="96"/>
      <c r="AM145" s="96"/>
      <c r="AN145" s="96"/>
      <c r="AO145" s="96" t="n">
        <v>3217.84</v>
      </c>
      <c r="AP145" s="96"/>
      <c r="AQ145" s="96" t="n">
        <v>25992.82</v>
      </c>
      <c r="AS145" s="95" t="n">
        <f aca="false">SUM(P145:AR145)</f>
        <v>175512.82</v>
      </c>
      <c r="AW145" s="95" t="n">
        <f aca="false">IF(+O145-AS145+AU145&gt;0,O145-AS145+AU145,0)</f>
        <v>414712.796</v>
      </c>
      <c r="AY145" s="95" t="n">
        <f aca="false">+AW145+AS145</f>
        <v>590225.616</v>
      </c>
      <c r="BA145" s="136" t="n">
        <f aca="false">O145-AS145-AW145</f>
        <v>0</v>
      </c>
    </row>
    <row r="146" customFormat="false" ht="12.75" hidden="false" customHeight="false" outlineLevel="0" collapsed="false">
      <c r="A146" s="152"/>
      <c r="B146" s="219" t="s">
        <v>296</v>
      </c>
      <c r="C146" s="218"/>
      <c r="E146" s="94"/>
      <c r="K146" s="24" t="n">
        <v>0</v>
      </c>
      <c r="M146" s="24" t="n">
        <v>11826</v>
      </c>
      <c r="O146" s="24" t="n">
        <f aca="false">SUM(K146:N146)</f>
        <v>11826</v>
      </c>
      <c r="Q146" s="129"/>
      <c r="S146" s="129"/>
      <c r="U146" s="96"/>
      <c r="AA146" s="96" t="n">
        <v>11826</v>
      </c>
      <c r="AS146" s="95" t="n">
        <f aca="false">SUM(P146:AR146)</f>
        <v>11826</v>
      </c>
      <c r="AW146" s="95" t="n">
        <f aca="false">IF(+O146-AS146+AU146&gt;0,O146-AS146+AU146,0)</f>
        <v>0</v>
      </c>
      <c r="AY146" s="95" t="n">
        <f aca="false">+AW146+AS146</f>
        <v>11826</v>
      </c>
      <c r="BA146" s="136" t="n">
        <f aca="false">O146-AS146-AW146</f>
        <v>0</v>
      </c>
    </row>
    <row r="147" customFormat="false" ht="12.75" hidden="false" customHeight="false" outlineLevel="0" collapsed="false">
      <c r="A147" s="152"/>
      <c r="B147" s="219" t="s">
        <v>413</v>
      </c>
      <c r="C147" s="218"/>
      <c r="E147" s="94"/>
      <c r="K147" s="24" t="n">
        <v>0</v>
      </c>
      <c r="M147" s="24" t="n">
        <f aca="false">59956-11826</f>
        <v>48130</v>
      </c>
      <c r="O147" s="24" t="n">
        <f aca="false">SUM(K147:N147)</f>
        <v>48130</v>
      </c>
      <c r="Q147" s="129"/>
      <c r="S147" s="129"/>
      <c r="U147" s="96"/>
      <c r="AE147" s="96" t="n">
        <v>59846.83</v>
      </c>
      <c r="AF147" s="96"/>
      <c r="AG147" s="96"/>
      <c r="AH147" s="96"/>
      <c r="AI147" s="96"/>
      <c r="AJ147" s="96"/>
      <c r="AK147" s="96"/>
      <c r="AL147" s="96"/>
      <c r="AM147" s="96"/>
      <c r="AN147" s="96"/>
      <c r="AO147" s="96"/>
      <c r="AP147" s="96"/>
      <c r="AQ147" s="96"/>
      <c r="AS147" s="95" t="n">
        <f aca="false">SUM(P147:AR147)</f>
        <v>59846.83</v>
      </c>
      <c r="AW147" s="95" t="n">
        <f aca="false">IF(+O147-AS147+AU147&gt;0,O147-AS147+AU147,0)</f>
        <v>0</v>
      </c>
      <c r="AY147" s="95" t="n">
        <f aca="false">+AW147+AS147</f>
        <v>59846.83</v>
      </c>
      <c r="BA147" s="136" t="n">
        <f aca="false">O147-AS147-AW147</f>
        <v>-11716.83</v>
      </c>
    </row>
    <row r="148" customFormat="false" ht="12.75" hidden="false" customHeight="false" outlineLevel="0" collapsed="false">
      <c r="A148" s="152"/>
      <c r="B148" s="219"/>
      <c r="C148" s="218"/>
      <c r="E148" s="94"/>
      <c r="K148" s="155" t="n">
        <f aca="false">SUM(K144:K147)</f>
        <v>3322751.616</v>
      </c>
      <c r="M148" s="155" t="n">
        <f aca="false">SUM(M144:M147)</f>
        <v>59956</v>
      </c>
      <c r="O148" s="155" t="n">
        <f aca="false">SUM(O144:O147)</f>
        <v>3382707.616</v>
      </c>
      <c r="Q148" s="155" t="n">
        <f aca="false">SUM(Q144:Q147)</f>
        <v>0</v>
      </c>
      <c r="S148" s="155" t="n">
        <f aca="false">SUM(S144:S147)</f>
        <v>0</v>
      </c>
      <c r="U148" s="155" t="n">
        <f aca="false">SUM(U144:U147)</f>
        <v>110523.33</v>
      </c>
      <c r="W148" s="155" t="n">
        <f aca="false">SUM(W144:W147)</f>
        <v>0</v>
      </c>
      <c r="Y148" s="155" t="n">
        <f aca="false">SUM(Y144:Y147)</f>
        <v>0</v>
      </c>
      <c r="AA148" s="155" t="n">
        <f aca="false">SUM(AA144:AA147)</f>
        <v>1651484.37</v>
      </c>
      <c r="AC148" s="155" t="n">
        <f aca="false">SUM(AC144:AC147)</f>
        <v>0</v>
      </c>
      <c r="AE148" s="155" t="n">
        <f aca="false">SUM(AE144:AE147)</f>
        <v>59846.83</v>
      </c>
      <c r="AF148" s="24"/>
      <c r="AG148" s="155" t="n">
        <f aca="false">SUM(AG144:AG147)</f>
        <v>230833.55</v>
      </c>
      <c r="AH148" s="24"/>
      <c r="AI148" s="155" t="n">
        <f aca="false">SUM(AI144:AI147)</f>
        <v>864906.18</v>
      </c>
      <c r="AJ148" s="24"/>
      <c r="AK148" s="155" t="n">
        <f aca="false">SUM(AK144:AK147)</f>
        <v>146302.16</v>
      </c>
      <c r="AL148" s="155"/>
      <c r="AM148" s="155" t="n">
        <f aca="false">SUM(AM144:AM147)</f>
        <v>0</v>
      </c>
      <c r="AN148" s="24"/>
      <c r="AO148" s="155" t="n">
        <f aca="false">SUM(AO144:AO147)</f>
        <v>3217.84</v>
      </c>
      <c r="AP148" s="24"/>
      <c r="AQ148" s="155" t="n">
        <f aca="false">SUM(AQ144:AQ147)</f>
        <v>25992.82</v>
      </c>
      <c r="AS148" s="155" t="n">
        <f aca="false">SUM(AS144:AS147)</f>
        <v>3093107.08</v>
      </c>
      <c r="AU148" s="155" t="n">
        <f aca="false">SUM(AU144:AU147)</f>
        <v>0</v>
      </c>
      <c r="AW148" s="155" t="n">
        <f aca="false">SUM(AW144:AW147)</f>
        <v>414712.796</v>
      </c>
      <c r="AY148" s="155" t="n">
        <f aca="false">SUM(AY144:AY147)</f>
        <v>3507819.876</v>
      </c>
      <c r="BA148" s="155" t="n">
        <f aca="false">O148-AS148-AW148</f>
        <v>-125112.26</v>
      </c>
    </row>
    <row r="149" customFormat="false" ht="12.75" hidden="false" customHeight="false" outlineLevel="0" collapsed="false">
      <c r="A149" s="225"/>
      <c r="B149" s="132"/>
      <c r="C149" s="218"/>
      <c r="E149" s="94"/>
      <c r="K149" s="24"/>
      <c r="M149" s="24"/>
      <c r="O149" s="24"/>
      <c r="Q149" s="129"/>
      <c r="S149" s="129"/>
      <c r="U149" s="96"/>
      <c r="BA149" s="24"/>
    </row>
    <row r="150" customFormat="false" ht="12.75" hidden="false" customHeight="false" outlineLevel="0" collapsed="false">
      <c r="A150" s="152" t="s">
        <v>298</v>
      </c>
      <c r="B150" s="219"/>
      <c r="C150" s="218" t="s">
        <v>147</v>
      </c>
      <c r="E150" s="94" t="s">
        <v>299</v>
      </c>
      <c r="G150" s="94" t="s">
        <v>300</v>
      </c>
      <c r="K150" s="162" t="n">
        <v>905317</v>
      </c>
      <c r="M150" s="162"/>
      <c r="O150" s="162" t="n">
        <f aca="false">SUM(K150:N150)</f>
        <v>905317</v>
      </c>
      <c r="Q150" s="129"/>
      <c r="S150" s="129" t="n">
        <v>280627</v>
      </c>
      <c r="U150" s="96" t="n">
        <f aca="false">6432.91-50</f>
        <v>6382.91</v>
      </c>
      <c r="AG150" s="96" t="n">
        <f aca="false">78467.61+7500</f>
        <v>85967.61</v>
      </c>
      <c r="AH150" s="96"/>
      <c r="AI150" s="96"/>
      <c r="AJ150" s="96"/>
      <c r="AK150" s="96"/>
      <c r="AL150" s="96"/>
      <c r="AM150" s="96"/>
      <c r="AN150" s="96"/>
      <c r="AO150" s="96"/>
      <c r="AP150" s="96"/>
      <c r="AQ150" s="96"/>
      <c r="AS150" s="95" t="n">
        <f aca="false">SUM(P150:AR150)</f>
        <v>372977.52</v>
      </c>
      <c r="AU150" s="96" t="n">
        <f aca="false">-618307+100000</f>
        <v>-518307</v>
      </c>
      <c r="AW150" s="136" t="n">
        <f aca="false">IF(+O150-AS150+AU150&gt;0,O150-AS150+AU150,0)-287010</f>
        <v>-272977.52</v>
      </c>
      <c r="AY150" s="135" t="n">
        <f aca="false">+AW150+AS150</f>
        <v>99999.9999999999</v>
      </c>
      <c r="BA150" s="136" t="n">
        <f aca="false">O150-AS150-AW150</f>
        <v>805317</v>
      </c>
    </row>
    <row r="151" customFormat="false" ht="12.75" hidden="false" customHeight="false" outlineLevel="0" collapsed="false">
      <c r="A151" s="225"/>
      <c r="B151" s="132"/>
      <c r="C151" s="218"/>
      <c r="E151" s="94"/>
      <c r="K151" s="24"/>
      <c r="M151" s="24"/>
      <c r="O151" s="24"/>
      <c r="Q151" s="129"/>
      <c r="S151" s="129"/>
      <c r="U151" s="96"/>
      <c r="AG151" s="96"/>
      <c r="AH151" s="96"/>
      <c r="AI151" s="96"/>
      <c r="AJ151" s="96"/>
      <c r="AK151" s="96"/>
      <c r="AL151" s="96"/>
      <c r="AM151" s="96"/>
      <c r="AN151" s="96"/>
      <c r="AO151" s="96"/>
      <c r="AP151" s="96"/>
      <c r="AQ151" s="96"/>
      <c r="BA151" s="24"/>
    </row>
    <row r="152" customFormat="false" ht="12.75" hidden="false" customHeight="false" outlineLevel="0" collapsed="false">
      <c r="A152" s="152" t="s">
        <v>301</v>
      </c>
      <c r="B152" s="219"/>
      <c r="C152" s="218" t="s">
        <v>147</v>
      </c>
      <c r="E152" s="94" t="s">
        <v>275</v>
      </c>
      <c r="G152" s="94" t="s">
        <v>302</v>
      </c>
      <c r="K152" s="24" t="n">
        <v>128340</v>
      </c>
      <c r="M152" s="24" t="n">
        <v>38633</v>
      </c>
      <c r="O152" s="24" t="n">
        <f aca="false">SUM(K152:N152)</f>
        <v>166973</v>
      </c>
      <c r="Q152" s="129"/>
      <c r="S152" s="129"/>
      <c r="U152" s="96" t="n">
        <f aca="false">145042</f>
        <v>145042</v>
      </c>
      <c r="W152" s="96"/>
      <c r="AG152" s="96" t="n">
        <v>38633</v>
      </c>
      <c r="AH152" s="96"/>
      <c r="AI152" s="96"/>
      <c r="AJ152" s="96"/>
      <c r="AK152" s="96" t="n">
        <v>38633</v>
      </c>
      <c r="AL152" s="96"/>
      <c r="AM152" s="96"/>
      <c r="AN152" s="96"/>
      <c r="AO152" s="96"/>
      <c r="AP152" s="96"/>
      <c r="AQ152" s="96"/>
      <c r="AS152" s="95" t="n">
        <f aca="false">SUM(P152:AR152)</f>
        <v>222308</v>
      </c>
      <c r="AU152" s="96" t="n">
        <v>57950</v>
      </c>
      <c r="AW152" s="95" t="n">
        <f aca="false">IF(+O152-AS152+AU152&gt;0,O152-AS152+AU152,0)</f>
        <v>2615</v>
      </c>
      <c r="AY152" s="95" t="n">
        <f aca="false">+AW152+AS152</f>
        <v>224923</v>
      </c>
      <c r="BA152" s="136" t="n">
        <f aca="false">O152-AS152-AW152</f>
        <v>-57950</v>
      </c>
    </row>
    <row r="153" customFormat="false" ht="12.75" hidden="false" customHeight="false" outlineLevel="0" collapsed="false">
      <c r="A153" s="145"/>
      <c r="B153" s="219"/>
      <c r="C153" s="218"/>
      <c r="E153" s="94"/>
      <c r="K153" s="24"/>
      <c r="M153" s="24"/>
      <c r="O153" s="24"/>
      <c r="Q153" s="129"/>
      <c r="S153" s="129"/>
      <c r="U153" s="96"/>
      <c r="BA153" s="24"/>
      <c r="BC153" s="24"/>
    </row>
    <row r="154" customFormat="false" ht="12.75" hidden="false" customHeight="false" outlineLevel="0" collapsed="false">
      <c r="A154" s="152" t="s">
        <v>303</v>
      </c>
      <c r="B154" s="219"/>
      <c r="C154" s="218" t="s">
        <v>147</v>
      </c>
      <c r="E154" s="94" t="s">
        <v>304</v>
      </c>
      <c r="G154" s="94" t="s">
        <v>305</v>
      </c>
      <c r="K154" s="24" t="n">
        <v>113333</v>
      </c>
      <c r="M154" s="24"/>
      <c r="O154" s="24" t="n">
        <f aca="false">SUM(K154:N154)</f>
        <v>113333</v>
      </c>
      <c r="Q154" s="129"/>
      <c r="S154" s="129"/>
      <c r="U154" s="96"/>
      <c r="W154" s="96" t="n">
        <f aca="false">8735.19</f>
        <v>8735.19</v>
      </c>
      <c r="AA154" s="96" t="n">
        <v>5962.81</v>
      </c>
      <c r="AC154" s="96" t="n">
        <f aca="false">5519.04+1974.53+1094.54+812.57+6765.14+4370.6+1074.93+2084.27</f>
        <v>23695.62</v>
      </c>
      <c r="AE154" s="96" t="n">
        <f aca="false">5207.72+1162.33+2331.23+1018.02</f>
        <v>9719.3</v>
      </c>
      <c r="AF154" s="96"/>
      <c r="AG154" s="96" t="n">
        <v>5090.66</v>
      </c>
      <c r="AH154" s="96"/>
      <c r="AI154" s="96"/>
      <c r="AJ154" s="96"/>
      <c r="AK154" s="96"/>
      <c r="AL154" s="96"/>
      <c r="AM154" s="96"/>
      <c r="AN154" s="96"/>
      <c r="AO154" s="96"/>
      <c r="AP154" s="96"/>
      <c r="AQ154" s="96"/>
      <c r="AS154" s="95" t="n">
        <f aca="false">SUM(P154:AR154)</f>
        <v>53203.58</v>
      </c>
      <c r="AU154" s="96" t="n">
        <v>-25000</v>
      </c>
      <c r="AW154" s="95" t="n">
        <v>0</v>
      </c>
      <c r="AY154" s="95" t="n">
        <f aca="false">+AW154+AS154</f>
        <v>53203.58</v>
      </c>
      <c r="BA154" s="136" t="n">
        <f aca="false">O154-AS154-AW154</f>
        <v>60129.42</v>
      </c>
      <c r="BC154" s="24"/>
    </row>
    <row r="155" customFormat="false" ht="12.75" hidden="false" customHeight="false" outlineLevel="0" collapsed="false">
      <c r="A155" s="145"/>
      <c r="B155" s="219"/>
      <c r="C155" s="218"/>
      <c r="E155" s="94"/>
      <c r="K155" s="24"/>
      <c r="M155" s="24"/>
      <c r="O155" s="24"/>
      <c r="Q155" s="129"/>
      <c r="S155" s="129"/>
      <c r="U155" s="96"/>
      <c r="BA155" s="24"/>
      <c r="BC155" s="24"/>
    </row>
    <row r="156" customFormat="false" ht="12.75" hidden="false" customHeight="false" outlineLevel="0" collapsed="false">
      <c r="A156" s="152" t="s">
        <v>306</v>
      </c>
      <c r="B156" s="219"/>
      <c r="C156" s="218" t="s">
        <v>147</v>
      </c>
      <c r="E156" s="94" t="s">
        <v>304</v>
      </c>
      <c r="G156" s="94" t="s">
        <v>305</v>
      </c>
      <c r="K156" s="24" t="n">
        <v>6794524</v>
      </c>
      <c r="L156" s="90" t="n">
        <v>0</v>
      </c>
      <c r="M156" s="24" t="n">
        <f aca="false">4902263-6794524+4497-4997+215+6105+26-6761+977-26+7511-3805+305723-188481+2126-496840+148019-428224+452-452+13397-2+1-8486-94155+7381+81-2508+1076059+610-365-146416-847085-1462+161-67-1761-60520+322+778234-970-19591-1874-17127-1423378-326769</f>
        <v>-3622486</v>
      </c>
      <c r="O156" s="24" t="n">
        <f aca="false">SUM(K156:N156)</f>
        <v>3172038</v>
      </c>
      <c r="Q156" s="129" t="n">
        <f aca="false">229515+890324+444356+520463</f>
        <v>2084658</v>
      </c>
      <c r="S156" s="129" t="n">
        <f aca="false">-1075020+3412</f>
        <v>-1071608</v>
      </c>
      <c r="U156" s="96" t="n">
        <f aca="false">27457.01+315366.64</f>
        <v>342823.65</v>
      </c>
      <c r="W156" s="96" t="n">
        <f aca="false">321299.92</f>
        <v>321299.92</v>
      </c>
      <c r="Y156" s="96" t="n">
        <f aca="false">443917.85</f>
        <v>443917.85</v>
      </c>
      <c r="AA156" s="96" t="n">
        <v>528055.69</v>
      </c>
      <c r="AC156" s="96" t="n">
        <f aca="false">404338.17+144842-337837-325686+238860</f>
        <v>124517.17</v>
      </c>
      <c r="AE156" s="96" t="n">
        <f aca="false">85747+639396</f>
        <v>725143</v>
      </c>
      <c r="AG156" s="96" t="n">
        <v>684126</v>
      </c>
      <c r="AI156" s="96" t="n">
        <v>-684126</v>
      </c>
      <c r="AK156" s="96" t="n">
        <v>-326769</v>
      </c>
      <c r="AS156" s="95" t="n">
        <f aca="false">SUM(P156:AR156)</f>
        <v>3172038.28</v>
      </c>
      <c r="AU156" s="96" t="n">
        <v>0</v>
      </c>
      <c r="AW156" s="95" t="n">
        <f aca="false">IF(+O156-AS156+AU156&gt;0,O156-AS156+AU156,0)</f>
        <v>0</v>
      </c>
      <c r="AY156" s="95" t="n">
        <f aca="false">+AW156+AS156</f>
        <v>3172038.28</v>
      </c>
      <c r="BA156" s="136" t="n">
        <f aca="false">O156-AS156-AW156</f>
        <v>-0.279999999795109</v>
      </c>
      <c r="BB156" s="219"/>
      <c r="BC156" s="24"/>
    </row>
    <row r="157" customFormat="false" ht="12.75" hidden="false" customHeight="false" outlineLevel="0" collapsed="false">
      <c r="A157" s="152"/>
      <c r="B157" s="219" t="s">
        <v>307</v>
      </c>
      <c r="C157" s="218"/>
      <c r="E157" s="94"/>
      <c r="K157" s="24"/>
      <c r="M157" s="24" t="n">
        <v>-309104</v>
      </c>
      <c r="O157" s="24" t="n">
        <f aca="false">SUM(K157:N157)</f>
        <v>-309104</v>
      </c>
      <c r="Q157" s="129"/>
      <c r="S157" s="129"/>
      <c r="U157" s="96"/>
      <c r="W157" s="96"/>
      <c r="Y157" s="96" t="n">
        <v>-309104</v>
      </c>
      <c r="AA157" s="96" t="n">
        <f aca="false">49104+237690-404678</f>
        <v>-117884</v>
      </c>
      <c r="AS157" s="95" t="n">
        <f aca="false">SUM(P157:AR157)</f>
        <v>-426988</v>
      </c>
      <c r="AU157" s="96"/>
      <c r="AW157" s="95" t="n">
        <v>0</v>
      </c>
      <c r="AY157" s="95" t="n">
        <f aca="false">+AW157+AS157</f>
        <v>-426988</v>
      </c>
      <c r="BA157" s="136" t="n">
        <f aca="false">O157-AS157-AW157</f>
        <v>117884</v>
      </c>
      <c r="BB157" s="219"/>
      <c r="BC157" s="24"/>
    </row>
    <row r="158" customFormat="false" ht="12.75" hidden="false" customHeight="false" outlineLevel="0" collapsed="false">
      <c r="A158" s="152" t="s">
        <v>308</v>
      </c>
      <c r="B158" s="219"/>
      <c r="C158" s="218"/>
      <c r="E158" s="94"/>
      <c r="K158" s="24"/>
      <c r="M158" s="24" t="n">
        <f aca="false">50562-113+126-6-154-1+171-25+1-193+98-248+1565-50-11475</f>
        <v>40258</v>
      </c>
      <c r="O158" s="24" t="n">
        <f aca="false">SUM(K158:N158)</f>
        <v>40258</v>
      </c>
      <c r="Q158" s="129"/>
      <c r="S158" s="129"/>
      <c r="U158" s="96" t="n">
        <v>11785.19</v>
      </c>
      <c r="W158" s="96" t="n">
        <v>10279.42</v>
      </c>
      <c r="Y158" s="96" t="n">
        <v>6207.4</v>
      </c>
      <c r="AA158" s="96" t="n">
        <v>6088.63</v>
      </c>
      <c r="AC158" s="96" t="n">
        <v>5896.87</v>
      </c>
      <c r="AS158" s="95" t="n">
        <f aca="false">SUM(P158:AR158)</f>
        <v>40257.51</v>
      </c>
      <c r="AU158" s="96"/>
      <c r="AW158" s="95" t="n">
        <f aca="false">IF(+O158-AS158+AU158&gt;0,O158-AS158+AU158,0)</f>
        <v>0.489999999997963</v>
      </c>
      <c r="AY158" s="95" t="n">
        <f aca="false">+AW158+AS158</f>
        <v>40258</v>
      </c>
      <c r="BA158" s="136" t="n">
        <f aca="false">O158-AS158-AW158</f>
        <v>0</v>
      </c>
      <c r="BB158" s="219"/>
      <c r="BC158" s="24"/>
    </row>
    <row r="159" customFormat="false" ht="12.75" hidden="false" customHeight="false" outlineLevel="0" collapsed="false">
      <c r="A159" s="152" t="s">
        <v>309</v>
      </c>
      <c r="B159" s="219"/>
      <c r="C159" s="218"/>
      <c r="E159" s="94"/>
      <c r="K159" s="24"/>
      <c r="M159" s="24" t="n">
        <f aca="false">5266+1+1+2666-5268-13066</f>
        <v>-10400</v>
      </c>
      <c r="O159" s="24" t="n">
        <f aca="false">SUM(K159:N159)</f>
        <v>-10400</v>
      </c>
      <c r="Q159" s="129"/>
      <c r="S159" s="129"/>
      <c r="U159" s="96"/>
      <c r="W159" s="96"/>
      <c r="Y159" s="96" t="n">
        <f aca="false">-5266.51+1</f>
        <v>-5265.51</v>
      </c>
      <c r="AA159" s="96" t="n">
        <f aca="false">10532.98+1+2666</f>
        <v>13199.98</v>
      </c>
      <c r="AC159" s="96" t="n">
        <v>-18333.94</v>
      </c>
      <c r="AS159" s="95" t="n">
        <f aca="false">SUM(P159:AR159)</f>
        <v>-10399.47</v>
      </c>
      <c r="AU159" s="96"/>
      <c r="AW159" s="95" t="n">
        <f aca="false">IF(+O159-AS159+AU159&gt;0,O159-AS159+AU159,0)</f>
        <v>0</v>
      </c>
      <c r="AY159" s="95" t="n">
        <f aca="false">+AW159+AS159</f>
        <v>-10399.47</v>
      </c>
      <c r="BA159" s="136" t="n">
        <f aca="false">O159-AS159-AW159</f>
        <v>-0.530000000000655</v>
      </c>
      <c r="BB159" s="219"/>
      <c r="BC159" s="24"/>
    </row>
    <row r="160" customFormat="false" ht="12.75" hidden="false" customHeight="false" outlineLevel="0" collapsed="false">
      <c r="A160" s="152"/>
      <c r="B160" s="219"/>
      <c r="C160" s="218"/>
      <c r="E160" s="94"/>
      <c r="K160" s="24"/>
      <c r="M160" s="24"/>
      <c r="O160" s="24"/>
      <c r="Q160" s="129"/>
      <c r="S160" s="129"/>
      <c r="U160" s="96"/>
      <c r="W160" s="96"/>
      <c r="Y160" s="96"/>
      <c r="AS160" s="95"/>
      <c r="AU160" s="96"/>
      <c r="AW160" s="95"/>
      <c r="AY160" s="95"/>
      <c r="BA160" s="136"/>
      <c r="BB160" s="219"/>
      <c r="BC160" s="24"/>
    </row>
    <row r="161" customFormat="false" ht="12.75" hidden="false" customHeight="false" outlineLevel="0" collapsed="false">
      <c r="A161" s="225"/>
      <c r="B161" s="165" t="s">
        <v>310</v>
      </c>
      <c r="C161" s="218"/>
      <c r="E161" s="94"/>
      <c r="K161" s="155" t="n">
        <f aca="false">SUM(K121:K156)+K119-K148-K136-K123</f>
        <v>150733726.616</v>
      </c>
      <c r="M161" s="155" t="n">
        <f aca="false">SUM(M121:M159)+M119-M148-M136-M123</f>
        <v>-4529276</v>
      </c>
      <c r="O161" s="155" t="n">
        <f aca="false">SUM(O121:O159)+O119-O148-O136-O123</f>
        <v>146204450.616</v>
      </c>
      <c r="Q161" s="155" t="n">
        <f aca="false">SUM(Q121:Q159)+Q119-Q148-Q136-Q123</f>
        <v>42832620.48</v>
      </c>
      <c r="S161" s="155" t="n">
        <f aca="false">SUM(S121:S159)+S119-S148-S136-S123</f>
        <v>-378734.6</v>
      </c>
      <c r="U161" s="155" t="n">
        <f aca="false">SUM(U121:U159)+U119-U148-U136-U123</f>
        <v>12382861.02</v>
      </c>
      <c r="W161" s="155" t="n">
        <f aca="false">SUM(W121:W159)+W119-W148-W136-W123</f>
        <v>8251979.45</v>
      </c>
      <c r="Y161" s="155" t="n">
        <f aca="false">SUM(Y121:Y159)+Y119-Y148-Y136-Y123</f>
        <v>14930662.03</v>
      </c>
      <c r="AA161" s="155" t="n">
        <f aca="false">SUM(AA121:AA159)+AA119-AA148-AA136-AA123</f>
        <v>16477329.54</v>
      </c>
      <c r="AC161" s="155" t="n">
        <f aca="false">SUM(AC121:AC159)+AC119-AC148-AC136-AC123</f>
        <v>19738655.6</v>
      </c>
      <c r="AD161" s="155" t="n">
        <f aca="false">SUM(AD121:AD159)+AD119-AD148-AD136-AD123</f>
        <v>0</v>
      </c>
      <c r="AE161" s="155" t="n">
        <f aca="false">SUM(AE121:AE159)+AE119-AE148-AE136-AE123</f>
        <v>4722278.21</v>
      </c>
      <c r="AF161" s="24"/>
      <c r="AG161" s="155" t="n">
        <f aca="false">SUM(AG121:AG159)+AG119-AG148-AG136-AG123</f>
        <v>10613089.23</v>
      </c>
      <c r="AH161" s="24"/>
      <c r="AI161" s="155" t="n">
        <f aca="false">SUM(AI121:AI159)+AI119-AI148-AI136-AI123</f>
        <v>8340155.27</v>
      </c>
      <c r="AJ161" s="24"/>
      <c r="AK161" s="155" t="n">
        <f aca="false">SUM(AK121:AK159)+AK119-AK148-AK136-AK123</f>
        <v>3821535.44</v>
      </c>
      <c r="AL161" s="155"/>
      <c r="AM161" s="155" t="n">
        <f aca="false">SUM(AM121:AM159)+AM119-AM148-AM136-AM123</f>
        <v>1207741.91</v>
      </c>
      <c r="AN161" s="24"/>
      <c r="AO161" s="155" t="n">
        <f aca="false">SUM(AO121:AO159)+AO119-AO148-AO136-AO123</f>
        <v>5829605.19</v>
      </c>
      <c r="AP161" s="24"/>
      <c r="AQ161" s="155" t="n">
        <f aca="false">SUM(AQ121:AQ159)+AQ119-AQ148-AQ136-AQ123</f>
        <v>27417.2</v>
      </c>
      <c r="AS161" s="155" t="n">
        <f aca="false">SUM(AS121:AS159)+AS119-AS148-AS136-AS123</f>
        <v>148797195.97</v>
      </c>
      <c r="AU161" s="155" t="n">
        <f aca="false">SUM(AU121:AU159)+AU119-AU148-AU136-AU123</f>
        <v>3641444.33</v>
      </c>
      <c r="AW161" s="155" t="n">
        <f aca="false">SUM(AW121:AW159)+AW119-AW148-AW136-AW123</f>
        <v>1069187.596</v>
      </c>
      <c r="AY161" s="155" t="n">
        <f aca="false">SUM(AY121:AY159)+AY119-AY148-AY136-AY123</f>
        <v>149866383.566</v>
      </c>
      <c r="BA161" s="155" t="n">
        <f aca="false">SUM(BA121:BA159)+BA119-BA148-BA136-BA123</f>
        <v>-3661932.95</v>
      </c>
      <c r="BB161" s="219"/>
      <c r="BC161" s="24"/>
    </row>
    <row r="162" customFormat="false" ht="12.75" hidden="false" customHeight="false" outlineLevel="0" collapsed="false">
      <c r="A162" s="225"/>
      <c r="B162" s="127"/>
      <c r="C162" s="218"/>
      <c r="E162" s="94"/>
      <c r="K162" s="24"/>
      <c r="M162" s="24"/>
      <c r="O162" s="24"/>
      <c r="Q162" s="129"/>
      <c r="S162" s="129"/>
      <c r="U162" s="96"/>
      <c r="BA162" s="24"/>
      <c r="BB162" s="219"/>
    </row>
    <row r="163" customFormat="false" ht="12.75" hidden="false" customHeight="false" outlineLevel="0" collapsed="false">
      <c r="A163" s="152" t="s">
        <v>311</v>
      </c>
      <c r="B163" s="127"/>
      <c r="C163" s="218" t="s">
        <v>147</v>
      </c>
      <c r="E163" s="94" t="s">
        <v>312</v>
      </c>
      <c r="G163" s="94" t="s">
        <v>414</v>
      </c>
      <c r="K163" s="24" t="n">
        <v>1500000</v>
      </c>
      <c r="M163" s="24" t="n">
        <v>-500000</v>
      </c>
      <c r="O163" s="24" t="n">
        <f aca="false">SUM(K163:M163)</f>
        <v>1000000</v>
      </c>
      <c r="Q163" s="129"/>
      <c r="S163" s="129" t="n">
        <v>0</v>
      </c>
      <c r="U163" s="96" t="n">
        <v>937500</v>
      </c>
      <c r="W163" s="96"/>
      <c r="AC163" s="96" t="n">
        <f aca="false">2741.26+80592.07</f>
        <v>83333.33</v>
      </c>
      <c r="AS163" s="95" t="n">
        <f aca="false">SUM(P163:AR163)</f>
        <v>1020833.33</v>
      </c>
      <c r="AU163" s="96" t="n">
        <v>-62500</v>
      </c>
      <c r="AW163" s="95" t="n">
        <f aca="false">IF(+O163-AS163+AU163&gt;0,O163-AS163+AU163,0)</f>
        <v>0</v>
      </c>
      <c r="AY163" s="95" t="n">
        <f aca="false">+AW163+AS163</f>
        <v>1020833.33</v>
      </c>
      <c r="BA163" s="136" t="n">
        <f aca="false">O163-AS163-AW163</f>
        <v>-20833.33</v>
      </c>
    </row>
    <row r="164" customFormat="false" ht="12.75" hidden="false" customHeight="false" outlineLevel="0" collapsed="false">
      <c r="A164" s="152"/>
      <c r="B164" s="219" t="s">
        <v>314</v>
      </c>
      <c r="C164" s="218"/>
      <c r="E164" s="94"/>
      <c r="K164" s="24"/>
      <c r="M164" s="24"/>
      <c r="O164" s="24"/>
      <c r="R164" s="244"/>
      <c r="S164" s="96" t="n">
        <f aca="false">167937.5/3</f>
        <v>55979.1666666667</v>
      </c>
      <c r="T164" s="244"/>
      <c r="U164" s="129"/>
      <c r="V164" s="129"/>
      <c r="W164" s="129"/>
      <c r="X164" s="129"/>
      <c r="Y164" s="129"/>
      <c r="Z164" s="129"/>
      <c r="AA164" s="129"/>
      <c r="AB164" s="24"/>
      <c r="AC164" s="129"/>
      <c r="AD164" s="24"/>
      <c r="AE164" s="129"/>
      <c r="AF164" s="129"/>
      <c r="AG164" s="129"/>
      <c r="AH164" s="129"/>
      <c r="AI164" s="129"/>
      <c r="AJ164" s="129"/>
      <c r="AK164" s="129"/>
      <c r="AL164" s="129"/>
      <c r="AM164" s="129"/>
      <c r="AN164" s="129"/>
      <c r="AO164" s="129"/>
      <c r="AP164" s="129"/>
      <c r="AQ164" s="129"/>
      <c r="AR164" s="24"/>
      <c r="AS164" s="95" t="n">
        <f aca="false">SUM(P164:AR164)</f>
        <v>55979.1666666667</v>
      </c>
      <c r="AT164" s="24"/>
      <c r="AU164" s="129" t="n">
        <v>0</v>
      </c>
      <c r="AV164" s="24"/>
      <c r="AW164" s="95" t="n">
        <f aca="false">IF(+O164-AS164+AU164&gt;0,O164-AS164+AU164,0)</f>
        <v>0</v>
      </c>
      <c r="AX164" s="136"/>
      <c r="AY164" s="95" t="n">
        <f aca="false">+AW164+AS164</f>
        <v>55979.1666666667</v>
      </c>
      <c r="AZ164" s="136"/>
      <c r="BA164" s="136" t="n">
        <f aca="false">O164-AS164-AW164</f>
        <v>-55979.1666666667</v>
      </c>
      <c r="BB164" s="24"/>
      <c r="BC164" s="95"/>
    </row>
    <row r="165" customFormat="false" ht="12.75" hidden="false" customHeight="false" outlineLevel="0" collapsed="false">
      <c r="A165" s="152"/>
      <c r="B165" s="219" t="s">
        <v>315</v>
      </c>
      <c r="C165" s="218"/>
      <c r="E165" s="94"/>
      <c r="K165" s="24"/>
      <c r="M165" s="24"/>
      <c r="O165" s="24"/>
      <c r="R165" s="244"/>
      <c r="S165" s="96" t="n">
        <f aca="false">7600/3</f>
        <v>2533.33333333333</v>
      </c>
      <c r="T165" s="244"/>
      <c r="U165" s="129"/>
      <c r="V165" s="129"/>
      <c r="W165" s="129"/>
      <c r="X165" s="129"/>
      <c r="Y165" s="129"/>
      <c r="Z165" s="129"/>
      <c r="AA165" s="129"/>
      <c r="AB165" s="24"/>
      <c r="AC165" s="129"/>
      <c r="AD165" s="24"/>
      <c r="AE165" s="129"/>
      <c r="AF165" s="129"/>
      <c r="AG165" s="129"/>
      <c r="AH165" s="129"/>
      <c r="AI165" s="129"/>
      <c r="AJ165" s="129"/>
      <c r="AK165" s="129"/>
      <c r="AL165" s="129"/>
      <c r="AM165" s="129"/>
      <c r="AN165" s="129"/>
      <c r="AO165" s="129" t="n">
        <v>83333.33</v>
      </c>
      <c r="AP165" s="129"/>
      <c r="AQ165" s="129"/>
      <c r="AR165" s="24"/>
      <c r="AS165" s="95" t="n">
        <f aca="false">SUM(P165:AR165)</f>
        <v>85866.6633333333</v>
      </c>
      <c r="AT165" s="24"/>
      <c r="AU165" s="96" t="n">
        <v>352817</v>
      </c>
      <c r="AV165" s="24"/>
      <c r="AW165" s="95" t="n">
        <v>0</v>
      </c>
      <c r="AX165" s="136"/>
      <c r="AY165" s="95" t="n">
        <f aca="false">+AW165+AS165</f>
        <v>85866.6633333333</v>
      </c>
      <c r="AZ165" s="136"/>
      <c r="BA165" s="136" t="n">
        <f aca="false">O165-AS165-AW165</f>
        <v>-85866.6633333333</v>
      </c>
      <c r="BB165" s="24"/>
    </row>
    <row r="166" customFormat="false" ht="12.75" hidden="false" customHeight="false" outlineLevel="0" collapsed="false">
      <c r="A166" s="152"/>
      <c r="B166" s="219" t="s">
        <v>316</v>
      </c>
      <c r="C166" s="218"/>
      <c r="E166" s="94"/>
      <c r="K166" s="24"/>
      <c r="M166" s="24"/>
      <c r="O166" s="24"/>
      <c r="R166" s="244"/>
      <c r="S166" s="96" t="n">
        <f aca="false">10000/3</f>
        <v>3333.33333333333</v>
      </c>
      <c r="T166" s="244"/>
      <c r="U166" s="129"/>
      <c r="V166" s="129"/>
      <c r="W166" s="129"/>
      <c r="X166" s="129"/>
      <c r="Y166" s="129"/>
      <c r="Z166" s="129"/>
      <c r="AA166" s="129"/>
      <c r="AB166" s="24"/>
      <c r="AC166" s="129"/>
      <c r="AD166" s="24"/>
      <c r="AE166" s="129"/>
      <c r="AF166" s="129"/>
      <c r="AG166" s="129"/>
      <c r="AH166" s="129"/>
      <c r="AI166" s="129"/>
      <c r="AJ166" s="129"/>
      <c r="AK166" s="129"/>
      <c r="AL166" s="129"/>
      <c r="AM166" s="129"/>
      <c r="AN166" s="129"/>
      <c r="AO166" s="129"/>
      <c r="AP166" s="129"/>
      <c r="AQ166" s="129"/>
      <c r="AR166" s="24"/>
      <c r="AS166" s="95" t="n">
        <f aca="false">SUM(P166:AR166)</f>
        <v>3333.33333333333</v>
      </c>
      <c r="AT166" s="24"/>
      <c r="AU166" s="96"/>
      <c r="AV166" s="24"/>
      <c r="AW166" s="95" t="n">
        <f aca="false">IF(+O166-AS166+AU166&gt;0,O166-AS166+AU166,0)</f>
        <v>0</v>
      </c>
      <c r="AX166" s="136"/>
      <c r="AY166" s="95" t="n">
        <f aca="false">+AW166+AS166</f>
        <v>3333.33333333333</v>
      </c>
      <c r="AZ166" s="136"/>
      <c r="BA166" s="136" t="n">
        <f aca="false">O166-AS166-AW166</f>
        <v>-3333.33333333333</v>
      </c>
      <c r="BB166" s="24"/>
    </row>
    <row r="167" customFormat="false" ht="12.75" hidden="false" customHeight="false" outlineLevel="0" collapsed="false">
      <c r="A167" s="152"/>
      <c r="B167" s="219" t="s">
        <v>415</v>
      </c>
      <c r="C167" s="218"/>
      <c r="E167" s="94"/>
      <c r="K167" s="24"/>
      <c r="M167" s="24"/>
      <c r="O167" s="24"/>
      <c r="R167" s="244"/>
      <c r="S167" s="96" t="n">
        <v>0</v>
      </c>
      <c r="T167" s="244"/>
      <c r="U167" s="129"/>
      <c r="V167" s="129"/>
      <c r="W167" s="129"/>
      <c r="X167" s="129"/>
      <c r="Y167" s="129"/>
      <c r="Z167" s="129"/>
      <c r="AA167" s="129"/>
      <c r="AB167" s="24"/>
      <c r="AC167" s="129"/>
      <c r="AD167" s="24"/>
      <c r="AE167" s="129"/>
      <c r="AF167" s="129"/>
      <c r="AG167" s="96"/>
      <c r="AH167" s="96"/>
      <c r="AI167" s="96"/>
      <c r="AJ167" s="96"/>
      <c r="AK167" s="96"/>
      <c r="AL167" s="96"/>
      <c r="AM167" s="96"/>
      <c r="AN167" s="96"/>
      <c r="AO167" s="96"/>
      <c r="AP167" s="96"/>
      <c r="AQ167" s="96"/>
      <c r="AR167" s="24"/>
      <c r="AS167" s="95" t="n">
        <f aca="false">SUM(P167:AR167)</f>
        <v>0</v>
      </c>
      <c r="AT167" s="24"/>
      <c r="AU167" s="96"/>
      <c r="AV167" s="24"/>
      <c r="AW167" s="95" t="n">
        <f aca="false">IF(+O167-AS167+AU167&gt;0,O167-AS167+AU167,0)</f>
        <v>0</v>
      </c>
      <c r="AX167" s="136"/>
      <c r="AY167" s="95" t="n">
        <f aca="false">+AW167+AS167</f>
        <v>0</v>
      </c>
      <c r="AZ167" s="136"/>
      <c r="BA167" s="136" t="n">
        <f aca="false">O167-AS167-AW167</f>
        <v>0</v>
      </c>
      <c r="BB167" s="24"/>
    </row>
    <row r="168" customFormat="false" ht="12.75" hidden="false" customHeight="false" outlineLevel="0" collapsed="false">
      <c r="A168" s="152"/>
      <c r="B168" s="219" t="s">
        <v>416</v>
      </c>
      <c r="C168" s="218"/>
      <c r="E168" s="94"/>
      <c r="K168" s="24"/>
      <c r="M168" s="24"/>
      <c r="O168" s="24"/>
      <c r="Q168" s="139"/>
      <c r="R168" s="244"/>
      <c r="S168" s="139" t="n">
        <f aca="false">(12620.33+7000)/3</f>
        <v>6540.11</v>
      </c>
      <c r="T168" s="244"/>
      <c r="U168" s="129" t="n">
        <v>4787.55</v>
      </c>
      <c r="V168" s="129"/>
      <c r="W168" s="129"/>
      <c r="X168" s="129"/>
      <c r="Y168" s="129"/>
      <c r="Z168" s="129"/>
      <c r="AA168" s="129"/>
      <c r="AB168" s="24"/>
      <c r="AC168" s="129"/>
      <c r="AD168" s="24"/>
      <c r="AE168" s="129"/>
      <c r="AF168" s="129"/>
      <c r="AG168" s="96"/>
      <c r="AH168" s="96"/>
      <c r="AI168" s="96"/>
      <c r="AJ168" s="96"/>
      <c r="AK168" s="96"/>
      <c r="AL168" s="96"/>
      <c r="AM168" s="96"/>
      <c r="AN168" s="96"/>
      <c r="AO168" s="96"/>
      <c r="AP168" s="96"/>
      <c r="AQ168" s="96" t="n">
        <f aca="false">82333.33+25346.23</f>
        <v>107679.56</v>
      </c>
      <c r="AR168" s="24"/>
      <c r="AS168" s="95" t="n">
        <f aca="false">SUM(P168:AR168)</f>
        <v>119007.22</v>
      </c>
      <c r="AT168" s="24"/>
      <c r="AU168" s="96" t="n">
        <f aca="false">25000+4207+4787</f>
        <v>33994</v>
      </c>
      <c r="AV168" s="24"/>
      <c r="AW168" s="95" t="n">
        <v>0</v>
      </c>
      <c r="AX168" s="136"/>
      <c r="AY168" s="95" t="n">
        <f aca="false">+AW168+AS168</f>
        <v>119007.22</v>
      </c>
      <c r="AZ168" s="136"/>
      <c r="BA168" s="141" t="n">
        <f aca="false">O168-AS168-AW168</f>
        <v>-119007.22</v>
      </c>
      <c r="BC168" s="95" t="s">
        <v>417</v>
      </c>
    </row>
    <row r="169" customFormat="false" ht="12.75" hidden="false" customHeight="false" outlineLevel="0" collapsed="false">
      <c r="A169" s="152"/>
      <c r="B169" s="127"/>
      <c r="C169" s="218"/>
      <c r="E169" s="94"/>
      <c r="K169" s="182" t="n">
        <f aca="false">SUBTOTAL(9,K163:K168)</f>
        <v>1500000</v>
      </c>
      <c r="M169" s="182" t="n">
        <f aca="false">SUBTOTAL(9,M163:M168)</f>
        <v>-500000</v>
      </c>
      <c r="O169" s="182" t="n">
        <f aca="false">SUBTOTAL(9,O163:O168)</f>
        <v>1000000</v>
      </c>
      <c r="Q169" s="96" t="n">
        <f aca="false">SUBTOTAL(9,Q163:Q168)</f>
        <v>0</v>
      </c>
      <c r="R169" s="244"/>
      <c r="S169" s="96" t="n">
        <f aca="false">SUBTOTAL(9,S163:S168)</f>
        <v>68385.9433333333</v>
      </c>
      <c r="T169" s="244"/>
      <c r="U169" s="182" t="n">
        <f aca="false">SUBTOTAL(9,U163:U168)</f>
        <v>942287.55</v>
      </c>
      <c r="V169" s="129"/>
      <c r="W169" s="182" t="n">
        <f aca="false">SUBTOTAL(9,W163:W168)</f>
        <v>0</v>
      </c>
      <c r="X169" s="129"/>
      <c r="Y169" s="182" t="n">
        <f aca="false">SUBTOTAL(9,Y163:Y168)</f>
        <v>0</v>
      </c>
      <c r="Z169" s="129"/>
      <c r="AA169" s="182" t="n">
        <f aca="false">SUBTOTAL(9,AA163:AA168)</f>
        <v>0</v>
      </c>
      <c r="AB169" s="24"/>
      <c r="AC169" s="182" t="n">
        <f aca="false">SUBTOTAL(9,AC163:AC168)</f>
        <v>83333.33</v>
      </c>
      <c r="AD169" s="24"/>
      <c r="AE169" s="182" t="n">
        <f aca="false">SUBTOTAL(9,AE163:AE168)</f>
        <v>0</v>
      </c>
      <c r="AF169" s="96"/>
      <c r="AG169" s="154" t="n">
        <f aca="false">SUBTOTAL(9,AG163:AG168)</f>
        <v>0</v>
      </c>
      <c r="AH169" s="129"/>
      <c r="AI169" s="154" t="n">
        <f aca="false">SUBTOTAL(9,AI163:AI168)</f>
        <v>0</v>
      </c>
      <c r="AJ169" s="129"/>
      <c r="AK169" s="154" t="n">
        <f aca="false">SUBTOTAL(9,AK163:AK168)</f>
        <v>0</v>
      </c>
      <c r="AL169" s="154"/>
      <c r="AM169" s="154" t="n">
        <f aca="false">SUBTOTAL(9,AM163:AM168)</f>
        <v>0</v>
      </c>
      <c r="AN169" s="129"/>
      <c r="AO169" s="154" t="n">
        <f aca="false">SUBTOTAL(9,AO163:AO168)</f>
        <v>83333.33</v>
      </c>
      <c r="AP169" s="129"/>
      <c r="AQ169" s="154" t="n">
        <f aca="false">SUBTOTAL(9,AQ163:AQ168)</f>
        <v>107679.56</v>
      </c>
      <c r="AR169" s="24"/>
      <c r="AS169" s="181" t="n">
        <f aca="false">SUBTOTAL(9,AS163:AS168)</f>
        <v>1285019.71333333</v>
      </c>
      <c r="AT169" s="24"/>
      <c r="AU169" s="182" t="n">
        <f aca="false">SUBTOTAL(9,AU163:AU168)</f>
        <v>324311</v>
      </c>
      <c r="AV169" s="24"/>
      <c r="AW169" s="181" t="n">
        <f aca="false">SUBTOTAL(9,AW163:AW168)</f>
        <v>0</v>
      </c>
      <c r="AX169" s="136"/>
      <c r="AY169" s="181" t="n">
        <f aca="false">+AW169+AS169</f>
        <v>1285019.71333333</v>
      </c>
      <c r="AZ169" s="136"/>
      <c r="BA169" s="181" t="n">
        <f aca="false">SUBTOTAL(9,BA163:BA168)</f>
        <v>-285019.713333333</v>
      </c>
      <c r="BB169" s="24"/>
    </row>
    <row r="170" customFormat="false" ht="12.75" hidden="false" customHeight="false" outlineLevel="0" collapsed="false">
      <c r="A170" s="225"/>
      <c r="B170" s="132"/>
      <c r="C170" s="218"/>
      <c r="U170" s="96"/>
    </row>
    <row r="171" customFormat="false" ht="12.75" hidden="false" customHeight="false" outlineLevel="0" collapsed="false">
      <c r="A171" s="152" t="s">
        <v>318</v>
      </c>
      <c r="B171" s="127"/>
      <c r="C171" s="218" t="s">
        <v>147</v>
      </c>
      <c r="E171" s="94"/>
      <c r="G171" s="94" t="s">
        <v>300</v>
      </c>
      <c r="K171" s="24"/>
      <c r="M171" s="24"/>
      <c r="O171" s="24" t="n">
        <v>93542</v>
      </c>
      <c r="Q171" s="129" t="n">
        <v>93542</v>
      </c>
      <c r="S171" s="129" t="n">
        <f aca="false">94021-93542</f>
        <v>479</v>
      </c>
      <c r="U171" s="96"/>
      <c r="AS171" s="95" t="n">
        <f aca="false">SUM(P171:AR171)</f>
        <v>94021</v>
      </c>
      <c r="AW171" s="95" t="n">
        <f aca="false">IF(+O171-AS171+AU171&gt;0,O171-AS171+AU171,0)</f>
        <v>0</v>
      </c>
      <c r="AY171" s="95" t="n">
        <f aca="false">+AW171+AS171</f>
        <v>94021</v>
      </c>
      <c r="BA171" s="136" t="n">
        <f aca="false">O171-AS171-AW171</f>
        <v>-479</v>
      </c>
    </row>
    <row r="172" customFormat="false" ht="12.75" hidden="false" customHeight="false" outlineLevel="0" collapsed="false">
      <c r="A172" s="227"/>
      <c r="B172" s="132"/>
      <c r="C172" s="218"/>
      <c r="E172" s="94"/>
      <c r="Q172" s="157"/>
      <c r="R172" s="216"/>
      <c r="S172" s="157"/>
      <c r="T172" s="216"/>
      <c r="U172" s="96"/>
      <c r="V172" s="96"/>
      <c r="W172" s="96"/>
      <c r="X172" s="96"/>
      <c r="Y172" s="96"/>
      <c r="Z172" s="96"/>
      <c r="AA172" s="96"/>
      <c r="AB172" s="95"/>
      <c r="AC172" s="96"/>
      <c r="AD172" s="95"/>
      <c r="AE172" s="96"/>
      <c r="AF172" s="96"/>
      <c r="AG172" s="96"/>
      <c r="AH172" s="96"/>
      <c r="AI172" s="96"/>
      <c r="AJ172" s="96"/>
      <c r="AK172" s="96"/>
      <c r="AL172" s="96"/>
      <c r="AM172" s="96"/>
      <c r="AN172" s="96"/>
      <c r="AO172" s="96"/>
      <c r="AP172" s="96"/>
      <c r="AQ172" s="96"/>
      <c r="AR172" s="95"/>
      <c r="AS172" s="95"/>
      <c r="AT172" s="95"/>
      <c r="AU172" s="96"/>
      <c r="AV172" s="95"/>
      <c r="AW172" s="95"/>
      <c r="AX172" s="95"/>
      <c r="AY172" s="95"/>
      <c r="AZ172" s="95"/>
      <c r="BB172" s="95"/>
    </row>
    <row r="173" customFormat="false" ht="12.75" hidden="false" customHeight="false" outlineLevel="0" collapsed="false">
      <c r="A173" s="152" t="s">
        <v>319</v>
      </c>
      <c r="B173" s="219"/>
      <c r="G173" s="90"/>
      <c r="K173" s="90"/>
      <c r="M173" s="90"/>
      <c r="O173" s="90"/>
      <c r="Q173" s="157"/>
      <c r="S173" s="157"/>
      <c r="U173" s="96"/>
      <c r="AY173" s="90" t="n">
        <f aca="false">+AW173+AS173</f>
        <v>0</v>
      </c>
      <c r="BA173" s="136"/>
    </row>
    <row r="174" customFormat="false" ht="12.75" hidden="false" customHeight="false" outlineLevel="0" collapsed="false">
      <c r="A174" s="152"/>
      <c r="B174" s="219" t="s">
        <v>321</v>
      </c>
      <c r="C174" s="218"/>
      <c r="K174" s="90"/>
      <c r="M174" s="90"/>
      <c r="O174" s="90"/>
      <c r="P174" s="2"/>
      <c r="Q174" s="96" t="n">
        <v>6644</v>
      </c>
      <c r="R174" s="245"/>
      <c r="S174" s="96" t="n">
        <v>1584</v>
      </c>
      <c r="T174" s="245"/>
      <c r="U174" s="129" t="n">
        <f aca="false">7.03+104.09+453.75</f>
        <v>564.87</v>
      </c>
      <c r="V174" s="246"/>
      <c r="W174" s="247" t="n">
        <f aca="false">368.17</f>
        <v>368.17</v>
      </c>
      <c r="X174" s="246"/>
      <c r="Y174" s="246" t="n">
        <v>227</v>
      </c>
      <c r="Z174" s="246"/>
      <c r="AA174" s="129" t="n">
        <f aca="false">756.88+62.38+693.45+116.34+558.75</f>
        <v>2187.8</v>
      </c>
      <c r="AB174" s="2"/>
      <c r="AC174" s="96" t="n">
        <v>20384.38</v>
      </c>
      <c r="AD174" s="2"/>
      <c r="AE174" s="96" t="n">
        <f aca="false">72.3+3671.14+431.91</f>
        <v>4175.35</v>
      </c>
      <c r="AF174" s="96"/>
      <c r="AG174" s="96" t="n">
        <f aca="false">245.53+254.81+276.5</f>
        <v>776.84</v>
      </c>
      <c r="AH174" s="96"/>
      <c r="AI174" s="96" t="n">
        <v>617.8</v>
      </c>
      <c r="AJ174" s="96"/>
      <c r="AK174" s="96" t="n">
        <v>344.65</v>
      </c>
      <c r="AL174" s="96"/>
      <c r="AM174" s="96"/>
      <c r="AN174" s="96"/>
      <c r="AO174" s="96"/>
      <c r="AP174" s="96"/>
      <c r="AQ174" s="96"/>
      <c r="AR174" s="2"/>
      <c r="AS174" s="95" t="n">
        <f aca="false">SUM(P174:AR174)</f>
        <v>37874.86</v>
      </c>
      <c r="AT174" s="2"/>
      <c r="AU174" s="246"/>
      <c r="AV174" s="2"/>
      <c r="AW174" s="95"/>
      <c r="AX174" s="2"/>
      <c r="AY174" s="95" t="n">
        <f aca="false">+AW174+AS174</f>
        <v>37874.86</v>
      </c>
      <c r="AZ174" s="2"/>
      <c r="BA174" s="136"/>
      <c r="BB174" s="2"/>
    </row>
    <row r="175" customFormat="false" ht="12.75" hidden="false" customHeight="false" outlineLevel="0" collapsed="false">
      <c r="A175" s="152"/>
      <c r="B175" s="219" t="s">
        <v>418</v>
      </c>
      <c r="C175" s="218"/>
      <c r="K175" s="90"/>
      <c r="M175" s="90"/>
      <c r="O175" s="90"/>
      <c r="P175" s="2"/>
      <c r="Q175" s="96" t="n">
        <v>5024</v>
      </c>
      <c r="R175" s="245"/>
      <c r="T175" s="245"/>
      <c r="U175" s="129"/>
      <c r="V175" s="246"/>
      <c r="W175" s="247"/>
      <c r="X175" s="246"/>
      <c r="Y175" s="246"/>
      <c r="Z175" s="246"/>
      <c r="AA175" s="246"/>
      <c r="AB175" s="2"/>
      <c r="AC175" s="246"/>
      <c r="AD175" s="2"/>
      <c r="AE175" s="246"/>
      <c r="AF175" s="246"/>
      <c r="AG175" s="246"/>
      <c r="AH175" s="246"/>
      <c r="AI175" s="246"/>
      <c r="AJ175" s="246"/>
      <c r="AK175" s="246"/>
      <c r="AL175" s="246"/>
      <c r="AM175" s="246"/>
      <c r="AN175" s="246"/>
      <c r="AO175" s="246"/>
      <c r="AP175" s="246"/>
      <c r="AQ175" s="246"/>
      <c r="AR175" s="2"/>
      <c r="AS175" s="95" t="n">
        <f aca="false">SUM(P175:AR175)</f>
        <v>5024</v>
      </c>
      <c r="AT175" s="2"/>
      <c r="AU175" s="246"/>
      <c r="AV175" s="2"/>
      <c r="AW175" s="95"/>
      <c r="AX175" s="2"/>
      <c r="AY175" s="95" t="n">
        <f aca="false">+AW175+AS175</f>
        <v>5024</v>
      </c>
      <c r="AZ175" s="2"/>
      <c r="BA175" s="136"/>
      <c r="BB175" s="2"/>
    </row>
    <row r="176" customFormat="false" ht="12.75" hidden="false" customHeight="false" outlineLevel="0" collapsed="false">
      <c r="A176" s="152"/>
      <c r="B176" s="219" t="s">
        <v>323</v>
      </c>
      <c r="C176" s="218"/>
      <c r="K176" s="90"/>
      <c r="M176" s="90"/>
      <c r="O176" s="90"/>
      <c r="P176" s="2"/>
      <c r="Q176" s="96" t="n">
        <f aca="false">1250+416.67+3333.34+3333.34</f>
        <v>8333.35</v>
      </c>
      <c r="R176" s="245"/>
      <c r="T176" s="245"/>
      <c r="U176" s="129" t="n">
        <v>3333.33</v>
      </c>
      <c r="V176" s="246"/>
      <c r="W176" s="129" t="n">
        <v>3333.33</v>
      </c>
      <c r="X176" s="246"/>
      <c r="Y176" s="246"/>
      <c r="Z176" s="246"/>
      <c r="AA176" s="246"/>
      <c r="AB176" s="2"/>
      <c r="AC176" s="96" t="n">
        <f aca="false">3710.96+3343.35+3481.92+3538.03</f>
        <v>14074.26</v>
      </c>
      <c r="AD176" s="2"/>
      <c r="AE176" s="96" t="n">
        <v>3359.47</v>
      </c>
      <c r="AF176" s="96"/>
      <c r="AG176" s="96"/>
      <c r="AH176" s="96"/>
      <c r="AI176" s="96" t="n">
        <v>3385.34</v>
      </c>
      <c r="AJ176" s="96"/>
      <c r="AK176" s="96" t="n">
        <f aca="false">3358.98+3370.6</f>
        <v>6729.58</v>
      </c>
      <c r="AL176" s="96"/>
      <c r="AM176" s="96"/>
      <c r="AN176" s="96"/>
      <c r="AO176" s="96" t="n">
        <v>3362.57</v>
      </c>
      <c r="AP176" s="96"/>
      <c r="AQ176" s="96"/>
      <c r="AR176" s="2"/>
      <c r="AS176" s="95" t="n">
        <f aca="false">SUM(P176:AR176)</f>
        <v>45911.23</v>
      </c>
      <c r="AT176" s="2"/>
      <c r="AU176" s="246"/>
      <c r="AV176" s="2"/>
      <c r="AW176" s="95"/>
      <c r="AX176" s="2"/>
      <c r="AY176" s="95" t="n">
        <f aca="false">+AW176+AS176</f>
        <v>45911.23</v>
      </c>
      <c r="AZ176" s="2"/>
      <c r="BA176" s="136"/>
      <c r="BB176" s="2"/>
    </row>
    <row r="177" customFormat="false" ht="12.75" hidden="false" customHeight="false" outlineLevel="0" collapsed="false">
      <c r="A177" s="152"/>
      <c r="B177" s="219" t="s">
        <v>324</v>
      </c>
      <c r="C177" s="218"/>
      <c r="K177" s="90"/>
      <c r="M177" s="90"/>
      <c r="O177" s="90"/>
      <c r="P177" s="2"/>
      <c r="R177" s="245"/>
      <c r="T177" s="245"/>
      <c r="U177" s="96" t="n">
        <f aca="false">21971.39+1954.84</f>
        <v>23926.23</v>
      </c>
      <c r="V177" s="246"/>
      <c r="W177" s="129"/>
      <c r="X177" s="246"/>
      <c r="Y177" s="246"/>
      <c r="Z177" s="246"/>
      <c r="AA177" s="246"/>
      <c r="AB177" s="2"/>
      <c r="AC177" s="96" t="n">
        <f aca="false">682.55+17595.36+25577.31+20305.04+26842+22771.35</f>
        <v>113773.61</v>
      </c>
      <c r="AD177" s="2"/>
      <c r="AE177" s="96" t="n">
        <v>61756.65</v>
      </c>
      <c r="AF177" s="96"/>
      <c r="AG177" s="96" t="n">
        <f aca="false">74534.84+24708.43</f>
        <v>99243.27</v>
      </c>
      <c r="AH177" s="96"/>
      <c r="AI177" s="96"/>
      <c r="AJ177" s="96"/>
      <c r="AK177" s="96" t="n">
        <v>5603</v>
      </c>
      <c r="AL177" s="96"/>
      <c r="AM177" s="96"/>
      <c r="AN177" s="96"/>
      <c r="AO177" s="96"/>
      <c r="AP177" s="96"/>
      <c r="AQ177" s="96"/>
      <c r="AR177" s="2"/>
      <c r="AS177" s="95" t="n">
        <f aca="false">SUM(P177:AR177)</f>
        <v>304302.76</v>
      </c>
      <c r="AT177" s="2"/>
      <c r="AU177" s="246"/>
      <c r="AV177" s="2"/>
      <c r="AW177" s="95"/>
      <c r="AX177" s="2"/>
      <c r="AY177" s="95" t="n">
        <f aca="false">+AW177+AS177</f>
        <v>304302.76</v>
      </c>
      <c r="AZ177" s="2"/>
      <c r="BA177" s="136"/>
      <c r="BB177" s="2"/>
    </row>
    <row r="178" customFormat="false" ht="12.75" hidden="false" customHeight="false" outlineLevel="0" collapsed="false">
      <c r="A178" s="152"/>
      <c r="B178" s="219" t="s">
        <v>326</v>
      </c>
      <c r="C178" s="218"/>
      <c r="K178" s="90"/>
      <c r="M178" s="90"/>
      <c r="O178" s="90"/>
      <c r="P178" s="2"/>
      <c r="Q178" s="96" t="n">
        <v>21649</v>
      </c>
      <c r="R178" s="245"/>
      <c r="S178" s="96" t="n">
        <v>833</v>
      </c>
      <c r="T178" s="245"/>
      <c r="U178" s="129"/>
      <c r="V178" s="246"/>
      <c r="W178" s="247"/>
      <c r="X178" s="246"/>
      <c r="Y178" s="129" t="n">
        <v>-22066.15</v>
      </c>
      <c r="Z178" s="246"/>
      <c r="AA178" s="246"/>
      <c r="AB178" s="2"/>
      <c r="AC178" s="246"/>
      <c r="AD178" s="2"/>
      <c r="AE178" s="246"/>
      <c r="AF178" s="246"/>
      <c r="AG178" s="246"/>
      <c r="AH178" s="246"/>
      <c r="AI178" s="246"/>
      <c r="AJ178" s="246"/>
      <c r="AK178" s="246"/>
      <c r="AL178" s="246"/>
      <c r="AM178" s="246"/>
      <c r="AN178" s="246"/>
      <c r="AO178" s="246"/>
      <c r="AP178" s="246"/>
      <c r="AQ178" s="246"/>
      <c r="AR178" s="2"/>
      <c r="AS178" s="95" t="n">
        <f aca="false">SUM(P178:AR178)</f>
        <v>415.849999999999</v>
      </c>
      <c r="AT178" s="2"/>
      <c r="AU178" s="129"/>
      <c r="AV178" s="2"/>
      <c r="AW178" s="95"/>
      <c r="AX178" s="2"/>
      <c r="AY178" s="95" t="n">
        <f aca="false">+AW178+AS178</f>
        <v>415.849999999999</v>
      </c>
      <c r="AZ178" s="2"/>
      <c r="BA178" s="136"/>
      <c r="BB178" s="2"/>
    </row>
    <row r="179" customFormat="false" ht="12.75" hidden="false" customHeight="false" outlineLevel="0" collapsed="false">
      <c r="A179" s="152"/>
      <c r="B179" s="219" t="s">
        <v>327</v>
      </c>
      <c r="C179" s="218"/>
      <c r="K179" s="90"/>
      <c r="M179" s="90"/>
      <c r="O179" s="90"/>
      <c r="P179" s="2"/>
      <c r="Q179" s="96" t="n">
        <v>0</v>
      </c>
      <c r="R179" s="245"/>
      <c r="S179" s="96" t="n">
        <v>0</v>
      </c>
      <c r="T179" s="245"/>
      <c r="U179" s="129"/>
      <c r="V179" s="246"/>
      <c r="W179" s="246"/>
      <c r="X179" s="246"/>
      <c r="Y179" s="246"/>
      <c r="Z179" s="246"/>
      <c r="AA179" s="246"/>
      <c r="AB179" s="2"/>
      <c r="AC179" s="246"/>
      <c r="AD179" s="2"/>
      <c r="AE179" s="246"/>
      <c r="AF179" s="246"/>
      <c r="AG179" s="246"/>
      <c r="AH179" s="246"/>
      <c r="AI179" s="246"/>
      <c r="AJ179" s="246"/>
      <c r="AK179" s="246"/>
      <c r="AL179" s="246"/>
      <c r="AM179" s="246"/>
      <c r="AN179" s="246"/>
      <c r="AO179" s="246"/>
      <c r="AP179" s="246"/>
      <c r="AQ179" s="246"/>
      <c r="AR179" s="2"/>
      <c r="AS179" s="95" t="n">
        <f aca="false">SUM(P179:AR179)</f>
        <v>0</v>
      </c>
      <c r="AT179" s="2"/>
      <c r="AU179" s="246"/>
      <c r="AV179" s="2"/>
      <c r="AW179" s="95"/>
      <c r="AX179" s="2"/>
      <c r="AY179" s="95" t="n">
        <f aca="false">+AW179+AS179</f>
        <v>0</v>
      </c>
      <c r="AZ179" s="2"/>
      <c r="BA179" s="136"/>
      <c r="BB179" s="2"/>
    </row>
    <row r="180" customFormat="false" ht="12.75" hidden="false" customHeight="false" outlineLevel="0" collapsed="false">
      <c r="A180" s="152"/>
      <c r="B180" s="219" t="s">
        <v>329</v>
      </c>
      <c r="C180" s="218"/>
      <c r="K180" s="90"/>
      <c r="M180" s="90"/>
      <c r="O180" s="90"/>
      <c r="P180" s="2"/>
      <c r="Q180" s="96" t="n">
        <v>16218</v>
      </c>
      <c r="R180" s="245"/>
      <c r="T180" s="245"/>
      <c r="U180" s="129"/>
      <c r="V180" s="246"/>
      <c r="W180" s="246"/>
      <c r="X180" s="246"/>
      <c r="Y180" s="246"/>
      <c r="Z180" s="246"/>
      <c r="AA180" s="246"/>
      <c r="AB180" s="2"/>
      <c r="AC180" s="96" t="n">
        <v>1785.83</v>
      </c>
      <c r="AD180" s="2"/>
      <c r="AE180" s="246"/>
      <c r="AF180" s="246"/>
      <c r="AG180" s="246"/>
      <c r="AH180" s="246"/>
      <c r="AI180" s="246"/>
      <c r="AJ180" s="246"/>
      <c r="AK180" s="246"/>
      <c r="AL180" s="246"/>
      <c r="AM180" s="246"/>
      <c r="AN180" s="246"/>
      <c r="AO180" s="246"/>
      <c r="AP180" s="246"/>
      <c r="AQ180" s="246"/>
      <c r="AR180" s="2"/>
      <c r="AS180" s="95" t="n">
        <f aca="false">SUM(P180:AR180)</f>
        <v>18003.83</v>
      </c>
      <c r="AT180" s="2"/>
      <c r="AU180" s="246"/>
      <c r="AV180" s="2"/>
      <c r="AW180" s="95"/>
      <c r="AX180" s="2"/>
      <c r="AY180" s="95" t="n">
        <f aca="false">+AW180+AS180</f>
        <v>18003.83</v>
      </c>
      <c r="AZ180" s="2"/>
      <c r="BA180" s="136"/>
      <c r="BB180" s="2"/>
    </row>
    <row r="181" customFormat="false" ht="12.75" hidden="false" customHeight="false" outlineLevel="0" collapsed="false">
      <c r="A181" s="152"/>
      <c r="B181" s="219" t="s">
        <v>330</v>
      </c>
      <c r="C181" s="218"/>
      <c r="K181" s="24"/>
      <c r="M181" s="24"/>
      <c r="O181" s="24"/>
      <c r="P181" s="2"/>
      <c r="Q181" s="96" t="n">
        <f aca="false">230+77</f>
        <v>307</v>
      </c>
      <c r="R181" s="245"/>
      <c r="T181" s="245"/>
      <c r="U181" s="129"/>
      <c r="V181" s="246"/>
      <c r="W181" s="246"/>
      <c r="X181" s="246"/>
      <c r="Y181" s="246"/>
      <c r="Z181" s="246"/>
      <c r="AA181" s="246"/>
      <c r="AB181" s="2"/>
      <c r="AC181" s="246"/>
      <c r="AD181" s="2"/>
      <c r="AE181" s="246"/>
      <c r="AF181" s="246"/>
      <c r="AG181" s="246"/>
      <c r="AH181" s="246"/>
      <c r="AI181" s="246"/>
      <c r="AJ181" s="246"/>
      <c r="AK181" s="246"/>
      <c r="AL181" s="246"/>
      <c r="AM181" s="246"/>
      <c r="AN181" s="246"/>
      <c r="AO181" s="246"/>
      <c r="AP181" s="246"/>
      <c r="AQ181" s="246"/>
      <c r="AR181" s="2"/>
      <c r="AS181" s="95" t="n">
        <f aca="false">SUM(P181:AR181)</f>
        <v>307</v>
      </c>
      <c r="AT181" s="2"/>
      <c r="AU181" s="246"/>
      <c r="AV181" s="2"/>
      <c r="AW181" s="95"/>
      <c r="AX181" s="2"/>
      <c r="AY181" s="95" t="n">
        <f aca="false">+AW181+AS181</f>
        <v>307</v>
      </c>
      <c r="AZ181" s="2"/>
      <c r="BA181" s="136"/>
      <c r="BB181" s="2"/>
    </row>
    <row r="182" customFormat="false" ht="12.75" hidden="false" customHeight="false" outlineLevel="0" collapsed="false">
      <c r="A182" s="152"/>
      <c r="B182" s="219" t="s">
        <v>335</v>
      </c>
      <c r="C182" s="218"/>
      <c r="K182" s="24"/>
      <c r="M182" s="24"/>
      <c r="O182" s="24"/>
      <c r="P182" s="2"/>
      <c r="R182" s="245"/>
      <c r="T182" s="245"/>
      <c r="U182" s="129"/>
      <c r="V182" s="246"/>
      <c r="W182" s="246"/>
      <c r="X182" s="246"/>
      <c r="Y182" s="246"/>
      <c r="Z182" s="246"/>
      <c r="AA182" s="246"/>
      <c r="AB182" s="2"/>
      <c r="AC182" s="96" t="n">
        <f aca="false">53011.08+33.02+2590.23-2</f>
        <v>55632.33</v>
      </c>
      <c r="AD182" s="2"/>
      <c r="AE182" s="243" t="n">
        <f aca="false">420.18</f>
        <v>420.18</v>
      </c>
      <c r="AF182" s="243"/>
      <c r="AG182" s="96" t="n">
        <f aca="false">2218.42+324.46+3202.54+3067.15+1136.9</f>
        <v>9949.47</v>
      </c>
      <c r="AH182" s="96"/>
      <c r="AI182" s="96" t="n">
        <f aca="false">4228.9+39960.66</f>
        <v>44189.56</v>
      </c>
      <c r="AJ182" s="96"/>
      <c r="AK182" s="96" t="n">
        <v>1589.29</v>
      </c>
      <c r="AL182" s="96"/>
      <c r="AM182" s="96"/>
      <c r="AN182" s="96"/>
      <c r="AO182" s="96" t="n">
        <f aca="false">626.32+160000</f>
        <v>160626.32</v>
      </c>
      <c r="AP182" s="96"/>
      <c r="AQ182" s="96"/>
      <c r="AR182" s="2"/>
      <c r="AS182" s="95" t="n">
        <f aca="false">SUM(P182:AR182)</f>
        <v>272407.15</v>
      </c>
      <c r="AT182" s="2"/>
      <c r="AU182" s="246"/>
      <c r="AV182" s="2"/>
      <c r="AW182" s="95"/>
      <c r="AX182" s="2"/>
      <c r="AY182" s="95" t="n">
        <f aca="false">+AW182+AS182</f>
        <v>272407.15</v>
      </c>
      <c r="AZ182" s="2"/>
      <c r="BA182" s="136"/>
      <c r="BB182" s="2"/>
    </row>
    <row r="183" customFormat="false" ht="12.75" hidden="false" customHeight="false" outlineLevel="0" collapsed="false">
      <c r="A183" s="152"/>
      <c r="B183" s="219" t="s">
        <v>332</v>
      </c>
      <c r="C183" s="218"/>
      <c r="K183" s="192"/>
      <c r="M183" s="192"/>
      <c r="O183" s="192"/>
      <c r="P183" s="2"/>
      <c r="Q183" s="139" t="n">
        <f aca="false">9935+3312+1688.33</f>
        <v>14935.33</v>
      </c>
      <c r="R183" s="245"/>
      <c r="S183" s="139"/>
      <c r="T183" s="245"/>
      <c r="U183" s="129"/>
      <c r="V183" s="246"/>
      <c r="W183" s="246"/>
      <c r="X183" s="246"/>
      <c r="Y183" s="246"/>
      <c r="Z183" s="246"/>
      <c r="AA183" s="246"/>
      <c r="AB183" s="2"/>
      <c r="AC183" s="246"/>
      <c r="AD183" s="2"/>
      <c r="AE183" s="243" t="n">
        <v>4449.95</v>
      </c>
      <c r="AF183" s="243"/>
      <c r="AG183" s="243"/>
      <c r="AH183" s="243"/>
      <c r="AI183" s="96" t="n">
        <v>19502.66</v>
      </c>
      <c r="AJ183" s="243"/>
      <c r="AK183" s="96" t="n">
        <f aca="false">4260.58+3078.33+7891.4</f>
        <v>15230.31</v>
      </c>
      <c r="AL183" s="96"/>
      <c r="AM183" s="96" t="n">
        <v>3271.03</v>
      </c>
      <c r="AN183" s="96"/>
      <c r="AO183" s="96"/>
      <c r="AP183" s="96"/>
      <c r="AQ183" s="96"/>
      <c r="AR183" s="2"/>
      <c r="AS183" s="95" t="n">
        <f aca="false">SUM(P183:AR183)</f>
        <v>57389.28</v>
      </c>
      <c r="AT183" s="2"/>
      <c r="AU183" s="246"/>
      <c r="AV183" s="2"/>
      <c r="AW183" s="95"/>
      <c r="AX183" s="2"/>
      <c r="AY183" s="95" t="n">
        <f aca="false">+AW183+AS183</f>
        <v>57389.28</v>
      </c>
      <c r="AZ183" s="2"/>
      <c r="BA183" s="141"/>
      <c r="BB183" s="2"/>
    </row>
    <row r="184" customFormat="false" ht="12.75" hidden="false" customHeight="false" outlineLevel="0" collapsed="false">
      <c r="A184" s="152"/>
      <c r="B184" s="226" t="s">
        <v>336</v>
      </c>
      <c r="C184" s="218" t="s">
        <v>147</v>
      </c>
      <c r="E184" s="90" t="s">
        <v>320</v>
      </c>
      <c r="G184" s="94" t="s">
        <v>276</v>
      </c>
      <c r="K184" s="24" t="n">
        <v>500000</v>
      </c>
      <c r="M184" s="24" t="n">
        <v>-200000</v>
      </c>
      <c r="O184" s="24" t="n">
        <f aca="false">SUM(K184:N184)</f>
        <v>300000</v>
      </c>
      <c r="P184" s="2"/>
      <c r="Q184" s="129" t="n">
        <f aca="false">SUM(Q174:Q183)</f>
        <v>73110.68</v>
      </c>
      <c r="R184" s="245"/>
      <c r="S184" s="129" t="n">
        <f aca="false">SUM(S174:S183)</f>
        <v>2417</v>
      </c>
      <c r="T184" s="245"/>
      <c r="U184" s="154" t="n">
        <f aca="false">SUM(U174:U183)</f>
        <v>27824.43</v>
      </c>
      <c r="V184" s="246"/>
      <c r="W184" s="154" t="n">
        <f aca="false">SUM(W174:W183)</f>
        <v>3701.5</v>
      </c>
      <c r="X184" s="246"/>
      <c r="Y184" s="154" t="n">
        <f aca="false">SUM(Y174:Y183)</f>
        <v>-21839.15</v>
      </c>
      <c r="Z184" s="246"/>
      <c r="AA184" s="154" t="n">
        <f aca="false">SUM(AA174:AA183)</f>
        <v>2187.8</v>
      </c>
      <c r="AB184" s="2"/>
      <c r="AC184" s="154" t="n">
        <f aca="false">SUM(AC174:AC183)</f>
        <v>205650.41</v>
      </c>
      <c r="AD184" s="2"/>
      <c r="AE184" s="154" t="n">
        <f aca="false">SUM(AE174:AE183)</f>
        <v>74161.6</v>
      </c>
      <c r="AF184" s="129"/>
      <c r="AG184" s="154" t="n">
        <f aca="false">SUM(AG174:AG183)</f>
        <v>109969.58</v>
      </c>
      <c r="AH184" s="129"/>
      <c r="AI184" s="154" t="n">
        <f aca="false">SUM(AI174:AI183)</f>
        <v>67695.36</v>
      </c>
      <c r="AJ184" s="129"/>
      <c r="AK184" s="154" t="n">
        <f aca="false">SUM(AK174:AK183)</f>
        <v>29496.83</v>
      </c>
      <c r="AL184" s="154"/>
      <c r="AM184" s="154" t="n">
        <f aca="false">SUM(AM174:AM183)</f>
        <v>3271.03</v>
      </c>
      <c r="AN184" s="129"/>
      <c r="AO184" s="154" t="n">
        <f aca="false">SUM(AO174:AO183)</f>
        <v>163988.89</v>
      </c>
      <c r="AP184" s="129"/>
      <c r="AQ184" s="154" t="n">
        <f aca="false">SUM(AQ174:AQ183)</f>
        <v>0</v>
      </c>
      <c r="AR184" s="2"/>
      <c r="AS184" s="155" t="n">
        <f aca="false">SUM(AS174:AS183)</f>
        <v>741635.96</v>
      </c>
      <c r="AT184" s="2"/>
      <c r="AU184" s="154" t="n">
        <f aca="false">SUM(AU174:AU183)</f>
        <v>0</v>
      </c>
      <c r="AV184" s="2"/>
      <c r="AW184" s="155" t="n">
        <f aca="false">IF(+O184-AS184+AU184&gt;0,O184-AS184+AU184,0)</f>
        <v>0</v>
      </c>
      <c r="AX184" s="2"/>
      <c r="AY184" s="155" t="n">
        <f aca="false">+AW184+AS184</f>
        <v>741635.96</v>
      </c>
      <c r="AZ184" s="2"/>
      <c r="BA184" s="136" t="n">
        <f aca="false">O184-AS184-AW184</f>
        <v>-441635.96</v>
      </c>
      <c r="BB184" s="2"/>
    </row>
    <row r="185" customFormat="false" ht="12.75" hidden="false" customHeight="false" outlineLevel="0" collapsed="false">
      <c r="A185" s="225"/>
      <c r="B185" s="226"/>
      <c r="C185" s="218"/>
      <c r="K185" s="24"/>
      <c r="M185" s="24"/>
      <c r="O185" s="24"/>
      <c r="P185" s="2"/>
      <c r="Q185" s="129"/>
      <c r="R185" s="245"/>
      <c r="S185" s="129"/>
      <c r="T185" s="245"/>
      <c r="U185" s="129"/>
      <c r="V185" s="246"/>
      <c r="W185" s="246"/>
      <c r="X185" s="246"/>
      <c r="Y185" s="246"/>
      <c r="Z185" s="246"/>
      <c r="AA185" s="246"/>
      <c r="AB185" s="2"/>
      <c r="AC185" s="246"/>
      <c r="AD185" s="2"/>
      <c r="AE185" s="246"/>
      <c r="AF185" s="246"/>
      <c r="AG185" s="246"/>
      <c r="AH185" s="246"/>
      <c r="AI185" s="246"/>
      <c r="AJ185" s="246"/>
      <c r="AK185" s="246"/>
      <c r="AL185" s="246"/>
      <c r="AM185" s="246"/>
      <c r="AN185" s="246"/>
      <c r="AO185" s="246"/>
      <c r="AP185" s="246"/>
      <c r="AQ185" s="246"/>
      <c r="AR185" s="2"/>
      <c r="AS185" s="2"/>
      <c r="AT185" s="2"/>
      <c r="AU185" s="246"/>
      <c r="AV185" s="2"/>
      <c r="AW185" s="2"/>
      <c r="AX185" s="2"/>
      <c r="AY185" s="2"/>
      <c r="AZ185" s="2"/>
      <c r="BA185" s="24"/>
      <c r="BB185" s="2"/>
    </row>
    <row r="186" customFormat="false" ht="12.75" hidden="false" customHeight="false" outlineLevel="0" collapsed="false">
      <c r="A186" s="152" t="s">
        <v>419</v>
      </c>
      <c r="B186" s="222"/>
      <c r="C186" s="218" t="s">
        <v>147</v>
      </c>
      <c r="E186" s="90" t="s">
        <v>338</v>
      </c>
      <c r="G186" s="94" t="s">
        <v>339</v>
      </c>
      <c r="K186" s="90"/>
      <c r="M186" s="24"/>
      <c r="O186" s="24"/>
      <c r="P186" s="2"/>
      <c r="Q186" s="129"/>
      <c r="R186" s="245"/>
      <c r="S186" s="129"/>
      <c r="T186" s="245"/>
      <c r="U186" s="129"/>
      <c r="V186" s="246"/>
      <c r="W186" s="246"/>
      <c r="X186" s="246"/>
      <c r="Y186" s="246"/>
      <c r="Z186" s="246"/>
      <c r="AA186" s="246"/>
      <c r="AB186" s="2"/>
      <c r="AC186" s="246"/>
      <c r="AD186" s="2"/>
      <c r="AE186" s="246"/>
      <c r="AF186" s="246"/>
      <c r="AG186" s="246"/>
      <c r="AH186" s="246"/>
      <c r="AI186" s="246"/>
      <c r="AJ186" s="246"/>
      <c r="AK186" s="246"/>
      <c r="AL186" s="246"/>
      <c r="AM186" s="246"/>
      <c r="AN186" s="246"/>
      <c r="AO186" s="246"/>
      <c r="AP186" s="246"/>
      <c r="AQ186" s="246"/>
      <c r="AR186" s="2"/>
      <c r="AS186" s="2"/>
      <c r="AT186" s="2"/>
      <c r="AU186" s="246"/>
      <c r="AV186" s="2"/>
      <c r="AW186" s="2"/>
      <c r="AX186" s="2"/>
      <c r="AY186" s="2"/>
      <c r="AZ186" s="2"/>
      <c r="BA186" s="24"/>
      <c r="BB186" s="2"/>
    </row>
    <row r="187" customFormat="false" ht="12.75" hidden="false" customHeight="false" outlineLevel="0" collapsed="false">
      <c r="A187" s="152"/>
      <c r="B187" s="213" t="s">
        <v>342</v>
      </c>
      <c r="C187" s="218"/>
      <c r="K187" s="24"/>
      <c r="M187" s="24"/>
      <c r="O187" s="24"/>
      <c r="P187" s="2"/>
      <c r="Q187" s="96" t="n">
        <f aca="false">2323.44+9144.13+323+135+774.48+482.07+3048.04+3280+30905.86+1575.38+1238.97+75+19149.04</f>
        <v>72454.41</v>
      </c>
      <c r="R187" s="245"/>
      <c r="T187" s="245"/>
      <c r="U187" s="129" t="n">
        <v>2085.5</v>
      </c>
      <c r="V187" s="246"/>
      <c r="W187" s="246"/>
      <c r="X187" s="246"/>
      <c r="Y187" s="246"/>
      <c r="Z187" s="246"/>
      <c r="AA187" s="246"/>
      <c r="AB187" s="2"/>
      <c r="AC187" s="96" t="n">
        <f aca="false">26337+7532.22+1400.88+1911+3289.99+10052.4</f>
        <v>50523.49</v>
      </c>
      <c r="AD187" s="2"/>
      <c r="AE187" s="246"/>
      <c r="AF187" s="246"/>
      <c r="AG187" s="96" t="n">
        <f aca="false">8514.87+168.5+672.39+5514.19+7477.9+9018.07</f>
        <v>31365.92</v>
      </c>
      <c r="AH187" s="96"/>
      <c r="AI187" s="96"/>
      <c r="AJ187" s="96"/>
      <c r="AK187" s="96" t="n">
        <f aca="false">2031.75+23047.12</f>
        <v>25078.87</v>
      </c>
      <c r="AL187" s="96"/>
      <c r="AM187" s="96"/>
      <c r="AN187" s="96"/>
      <c r="AO187" s="96"/>
      <c r="AP187" s="96"/>
      <c r="AQ187" s="96"/>
      <c r="AR187" s="2"/>
      <c r="AS187" s="95" t="n">
        <f aca="false">SUM(P187:AR187)</f>
        <v>181508.19</v>
      </c>
      <c r="AT187" s="2"/>
      <c r="AU187" s="246"/>
      <c r="AV187" s="2"/>
      <c r="AW187" s="95"/>
      <c r="AX187" s="2"/>
      <c r="AY187" s="95" t="n">
        <f aca="false">+AW187+AS187</f>
        <v>181508.19</v>
      </c>
      <c r="AZ187" s="2"/>
      <c r="BA187" s="136"/>
      <c r="BB187" s="2"/>
    </row>
    <row r="188" customFormat="false" ht="12.75" hidden="false" customHeight="false" outlineLevel="0" collapsed="false">
      <c r="A188" s="152"/>
      <c r="B188" s="213" t="s">
        <v>341</v>
      </c>
      <c r="C188" s="218"/>
      <c r="K188" s="24"/>
      <c r="M188" s="24"/>
      <c r="O188" s="24"/>
      <c r="P188" s="2"/>
      <c r="R188" s="245"/>
      <c r="T188" s="245"/>
      <c r="U188" s="129"/>
      <c r="V188" s="246"/>
      <c r="W188" s="246"/>
      <c r="X188" s="246"/>
      <c r="Y188" s="246"/>
      <c r="Z188" s="246"/>
      <c r="AA188" s="246"/>
      <c r="AB188" s="2"/>
      <c r="AC188" s="246"/>
      <c r="AD188" s="2"/>
      <c r="AE188" s="246"/>
      <c r="AF188" s="246"/>
      <c r="AG188" s="246"/>
      <c r="AH188" s="246"/>
      <c r="AI188" s="246"/>
      <c r="AJ188" s="246"/>
      <c r="AK188" s="246"/>
      <c r="AL188" s="246"/>
      <c r="AM188" s="246"/>
      <c r="AN188" s="246"/>
      <c r="AO188" s="246"/>
      <c r="AP188" s="246"/>
      <c r="AQ188" s="246"/>
      <c r="AR188" s="2"/>
      <c r="AS188" s="95" t="n">
        <f aca="false">SUM(P188:AR188)</f>
        <v>0</v>
      </c>
      <c r="AT188" s="2"/>
      <c r="AU188" s="246"/>
      <c r="AV188" s="2"/>
      <c r="AW188" s="95"/>
      <c r="AX188" s="2"/>
      <c r="AY188" s="95" t="n">
        <f aca="false">+AW188+AS188</f>
        <v>0</v>
      </c>
      <c r="AZ188" s="2"/>
      <c r="BA188" s="136"/>
      <c r="BB188" s="2"/>
    </row>
    <row r="189" customFormat="false" ht="12.75" hidden="false" customHeight="false" outlineLevel="0" collapsed="false">
      <c r="A189" s="152"/>
      <c r="B189" s="213" t="s">
        <v>344</v>
      </c>
      <c r="C189" s="218"/>
      <c r="K189" s="24"/>
      <c r="M189" s="24"/>
      <c r="O189" s="24"/>
      <c r="P189" s="2"/>
      <c r="Q189" s="96" t="n">
        <f aca="false">4678.29+447.92</f>
        <v>5126.21</v>
      </c>
      <c r="R189" s="245"/>
      <c r="T189" s="245"/>
      <c r="U189" s="129"/>
      <c r="V189" s="246"/>
      <c r="W189" s="246"/>
      <c r="X189" s="246"/>
      <c r="Y189" s="246"/>
      <c r="Z189" s="246"/>
      <c r="AA189" s="246"/>
      <c r="AB189" s="2"/>
      <c r="AC189" s="246"/>
      <c r="AD189" s="2"/>
      <c r="AE189" s="246"/>
      <c r="AF189" s="246"/>
      <c r="AG189" s="246"/>
      <c r="AH189" s="246"/>
      <c r="AI189" s="246"/>
      <c r="AJ189" s="246"/>
      <c r="AK189" s="246"/>
      <c r="AL189" s="246"/>
      <c r="AM189" s="246"/>
      <c r="AN189" s="246"/>
      <c r="AO189" s="246"/>
      <c r="AP189" s="246"/>
      <c r="AQ189" s="246"/>
      <c r="AR189" s="2"/>
      <c r="AS189" s="95" t="n">
        <f aca="false">SUM(P189:AR189)</f>
        <v>5126.21</v>
      </c>
      <c r="AT189" s="2"/>
      <c r="AU189" s="246"/>
      <c r="AV189" s="2"/>
      <c r="AW189" s="95"/>
      <c r="AX189" s="2"/>
      <c r="AY189" s="95" t="n">
        <f aca="false">+AW189+AS189</f>
        <v>5126.21</v>
      </c>
      <c r="AZ189" s="2"/>
      <c r="BA189" s="136"/>
      <c r="BB189" s="2"/>
    </row>
    <row r="190" customFormat="false" ht="12.75" hidden="false" customHeight="false" outlineLevel="0" collapsed="false">
      <c r="A190" s="152"/>
      <c r="B190" s="219" t="s">
        <v>345</v>
      </c>
      <c r="C190" s="218"/>
      <c r="K190" s="24"/>
      <c r="L190" s="219"/>
      <c r="M190" s="24"/>
      <c r="N190" s="219"/>
      <c r="O190" s="24"/>
      <c r="P190" s="60"/>
      <c r="Q190" s="96" t="n">
        <f aca="false">240.51+2089.51+6687.44+696.51+4421.02+2229.14+80.17+3737.58+7511.73</f>
        <v>27693.61</v>
      </c>
      <c r="R190" s="248"/>
      <c r="T190" s="248"/>
      <c r="U190" s="129" t="n">
        <v>4398.29</v>
      </c>
      <c r="V190" s="246"/>
      <c r="W190" s="246"/>
      <c r="X190" s="246"/>
      <c r="Y190" s="246"/>
      <c r="Z190" s="246"/>
      <c r="AA190" s="246"/>
      <c r="AB190" s="2"/>
      <c r="AC190" s="96" t="n">
        <f aca="false">1811.07+11710.7+18584.13+7993.51+3575.03+634.15</f>
        <v>44308.59</v>
      </c>
      <c r="AD190" s="2"/>
      <c r="AE190" s="246"/>
      <c r="AF190" s="246"/>
      <c r="AG190" s="246"/>
      <c r="AH190" s="246"/>
      <c r="AI190" s="246"/>
      <c r="AJ190" s="246"/>
      <c r="AK190" s="96" t="n">
        <f aca="false">3574.31+2014.19</f>
        <v>5588.5</v>
      </c>
      <c r="AL190" s="96"/>
      <c r="AM190" s="96"/>
      <c r="AN190" s="96"/>
      <c r="AO190" s="96" t="n">
        <v>3946.29</v>
      </c>
      <c r="AP190" s="96"/>
      <c r="AQ190" s="96"/>
      <c r="AR190" s="2"/>
      <c r="AS190" s="95" t="n">
        <f aca="false">SUM(P190:AR190)</f>
        <v>85935.28</v>
      </c>
      <c r="AT190" s="2"/>
      <c r="AU190" s="246"/>
      <c r="AV190" s="2"/>
      <c r="AW190" s="95"/>
      <c r="AX190" s="2"/>
      <c r="AY190" s="95" t="n">
        <f aca="false">+AW190+AS190</f>
        <v>85935.28</v>
      </c>
      <c r="AZ190" s="2"/>
      <c r="BA190" s="136"/>
      <c r="BB190" s="2"/>
    </row>
    <row r="191" customFormat="false" ht="12.75" hidden="false" customHeight="false" outlineLevel="0" collapsed="false">
      <c r="A191" s="152"/>
      <c r="B191" s="219" t="s">
        <v>335</v>
      </c>
      <c r="C191" s="218"/>
      <c r="K191" s="192"/>
      <c r="M191" s="192"/>
      <c r="O191" s="192"/>
      <c r="P191" s="2"/>
      <c r="Q191" s="139"/>
      <c r="R191" s="245"/>
      <c r="S191" s="139"/>
      <c r="T191" s="245"/>
      <c r="U191" s="129"/>
      <c r="V191" s="246"/>
      <c r="W191" s="96" t="n">
        <v>150775</v>
      </c>
      <c r="X191" s="246"/>
      <c r="Y191" s="246"/>
      <c r="Z191" s="246"/>
      <c r="AA191" s="246"/>
      <c r="AB191" s="2"/>
      <c r="AC191" s="96" t="n">
        <f aca="false">7285.45+70.62+119286.95+1</f>
        <v>126644.02</v>
      </c>
      <c r="AD191" s="2"/>
      <c r="AE191" s="246"/>
      <c r="AF191" s="246"/>
      <c r="AG191" s="96" t="n">
        <f aca="false">3681.01+4433.71+12507.56</f>
        <v>20622.28</v>
      </c>
      <c r="AH191" s="96"/>
      <c r="AI191" s="96"/>
      <c r="AJ191" s="96"/>
      <c r="AK191" s="96" t="n">
        <f aca="false">2747.71+316.3</f>
        <v>3064.01</v>
      </c>
      <c r="AL191" s="96"/>
      <c r="AM191" s="96" t="n">
        <f aca="false">500+532.88+299.22+2141.83</f>
        <v>3473.93</v>
      </c>
      <c r="AN191" s="96"/>
      <c r="AO191" s="96" t="n">
        <f aca="false">2233.33+2000</f>
        <v>4233.33</v>
      </c>
      <c r="AP191" s="96"/>
      <c r="AQ191" s="96"/>
      <c r="AR191" s="2"/>
      <c r="AS191" s="95" t="n">
        <f aca="false">SUM(P191:AR191)</f>
        <v>308812.57</v>
      </c>
      <c r="AT191" s="2"/>
      <c r="AU191" s="246"/>
      <c r="AV191" s="2"/>
      <c r="AW191" s="95"/>
      <c r="AX191" s="2"/>
      <c r="AY191" s="95" t="n">
        <f aca="false">+AW191+AS191</f>
        <v>308812.57</v>
      </c>
      <c r="AZ191" s="2"/>
      <c r="BA191" s="141"/>
      <c r="BB191" s="2"/>
    </row>
    <row r="192" customFormat="false" ht="12.75" hidden="false" customHeight="false" outlineLevel="0" collapsed="false">
      <c r="A192" s="152"/>
      <c r="B192" s="219" t="s">
        <v>350</v>
      </c>
      <c r="C192" s="218"/>
      <c r="K192" s="24" t="n">
        <v>850000</v>
      </c>
      <c r="M192" s="24" t="n">
        <v>-550000</v>
      </c>
      <c r="O192" s="24" t="n">
        <f aca="false">SUM(K192:N192)</f>
        <v>300000</v>
      </c>
      <c r="P192" s="2"/>
      <c r="Q192" s="129" t="n">
        <f aca="false">SUM(Q187:Q190)</f>
        <v>105274.23</v>
      </c>
      <c r="R192" s="245"/>
      <c r="S192" s="129" t="n">
        <f aca="false">SUM(S187:S190)</f>
        <v>0</v>
      </c>
      <c r="T192" s="245"/>
      <c r="U192" s="154" t="n">
        <f aca="false">SUM(U187:U191)</f>
        <v>6483.79</v>
      </c>
      <c r="V192" s="154" t="n">
        <f aca="false">SUM(V187:V191)</f>
        <v>0</v>
      </c>
      <c r="W192" s="154" t="n">
        <f aca="false">SUM(W187:W191)</f>
        <v>150775</v>
      </c>
      <c r="X192" s="154" t="n">
        <f aca="false">SUM(X187:X191)</f>
        <v>0</v>
      </c>
      <c r="Y192" s="154" t="n">
        <f aca="false">SUM(Y187:Y191)</f>
        <v>0</v>
      </c>
      <c r="Z192" s="154" t="n">
        <f aca="false">SUM(Z187:Z191)</f>
        <v>0</v>
      </c>
      <c r="AA192" s="154" t="n">
        <f aca="false">SUM(AA187:AA191)</f>
        <v>0</v>
      </c>
      <c r="AB192" s="154" t="n">
        <f aca="false">SUM(AB187:AB191)</f>
        <v>0</v>
      </c>
      <c r="AC192" s="154" t="n">
        <f aca="false">SUM(AC187:AC191)</f>
        <v>221476.1</v>
      </c>
      <c r="AD192" s="154" t="n">
        <f aca="false">SUM(AD187:AD191)</f>
        <v>0</v>
      </c>
      <c r="AE192" s="154" t="n">
        <f aca="false">SUM(AE187:AE191)</f>
        <v>0</v>
      </c>
      <c r="AF192" s="154"/>
      <c r="AG192" s="154" t="n">
        <f aca="false">SUM(AG187:AG191)</f>
        <v>51988.2</v>
      </c>
      <c r="AH192" s="154"/>
      <c r="AI192" s="154" t="n">
        <f aca="false">SUM(AI187:AI191)</f>
        <v>0</v>
      </c>
      <c r="AJ192" s="154"/>
      <c r="AK192" s="154" t="n">
        <f aca="false">SUM(AK187:AK191)</f>
        <v>33731.38</v>
      </c>
      <c r="AL192" s="154"/>
      <c r="AM192" s="154" t="n">
        <f aca="false">SUM(AM187:AM191)</f>
        <v>3473.93</v>
      </c>
      <c r="AN192" s="154"/>
      <c r="AO192" s="154" t="n">
        <f aca="false">SUM(AO187:AO191)</f>
        <v>8179.62</v>
      </c>
      <c r="AP192" s="154"/>
      <c r="AQ192" s="154" t="n">
        <f aca="false">SUM(AQ187:AQ191)</f>
        <v>0</v>
      </c>
      <c r="AR192" s="154" t="n">
        <f aca="false">SUM(AR187:AR191)</f>
        <v>0</v>
      </c>
      <c r="AS192" s="154" t="n">
        <f aca="false">SUM(AS187:AS191)</f>
        <v>581382.25</v>
      </c>
      <c r="AT192" s="2"/>
      <c r="AU192" s="154" t="n">
        <f aca="false">SUM(AU187:AU190)</f>
        <v>0</v>
      </c>
      <c r="AV192" s="2"/>
      <c r="AW192" s="155" t="n">
        <f aca="false">IF(+O192-AS192+AU192&gt;0,O192-AS192+AU192,0)</f>
        <v>0</v>
      </c>
      <c r="AX192" s="2"/>
      <c r="AY192" s="155" t="n">
        <f aca="false">+AW192+AS192</f>
        <v>581382.25</v>
      </c>
      <c r="AZ192" s="2"/>
      <c r="BA192" s="136" t="n">
        <f aca="false">O192-AS192-AW192</f>
        <v>-281382.25</v>
      </c>
      <c r="BB192" s="2"/>
    </row>
    <row r="193" customFormat="false" ht="12.75" hidden="false" customHeight="false" outlineLevel="0" collapsed="false">
      <c r="A193" s="152"/>
      <c r="B193" s="219"/>
      <c r="C193" s="218"/>
      <c r="K193" s="24"/>
      <c r="M193" s="24"/>
      <c r="O193" s="24"/>
      <c r="P193" s="2"/>
      <c r="Q193" s="129"/>
      <c r="R193" s="245"/>
      <c r="S193" s="129"/>
      <c r="T193" s="245"/>
      <c r="U193" s="129"/>
      <c r="V193" s="246"/>
      <c r="W193" s="246"/>
      <c r="X193" s="246"/>
      <c r="Y193" s="246"/>
      <c r="Z193" s="246"/>
      <c r="AA193" s="246"/>
      <c r="AB193" s="2"/>
      <c r="AC193" s="246"/>
      <c r="AD193" s="2"/>
      <c r="AE193" s="246"/>
      <c r="AF193" s="246"/>
      <c r="AG193" s="246"/>
      <c r="AH193" s="246"/>
      <c r="AI193" s="246"/>
      <c r="AJ193" s="246"/>
      <c r="AK193" s="246"/>
      <c r="AL193" s="246"/>
      <c r="AM193" s="246"/>
      <c r="AN193" s="246"/>
      <c r="AO193" s="246"/>
      <c r="AP193" s="246"/>
      <c r="AQ193" s="246"/>
      <c r="AR193" s="2"/>
      <c r="AS193" s="2"/>
      <c r="AT193" s="2"/>
      <c r="AU193" s="246"/>
      <c r="AV193" s="2"/>
      <c r="AW193" s="2"/>
      <c r="AX193" s="2"/>
      <c r="AY193" s="2"/>
      <c r="AZ193" s="2"/>
      <c r="BA193" s="24"/>
      <c r="BB193" s="2"/>
    </row>
    <row r="194" customFormat="false" ht="12.75" hidden="false" customHeight="false" outlineLevel="0" collapsed="false">
      <c r="A194" s="152" t="s">
        <v>351</v>
      </c>
      <c r="B194" s="219"/>
      <c r="C194" s="218" t="s">
        <v>147</v>
      </c>
      <c r="E194" s="94"/>
      <c r="G194" s="94" t="s">
        <v>352</v>
      </c>
      <c r="K194" s="24" t="n">
        <v>0</v>
      </c>
      <c r="M194" s="24" t="n">
        <v>1000000</v>
      </c>
      <c r="O194" s="24" t="n">
        <f aca="false">SUM(K194:N194)</f>
        <v>1000000</v>
      </c>
      <c r="Q194" s="129" t="n">
        <v>0</v>
      </c>
      <c r="R194" s="97"/>
      <c r="S194" s="129" t="n">
        <v>0</v>
      </c>
      <c r="T194" s="97"/>
      <c r="U194" s="129" t="n">
        <v>0</v>
      </c>
      <c r="V194" s="95"/>
      <c r="W194" s="129"/>
      <c r="X194" s="96"/>
      <c r="Y194" s="129"/>
      <c r="Z194" s="96"/>
      <c r="AA194" s="129" t="n">
        <v>10000</v>
      </c>
      <c r="AB194" s="96"/>
      <c r="AC194" s="129" t="n">
        <v>53741.07</v>
      </c>
      <c r="AD194" s="96"/>
      <c r="AE194" s="129" t="n">
        <f aca="false">71014-10000</f>
        <v>61014</v>
      </c>
      <c r="AF194" s="129"/>
      <c r="AG194" s="129" t="n">
        <v>11281</v>
      </c>
      <c r="AH194" s="129"/>
      <c r="AI194" s="129"/>
      <c r="AJ194" s="129"/>
      <c r="AK194" s="129"/>
      <c r="AL194" s="129"/>
      <c r="AM194" s="129"/>
      <c r="AN194" s="129"/>
      <c r="AO194" s="129"/>
      <c r="AP194" s="129"/>
      <c r="AQ194" s="129"/>
      <c r="AR194" s="129"/>
      <c r="AS194" s="95" t="n">
        <f aca="false">SUM(P194:AR194)</f>
        <v>136036.07</v>
      </c>
      <c r="AU194" s="129" t="n">
        <f aca="false">-650000-213964</f>
        <v>-863964</v>
      </c>
      <c r="AW194" s="95" t="n">
        <f aca="false">IF(+O194-AS194+AU194&gt;0,O194-AS194+AU194,0)</f>
        <v>0</v>
      </c>
      <c r="AY194" s="95" t="n">
        <f aca="false">+AW194+AS194</f>
        <v>136036.07</v>
      </c>
      <c r="BA194" s="136" t="n">
        <f aca="false">O194-AS194-AW194</f>
        <v>863963.93</v>
      </c>
    </row>
    <row r="195" customFormat="false" ht="12.75" hidden="false" customHeight="false" outlineLevel="0" collapsed="false">
      <c r="A195" s="152"/>
      <c r="B195" s="219"/>
      <c r="C195" s="218"/>
      <c r="K195" s="24"/>
      <c r="M195" s="24"/>
      <c r="O195" s="24"/>
      <c r="P195" s="2"/>
      <c r="Q195" s="129"/>
      <c r="R195" s="245"/>
      <c r="S195" s="129"/>
      <c r="T195" s="245"/>
      <c r="U195" s="129"/>
      <c r="V195" s="246"/>
      <c r="W195" s="246"/>
      <c r="X195" s="246"/>
      <c r="Y195" s="246"/>
      <c r="Z195" s="246"/>
      <c r="AA195" s="246"/>
      <c r="AB195" s="2"/>
      <c r="AC195" s="246"/>
      <c r="AD195" s="2"/>
      <c r="AE195" s="246"/>
      <c r="AF195" s="246"/>
      <c r="AG195" s="246"/>
      <c r="AH195" s="246"/>
      <c r="AI195" s="246"/>
      <c r="AJ195" s="246"/>
      <c r="AK195" s="246"/>
      <c r="AL195" s="246"/>
      <c r="AM195" s="246"/>
      <c r="AN195" s="246"/>
      <c r="AO195" s="246"/>
      <c r="AP195" s="246"/>
      <c r="AQ195" s="246"/>
      <c r="AR195" s="2"/>
      <c r="AS195" s="2"/>
      <c r="AT195" s="2"/>
      <c r="AU195" s="246"/>
      <c r="AV195" s="2"/>
      <c r="AW195" s="2"/>
      <c r="AX195" s="2"/>
      <c r="AY195" s="2"/>
      <c r="AZ195" s="2"/>
      <c r="BA195" s="24"/>
      <c r="BB195" s="2"/>
    </row>
    <row r="196" customFormat="false" ht="12.75" hidden="false" customHeight="false" outlineLevel="0" collapsed="false">
      <c r="A196" s="225"/>
      <c r="B196" s="249" t="s">
        <v>353</v>
      </c>
      <c r="C196" s="218"/>
      <c r="K196" s="24" t="n">
        <f aca="false">K169+K171+K184+K192+K194</f>
        <v>2850000</v>
      </c>
      <c r="M196" s="24" t="n">
        <f aca="false">M169+M171+M184+M192+M194</f>
        <v>-250000</v>
      </c>
      <c r="O196" s="24" t="n">
        <f aca="false">O169+O171+O184+O192+O194</f>
        <v>2693542</v>
      </c>
      <c r="Q196" s="129" t="n">
        <f aca="false">Q169+Q171+Q184+Q192+Q194</f>
        <v>271926.91</v>
      </c>
      <c r="S196" s="129" t="n">
        <f aca="false">S169+S171+S184+S192+S194</f>
        <v>71281.9433333333</v>
      </c>
      <c r="U196" s="129" t="n">
        <f aca="false">U169+U171+U184+U192+U194</f>
        <v>976595.77</v>
      </c>
      <c r="W196" s="129" t="n">
        <f aca="false">W169+W171+W184+W192+W194</f>
        <v>154476.5</v>
      </c>
      <c r="Y196" s="129" t="n">
        <f aca="false">Y169+Y171+Y184+Y192+Y194</f>
        <v>-21839.15</v>
      </c>
      <c r="AA196" s="129" t="n">
        <f aca="false">AA169+AA171+AA184+AA192+AA194</f>
        <v>12187.8</v>
      </c>
      <c r="AC196" s="129" t="n">
        <f aca="false">AC169+AC171+AC184+AC192+AC194</f>
        <v>564200.91</v>
      </c>
      <c r="AE196" s="129" t="n">
        <f aca="false">AE169+AE171+AE184+AE192+AE194</f>
        <v>135175.6</v>
      </c>
      <c r="AF196" s="129"/>
      <c r="AG196" s="129" t="n">
        <f aca="false">AG169+AG171+AG184+AG192+AG194</f>
        <v>173238.78</v>
      </c>
      <c r="AH196" s="129"/>
      <c r="AI196" s="129" t="n">
        <f aca="false">AI169+AI171+AI184+AI192+AI194</f>
        <v>67695.36</v>
      </c>
      <c r="AJ196" s="129"/>
      <c r="AK196" s="129" t="n">
        <f aca="false">AK169+AK171+AK184+AK192+AK194</f>
        <v>63228.21</v>
      </c>
      <c r="AL196" s="129"/>
      <c r="AM196" s="129" t="n">
        <f aca="false">AM169+AM171+AM184+AM192+AM194</f>
        <v>6744.96</v>
      </c>
      <c r="AN196" s="129"/>
      <c r="AO196" s="129" t="n">
        <f aca="false">AO169+AO171+AO184+AO192+AO194</f>
        <v>255501.84</v>
      </c>
      <c r="AP196" s="129"/>
      <c r="AQ196" s="129" t="n">
        <f aca="false">AQ169+AQ171+AQ184+AQ192+AQ194</f>
        <v>107679.56</v>
      </c>
      <c r="AS196" s="24" t="n">
        <f aca="false">AS169+AS171+AS184+AS192+AS194</f>
        <v>2838094.99333333</v>
      </c>
      <c r="AU196" s="129" t="n">
        <f aca="false">AU169+AU171+AU184+AU192+AU194</f>
        <v>-539653</v>
      </c>
      <c r="AW196" s="24" t="n">
        <f aca="false">AW169+AW171+AW184+AW192+AW194</f>
        <v>0</v>
      </c>
      <c r="AY196" s="24" t="n">
        <f aca="false">+AW196+AS196</f>
        <v>2838094.99333333</v>
      </c>
      <c r="BA196" s="24" t="n">
        <f aca="false">O196-AS196-AW196</f>
        <v>-144552.993333333</v>
      </c>
    </row>
    <row r="197" customFormat="false" ht="12.75" hidden="false" customHeight="false" outlineLevel="0" collapsed="false">
      <c r="A197" s="225"/>
      <c r="B197" s="222"/>
      <c r="C197" s="218"/>
      <c r="K197" s="24"/>
      <c r="M197" s="24"/>
      <c r="O197" s="24"/>
      <c r="Q197" s="129"/>
      <c r="S197" s="129"/>
      <c r="U197" s="96"/>
      <c r="BA197" s="24"/>
    </row>
    <row r="198" customFormat="false" ht="13.5" hidden="false" customHeight="false" outlineLevel="0" collapsed="false">
      <c r="A198" s="250" t="s">
        <v>420</v>
      </c>
      <c r="B198" s="251"/>
      <c r="C198" s="171"/>
      <c r="K198" s="149" t="n">
        <f aca="false">K196+K161</f>
        <v>153583726.616</v>
      </c>
      <c r="M198" s="149" t="n">
        <f aca="false">M196+M161</f>
        <v>-4779276</v>
      </c>
      <c r="O198" s="149" t="n">
        <f aca="false">O196+O161</f>
        <v>148897992.616</v>
      </c>
      <c r="Q198" s="150" t="n">
        <f aca="false">Q196+Q161</f>
        <v>43104547.39</v>
      </c>
      <c r="S198" s="150" t="n">
        <f aca="false">S196+S161</f>
        <v>-307452.656666667</v>
      </c>
      <c r="U198" s="150" t="n">
        <f aca="false">U196+U161</f>
        <v>13359456.79</v>
      </c>
      <c r="W198" s="150" t="n">
        <f aca="false">W196+W161</f>
        <v>8406455.95</v>
      </c>
      <c r="Y198" s="150" t="n">
        <f aca="false">Y196+Y161</f>
        <v>14908822.88</v>
      </c>
      <c r="AA198" s="150" t="n">
        <f aca="false">AA196+AA161</f>
        <v>16489517.34</v>
      </c>
      <c r="AC198" s="150" t="n">
        <f aca="false">AC196+AC161</f>
        <v>20302856.51</v>
      </c>
      <c r="AE198" s="150" t="n">
        <f aca="false">AE196+AE161</f>
        <v>4857453.81</v>
      </c>
      <c r="AF198" s="129"/>
      <c r="AG198" s="150" t="n">
        <f aca="false">AG196+AG161</f>
        <v>10786328.01</v>
      </c>
      <c r="AH198" s="129"/>
      <c r="AI198" s="150" t="n">
        <f aca="false">AI196+AI161</f>
        <v>8407850.63</v>
      </c>
      <c r="AJ198" s="129"/>
      <c r="AK198" s="150" t="n">
        <f aca="false">AK196+AK161</f>
        <v>3884763.65</v>
      </c>
      <c r="AL198" s="150"/>
      <c r="AM198" s="150" t="n">
        <f aca="false">AM196+AM161</f>
        <v>1214486.87</v>
      </c>
      <c r="AN198" s="129"/>
      <c r="AO198" s="150" t="n">
        <f aca="false">AO196+AO161</f>
        <v>6085107.03</v>
      </c>
      <c r="AP198" s="129"/>
      <c r="AQ198" s="150" t="n">
        <f aca="false">AQ196+AQ161</f>
        <v>135096.76</v>
      </c>
      <c r="AS198" s="149" t="n">
        <f aca="false">AS196+AS161</f>
        <v>151635290.963333</v>
      </c>
      <c r="AU198" s="150" t="n">
        <f aca="false">AU196+AU161</f>
        <v>3101791.33</v>
      </c>
      <c r="AW198" s="149" t="n">
        <f aca="false">AW196+AW161+AW36</f>
        <v>3009367.996</v>
      </c>
      <c r="AY198" s="149" t="n">
        <f aca="false">+AW198+AS198+2</f>
        <v>154644660.959333</v>
      </c>
      <c r="BA198" s="149" t="n">
        <f aca="false">O198-AS198-AW198</f>
        <v>-5746666.34333331</v>
      </c>
      <c r="BC198" s="95"/>
    </row>
    <row r="199" customFormat="false" ht="7.5" hidden="false" customHeight="true" outlineLevel="0" collapsed="false">
      <c r="A199" s="231"/>
      <c r="B199" s="171"/>
      <c r="C199" s="171"/>
      <c r="U199" s="96"/>
    </row>
    <row r="200" customFormat="false" ht="13.5" hidden="false" customHeight="false" outlineLevel="0" collapsed="false">
      <c r="A200" s="250" t="s">
        <v>421</v>
      </c>
      <c r="B200" s="171"/>
      <c r="C200" s="171"/>
      <c r="K200" s="252" t="n">
        <f aca="false">K198/450</f>
        <v>341297.170257778</v>
      </c>
      <c r="O200" s="252" t="n">
        <f aca="false">O198/450</f>
        <v>330884.428035556</v>
      </c>
      <c r="U200" s="96"/>
      <c r="AC200" s="96"/>
      <c r="AE200" s="236"/>
      <c r="AF200" s="236"/>
      <c r="AG200" s="236"/>
      <c r="AH200" s="236"/>
      <c r="AI200" s="236"/>
      <c r="AJ200" s="236"/>
      <c r="AK200" s="236"/>
      <c r="AL200" s="236"/>
      <c r="AM200" s="236"/>
      <c r="AN200" s="236"/>
      <c r="AO200" s="236"/>
      <c r="AP200" s="236"/>
      <c r="AQ200" s="236"/>
      <c r="AY200" s="252" t="n">
        <f aca="false">AY198/450</f>
        <v>343654.802131852</v>
      </c>
    </row>
    <row r="201" customFormat="false" ht="12.75" hidden="false" customHeight="false" outlineLevel="0" collapsed="false">
      <c r="A201" s="0"/>
      <c r="B201" s="0"/>
      <c r="C201" s="0"/>
      <c r="D201" s="0"/>
      <c r="E201" s="0"/>
      <c r="F201" s="0"/>
      <c r="G201" s="0"/>
      <c r="H201" s="0"/>
      <c r="I201" s="0"/>
      <c r="J201" s="0"/>
      <c r="K201" s="0"/>
      <c r="L201" s="0"/>
      <c r="M201" s="0"/>
      <c r="N201" s="0"/>
      <c r="O201" s="0"/>
      <c r="P201" s="0"/>
      <c r="Q201" s="0"/>
      <c r="R201" s="253"/>
      <c r="S201" s="0"/>
      <c r="T201" s="253"/>
      <c r="U201" s="0"/>
      <c r="V201" s="0"/>
      <c r="W201" s="0"/>
      <c r="X201" s="0"/>
      <c r="Y201" s="0"/>
      <c r="Z201" s="0"/>
      <c r="AA201" s="0"/>
      <c r="AB201" s="0"/>
      <c r="AC201" s="6"/>
      <c r="AD201" s="0"/>
      <c r="AE201" s="6"/>
      <c r="AF201" s="0"/>
      <c r="AG201" s="0"/>
      <c r="AH201" s="0"/>
      <c r="AI201" s="0"/>
      <c r="AJ201" s="0"/>
      <c r="AK201" s="0"/>
      <c r="AL201" s="0"/>
      <c r="AM201" s="0"/>
      <c r="AN201" s="0"/>
      <c r="AO201" s="0"/>
      <c r="AP201" s="0"/>
      <c r="AQ201" s="0"/>
      <c r="AR201" s="0"/>
      <c r="AS201" s="0"/>
      <c r="AT201" s="0"/>
      <c r="AU201" s="0"/>
      <c r="AV201" s="0"/>
      <c r="AW201" s="0"/>
      <c r="AX201" s="0"/>
      <c r="AY201" s="0"/>
      <c r="AZ201" s="0"/>
      <c r="BB201" s="0"/>
      <c r="BC201" s="0"/>
      <c r="BD201" s="0"/>
      <c r="BE201" s="0"/>
      <c r="BF201" s="0"/>
      <c r="BG201" s="0"/>
      <c r="BH201" s="0"/>
      <c r="BI201" s="0"/>
      <c r="BJ201" s="0"/>
      <c r="BK201" s="0"/>
      <c r="BL201" s="0"/>
      <c r="BM201" s="0"/>
      <c r="BN201" s="0"/>
      <c r="BO201" s="0"/>
      <c r="BP201" s="0"/>
      <c r="BQ201" s="0"/>
      <c r="BR201" s="0"/>
      <c r="BS201" s="0"/>
      <c r="BT201" s="0"/>
      <c r="BU201" s="0"/>
      <c r="BV201" s="0"/>
      <c r="BW201" s="0"/>
      <c r="BX201" s="0"/>
      <c r="BY201" s="0"/>
      <c r="BZ201" s="0"/>
      <c r="CA201" s="0"/>
      <c r="CB201" s="0"/>
      <c r="CC201" s="0"/>
      <c r="CD201" s="0"/>
      <c r="CE201" s="0"/>
      <c r="CF201" s="0"/>
      <c r="CG201" s="0"/>
      <c r="CH201" s="0"/>
      <c r="CI201" s="0"/>
      <c r="CJ201" s="0"/>
      <c r="CK201" s="0"/>
      <c r="CL201" s="0"/>
      <c r="CM201" s="0"/>
      <c r="CN201" s="0"/>
      <c r="CO201" s="0"/>
      <c r="CP201" s="0"/>
      <c r="CQ201" s="0"/>
      <c r="CR201" s="0"/>
      <c r="CS201" s="0"/>
      <c r="CT201" s="0"/>
      <c r="CU201" s="0"/>
      <c r="CV201" s="0"/>
      <c r="CW201" s="0"/>
      <c r="CX201" s="0"/>
      <c r="CY201" s="0"/>
      <c r="CZ201" s="0"/>
      <c r="DA201" s="0"/>
      <c r="DB201" s="0"/>
      <c r="DC201" s="0"/>
      <c r="DD201" s="0"/>
      <c r="DE201" s="0"/>
      <c r="DF201" s="0"/>
      <c r="DG201" s="0"/>
      <c r="DH201" s="0"/>
      <c r="DI201" s="0"/>
      <c r="DJ201" s="0"/>
      <c r="DK201" s="0"/>
      <c r="DL201" s="0"/>
      <c r="DM201" s="0"/>
      <c r="DN201" s="0"/>
      <c r="DO201" s="0"/>
      <c r="DP201" s="0"/>
      <c r="DQ201" s="0"/>
      <c r="DR201" s="0"/>
      <c r="DS201" s="0"/>
      <c r="DT201" s="0"/>
      <c r="DU201" s="0"/>
      <c r="DV201" s="0"/>
      <c r="DW201" s="0"/>
      <c r="DX201" s="0"/>
      <c r="DY201" s="0"/>
      <c r="DZ201" s="0"/>
      <c r="EA201" s="0"/>
      <c r="EB201" s="0"/>
      <c r="EC201" s="0"/>
      <c r="ED201" s="0"/>
      <c r="EE201" s="0"/>
      <c r="EF201" s="0"/>
      <c r="EG201" s="0"/>
      <c r="EH201" s="0"/>
      <c r="EI201" s="0"/>
      <c r="EJ201" s="0"/>
      <c r="EK201" s="0"/>
      <c r="EL201" s="0"/>
      <c r="EM201" s="0"/>
      <c r="EN201" s="0"/>
      <c r="EO201" s="0"/>
      <c r="EP201" s="0"/>
      <c r="EQ201" s="0"/>
      <c r="ER201" s="0"/>
      <c r="ES201" s="0"/>
      <c r="ET201" s="0"/>
      <c r="EU201" s="0"/>
      <c r="EV201" s="0"/>
      <c r="EW201" s="0"/>
      <c r="EX201" s="0"/>
      <c r="EY201" s="0"/>
      <c r="EZ201" s="0"/>
      <c r="FA201" s="0"/>
      <c r="FB201" s="0"/>
      <c r="FC201" s="0"/>
      <c r="FD201" s="0"/>
      <c r="FE201" s="0"/>
      <c r="FF201" s="0"/>
      <c r="FG201" s="0"/>
      <c r="FH201" s="0"/>
      <c r="FI201" s="0"/>
      <c r="FJ201" s="0"/>
      <c r="FK201" s="0"/>
      <c r="FL201" s="0"/>
      <c r="FM201" s="0"/>
      <c r="FN201" s="0"/>
      <c r="FO201" s="0"/>
      <c r="FP201" s="0"/>
      <c r="FQ201" s="0"/>
      <c r="FR201" s="0"/>
      <c r="FS201" s="0"/>
      <c r="FT201" s="0"/>
      <c r="FU201" s="0"/>
      <c r="FV201" s="0"/>
      <c r="FW201" s="0"/>
      <c r="FX201" s="0"/>
      <c r="FY201" s="0"/>
      <c r="FZ201" s="0"/>
      <c r="GA201" s="0"/>
      <c r="GB201" s="0"/>
      <c r="GC201" s="0"/>
      <c r="GD201" s="0"/>
      <c r="GE201" s="0"/>
      <c r="GF201" s="0"/>
      <c r="GG201" s="0"/>
      <c r="GH201" s="0"/>
      <c r="GI201" s="0"/>
      <c r="GJ201" s="0"/>
      <c r="GK201" s="0"/>
      <c r="GL201" s="0"/>
      <c r="GM201" s="0"/>
      <c r="GN201" s="0"/>
      <c r="GO201" s="0"/>
      <c r="GP201" s="0"/>
      <c r="GQ201" s="0"/>
      <c r="GR201" s="0"/>
      <c r="GS201" s="0"/>
      <c r="GT201" s="0"/>
      <c r="GU201" s="0"/>
      <c r="GV201" s="0"/>
      <c r="GW201" s="0"/>
      <c r="GX201" s="0"/>
      <c r="GY201" s="0"/>
      <c r="GZ201" s="0"/>
      <c r="HA201" s="0"/>
      <c r="HB201" s="0"/>
      <c r="HC201" s="0"/>
      <c r="HD201" s="0"/>
      <c r="HE201" s="0"/>
      <c r="HF201" s="0"/>
      <c r="HG201" s="0"/>
      <c r="HH201" s="0"/>
      <c r="HI201" s="0"/>
      <c r="HJ201" s="0"/>
      <c r="HK201" s="0"/>
      <c r="HL201" s="0"/>
      <c r="HM201" s="0"/>
      <c r="HN201" s="0"/>
      <c r="HO201" s="0"/>
      <c r="HP201" s="0"/>
      <c r="HQ201" s="0"/>
      <c r="HR201" s="0"/>
      <c r="HS201" s="0"/>
      <c r="HT201" s="0"/>
      <c r="HU201" s="0"/>
      <c r="HV201" s="0"/>
      <c r="HW201" s="0"/>
      <c r="HX201" s="0"/>
      <c r="HY201" s="0"/>
      <c r="HZ201" s="0"/>
      <c r="IA201" s="0"/>
      <c r="IB201" s="0"/>
      <c r="IC201" s="0"/>
      <c r="ID201" s="0"/>
      <c r="IE201" s="0"/>
      <c r="IF201" s="0"/>
      <c r="IG201" s="0"/>
      <c r="IH201" s="0"/>
      <c r="II201" s="0"/>
      <c r="IJ201" s="0"/>
      <c r="IK201" s="0"/>
      <c r="IL201" s="0"/>
      <c r="IM201" s="0"/>
      <c r="IN201" s="0"/>
      <c r="IO201" s="0"/>
      <c r="IP201" s="0"/>
      <c r="IQ201" s="0"/>
      <c r="IR201" s="0"/>
      <c r="IS201" s="0"/>
      <c r="IT201" s="0"/>
      <c r="IU201" s="0"/>
      <c r="IV201" s="0"/>
      <c r="IW201" s="0"/>
    </row>
    <row r="202" customFormat="false" ht="12.75" hidden="false" customHeight="false" outlineLevel="0" collapsed="false">
      <c r="A202" s="2"/>
      <c r="B202" s="0"/>
      <c r="C202" s="0"/>
      <c r="D202" s="0"/>
      <c r="E202" s="0"/>
      <c r="F202" s="0"/>
      <c r="G202" s="0"/>
      <c r="H202" s="0"/>
      <c r="I202" s="0"/>
      <c r="J202" s="0"/>
      <c r="K202" s="0"/>
      <c r="L202" s="0"/>
      <c r="M202" s="0"/>
      <c r="N202" s="0"/>
      <c r="O202" s="0"/>
      <c r="P202" s="0"/>
      <c r="Q202" s="0"/>
      <c r="R202" s="253"/>
      <c r="S202" s="0"/>
      <c r="T202" s="253"/>
      <c r="U202" s="0"/>
      <c r="V202" s="0"/>
      <c r="W202" s="0"/>
      <c r="X202" s="0"/>
      <c r="Y202" s="0"/>
      <c r="Z202" s="0"/>
      <c r="AA202" s="6"/>
      <c r="AB202" s="0"/>
      <c r="AC202" s="6"/>
      <c r="AD202" s="0"/>
      <c r="AE202" s="6"/>
      <c r="AF202" s="0"/>
      <c r="AG202" s="0"/>
      <c r="AH202" s="0"/>
      <c r="AI202" s="0"/>
      <c r="AJ202" s="0"/>
      <c r="AK202" s="0"/>
      <c r="AL202" s="0"/>
      <c r="AM202" s="0"/>
      <c r="AN202" s="0"/>
      <c r="AO202" s="0"/>
      <c r="AP202" s="0"/>
      <c r="AQ202" s="0"/>
      <c r="AR202" s="0"/>
      <c r="AS202" s="0"/>
      <c r="AT202" s="0"/>
      <c r="AU202" s="0"/>
      <c r="AV202" s="0"/>
      <c r="AW202" s="0"/>
      <c r="AX202" s="0"/>
      <c r="AY202" s="0"/>
      <c r="AZ202" s="0"/>
      <c r="BB202" s="0"/>
      <c r="BC202" s="0"/>
      <c r="BD202" s="0"/>
      <c r="BE202" s="0"/>
      <c r="BF202" s="0"/>
      <c r="BG202" s="0"/>
      <c r="BH202" s="0"/>
      <c r="BI202" s="0"/>
      <c r="BJ202" s="0"/>
      <c r="BK202" s="0"/>
      <c r="BL202" s="0"/>
      <c r="BM202" s="0"/>
      <c r="BN202" s="0"/>
      <c r="BO202" s="0"/>
      <c r="BP202" s="0"/>
      <c r="BQ202" s="0"/>
      <c r="BR202" s="0"/>
      <c r="BS202" s="0"/>
      <c r="BT202" s="0"/>
      <c r="BU202" s="0"/>
      <c r="BV202" s="0"/>
      <c r="BW202" s="0"/>
      <c r="BX202" s="0"/>
      <c r="BY202" s="0"/>
      <c r="BZ202" s="0"/>
      <c r="CA202" s="0"/>
      <c r="CB202" s="0"/>
      <c r="CC202" s="0"/>
      <c r="CD202" s="0"/>
      <c r="CE202" s="0"/>
      <c r="CF202" s="0"/>
      <c r="CG202" s="0"/>
      <c r="CH202" s="0"/>
      <c r="CI202" s="0"/>
      <c r="CJ202" s="0"/>
      <c r="CK202" s="0"/>
      <c r="CL202" s="0"/>
      <c r="CM202" s="0"/>
      <c r="CN202" s="0"/>
      <c r="CO202" s="0"/>
      <c r="CP202" s="0"/>
      <c r="CQ202" s="0"/>
      <c r="CR202" s="0"/>
      <c r="CS202" s="0"/>
      <c r="CT202" s="0"/>
      <c r="CU202" s="0"/>
      <c r="CV202" s="0"/>
      <c r="CW202" s="0"/>
      <c r="CX202" s="0"/>
      <c r="CY202" s="0"/>
      <c r="CZ202" s="0"/>
      <c r="DA202" s="0"/>
      <c r="DB202" s="0"/>
      <c r="DC202" s="0"/>
      <c r="DD202" s="0"/>
      <c r="DE202" s="0"/>
      <c r="DF202" s="0"/>
      <c r="DG202" s="0"/>
      <c r="DH202" s="0"/>
      <c r="DI202" s="0"/>
      <c r="DJ202" s="0"/>
      <c r="DK202" s="0"/>
      <c r="DL202" s="0"/>
      <c r="DM202" s="0"/>
      <c r="DN202" s="0"/>
      <c r="DO202" s="0"/>
      <c r="DP202" s="0"/>
      <c r="DQ202" s="0"/>
      <c r="DR202" s="0"/>
      <c r="DS202" s="0"/>
      <c r="DT202" s="0"/>
      <c r="DU202" s="0"/>
      <c r="DV202" s="0"/>
      <c r="DW202" s="0"/>
      <c r="DX202" s="0"/>
      <c r="DY202" s="0"/>
      <c r="DZ202" s="0"/>
      <c r="EA202" s="0"/>
      <c r="EB202" s="0"/>
      <c r="EC202" s="0"/>
      <c r="ED202" s="0"/>
      <c r="EE202" s="0"/>
      <c r="EF202" s="0"/>
      <c r="EG202" s="0"/>
      <c r="EH202" s="0"/>
      <c r="EI202" s="0"/>
      <c r="EJ202" s="0"/>
      <c r="EK202" s="0"/>
      <c r="EL202" s="0"/>
      <c r="EM202" s="0"/>
      <c r="EN202" s="0"/>
      <c r="EO202" s="0"/>
      <c r="EP202" s="0"/>
      <c r="EQ202" s="0"/>
      <c r="ER202" s="0"/>
      <c r="ES202" s="0"/>
      <c r="ET202" s="0"/>
      <c r="EU202" s="0"/>
      <c r="EV202" s="0"/>
      <c r="EW202" s="0"/>
      <c r="EX202" s="0"/>
      <c r="EY202" s="0"/>
      <c r="EZ202" s="0"/>
      <c r="FA202" s="0"/>
      <c r="FB202" s="0"/>
      <c r="FC202" s="0"/>
      <c r="FD202" s="0"/>
      <c r="FE202" s="0"/>
      <c r="FF202" s="0"/>
      <c r="FG202" s="0"/>
      <c r="FH202" s="0"/>
      <c r="FI202" s="0"/>
      <c r="FJ202" s="0"/>
      <c r="FK202" s="0"/>
      <c r="FL202" s="0"/>
      <c r="FM202" s="0"/>
      <c r="FN202" s="0"/>
      <c r="FO202" s="0"/>
      <c r="FP202" s="0"/>
      <c r="FQ202" s="0"/>
      <c r="FR202" s="0"/>
      <c r="FS202" s="0"/>
      <c r="FT202" s="0"/>
      <c r="FU202" s="0"/>
      <c r="FV202" s="0"/>
      <c r="FW202" s="0"/>
      <c r="FX202" s="0"/>
      <c r="FY202" s="0"/>
      <c r="FZ202" s="0"/>
      <c r="GA202" s="0"/>
      <c r="GB202" s="0"/>
      <c r="GC202" s="0"/>
      <c r="GD202" s="0"/>
      <c r="GE202" s="0"/>
      <c r="GF202" s="0"/>
      <c r="GG202" s="0"/>
      <c r="GH202" s="0"/>
      <c r="GI202" s="0"/>
      <c r="GJ202" s="0"/>
      <c r="GK202" s="0"/>
      <c r="GL202" s="0"/>
      <c r="GM202" s="0"/>
      <c r="GN202" s="0"/>
      <c r="GO202" s="0"/>
      <c r="GP202" s="0"/>
      <c r="GQ202" s="0"/>
      <c r="GR202" s="0"/>
      <c r="GS202" s="0"/>
      <c r="GT202" s="0"/>
      <c r="GU202" s="0"/>
      <c r="GV202" s="0"/>
      <c r="GW202" s="0"/>
      <c r="GX202" s="0"/>
      <c r="GY202" s="0"/>
      <c r="GZ202" s="0"/>
      <c r="HA202" s="0"/>
      <c r="HB202" s="0"/>
      <c r="HC202" s="0"/>
      <c r="HD202" s="0"/>
      <c r="HE202" s="0"/>
      <c r="HF202" s="0"/>
      <c r="HG202" s="0"/>
      <c r="HH202" s="0"/>
      <c r="HI202" s="0"/>
      <c r="HJ202" s="0"/>
      <c r="HK202" s="0"/>
      <c r="HL202" s="0"/>
      <c r="HM202" s="0"/>
      <c r="HN202" s="0"/>
      <c r="HO202" s="0"/>
      <c r="HP202" s="0"/>
      <c r="HQ202" s="0"/>
      <c r="HR202" s="0"/>
      <c r="HS202" s="0"/>
      <c r="HT202" s="0"/>
      <c r="HU202" s="0"/>
      <c r="HV202" s="0"/>
      <c r="HW202" s="0"/>
      <c r="HX202" s="0"/>
      <c r="HY202" s="0"/>
      <c r="HZ202" s="0"/>
      <c r="IA202" s="0"/>
      <c r="IB202" s="0"/>
      <c r="IC202" s="0"/>
      <c r="ID202" s="0"/>
      <c r="IE202" s="0"/>
      <c r="IF202" s="0"/>
      <c r="IG202" s="0"/>
      <c r="IH202" s="0"/>
      <c r="II202" s="0"/>
      <c r="IJ202" s="0"/>
      <c r="IK202" s="0"/>
      <c r="IL202" s="0"/>
      <c r="IM202" s="0"/>
      <c r="IN202" s="0"/>
      <c r="IO202" s="0"/>
      <c r="IP202" s="0"/>
      <c r="IQ202" s="0"/>
      <c r="IR202" s="0"/>
      <c r="IS202" s="0"/>
      <c r="IT202" s="0"/>
      <c r="IU202" s="0"/>
      <c r="IV202" s="0"/>
      <c r="IW202" s="0"/>
    </row>
    <row r="203" customFormat="false" ht="12.75" hidden="false" customHeight="false" outlineLevel="0" collapsed="false">
      <c r="A203" s="2"/>
      <c r="B203" s="0"/>
      <c r="C203" s="0"/>
      <c r="D203" s="0"/>
      <c r="E203" s="0"/>
      <c r="F203" s="0"/>
      <c r="G203" s="0"/>
      <c r="H203" s="0"/>
      <c r="I203" s="0"/>
      <c r="J203" s="0"/>
      <c r="K203" s="0"/>
      <c r="L203" s="0"/>
      <c r="M203" s="0"/>
      <c r="N203" s="0"/>
      <c r="O203" s="0"/>
      <c r="P203" s="0"/>
      <c r="Q203" s="6"/>
      <c r="R203" s="253"/>
      <c r="S203" s="6"/>
      <c r="T203" s="253"/>
      <c r="U203" s="6"/>
      <c r="V203" s="0"/>
      <c r="W203" s="6"/>
      <c r="X203" s="0"/>
      <c r="Y203" s="6"/>
      <c r="Z203" s="0"/>
      <c r="AA203" s="6"/>
      <c r="AB203" s="0"/>
      <c r="AC203" s="6"/>
      <c r="AD203" s="0"/>
      <c r="AE203" s="6"/>
      <c r="AF203" s="0"/>
      <c r="AG203" s="0"/>
      <c r="AH203" s="0"/>
      <c r="AI203" s="0"/>
      <c r="AJ203" s="0"/>
      <c r="AK203" s="0"/>
      <c r="AL203" s="0"/>
      <c r="AM203" s="0"/>
      <c r="AN203" s="0"/>
      <c r="AO203" s="0"/>
      <c r="AP203" s="0"/>
      <c r="AQ203" s="0"/>
      <c r="AR203" s="0"/>
      <c r="AS203" s="0"/>
      <c r="AT203" s="0"/>
      <c r="AU203" s="0"/>
      <c r="AV203" s="0"/>
      <c r="AW203" s="0"/>
      <c r="AX203" s="0"/>
      <c r="AY203" s="0"/>
      <c r="AZ203" s="0"/>
      <c r="BB203" s="0"/>
      <c r="BC203" s="0"/>
      <c r="BD203" s="0"/>
      <c r="BE203" s="0"/>
      <c r="BF203" s="0"/>
      <c r="BG203" s="0"/>
      <c r="BH203" s="0"/>
      <c r="BI203" s="0"/>
      <c r="BJ203" s="0"/>
      <c r="BK203" s="0"/>
      <c r="BL203" s="0"/>
      <c r="BM203" s="0"/>
      <c r="BN203" s="0"/>
      <c r="BO203" s="0"/>
      <c r="BP203" s="0"/>
      <c r="BQ203" s="0"/>
      <c r="BR203" s="0"/>
      <c r="BS203" s="0"/>
      <c r="BT203" s="0"/>
      <c r="BU203" s="0"/>
      <c r="BV203" s="0"/>
      <c r="BW203" s="0"/>
      <c r="BX203" s="0"/>
      <c r="BY203" s="0"/>
      <c r="BZ203" s="0"/>
      <c r="CA203" s="0"/>
      <c r="CB203" s="0"/>
      <c r="CC203" s="0"/>
      <c r="CD203" s="0"/>
      <c r="CE203" s="0"/>
      <c r="CF203" s="0"/>
      <c r="CG203" s="0"/>
      <c r="CH203" s="0"/>
      <c r="CI203" s="0"/>
      <c r="CJ203" s="0"/>
      <c r="CK203" s="0"/>
      <c r="CL203" s="0"/>
      <c r="CM203" s="0"/>
      <c r="CN203" s="0"/>
      <c r="CO203" s="0"/>
      <c r="CP203" s="0"/>
      <c r="CQ203" s="0"/>
      <c r="CR203" s="0"/>
      <c r="CS203" s="0"/>
      <c r="CT203" s="0"/>
      <c r="CU203" s="0"/>
      <c r="CV203" s="0"/>
      <c r="CW203" s="0"/>
      <c r="CX203" s="0"/>
      <c r="CY203" s="0"/>
      <c r="CZ203" s="0"/>
      <c r="DA203" s="0"/>
      <c r="DB203" s="0"/>
      <c r="DC203" s="0"/>
      <c r="DD203" s="0"/>
      <c r="DE203" s="0"/>
      <c r="DF203" s="0"/>
      <c r="DG203" s="0"/>
      <c r="DH203" s="0"/>
      <c r="DI203" s="0"/>
      <c r="DJ203" s="0"/>
      <c r="DK203" s="0"/>
      <c r="DL203" s="0"/>
      <c r="DM203" s="0"/>
      <c r="DN203" s="0"/>
      <c r="DO203" s="0"/>
      <c r="DP203" s="0"/>
      <c r="DQ203" s="0"/>
      <c r="DR203" s="0"/>
      <c r="DS203" s="0"/>
      <c r="DT203" s="0"/>
      <c r="DU203" s="0"/>
      <c r="DV203" s="0"/>
      <c r="DW203" s="0"/>
      <c r="DX203" s="0"/>
      <c r="DY203" s="0"/>
      <c r="DZ203" s="0"/>
      <c r="EA203" s="0"/>
      <c r="EB203" s="0"/>
      <c r="EC203" s="0"/>
      <c r="ED203" s="0"/>
      <c r="EE203" s="0"/>
      <c r="EF203" s="0"/>
      <c r="EG203" s="0"/>
      <c r="EH203" s="0"/>
      <c r="EI203" s="0"/>
      <c r="EJ203" s="0"/>
      <c r="EK203" s="0"/>
      <c r="EL203" s="0"/>
      <c r="EM203" s="0"/>
      <c r="EN203" s="0"/>
      <c r="EO203" s="0"/>
      <c r="EP203" s="0"/>
      <c r="EQ203" s="0"/>
      <c r="ER203" s="0"/>
      <c r="ES203" s="0"/>
      <c r="ET203" s="0"/>
      <c r="EU203" s="0"/>
      <c r="EV203" s="0"/>
      <c r="EW203" s="0"/>
      <c r="EX203" s="0"/>
      <c r="EY203" s="0"/>
      <c r="EZ203" s="0"/>
      <c r="FA203" s="0"/>
      <c r="FB203" s="0"/>
      <c r="FC203" s="0"/>
      <c r="FD203" s="0"/>
      <c r="FE203" s="0"/>
      <c r="FF203" s="0"/>
      <c r="FG203" s="0"/>
      <c r="FH203" s="0"/>
      <c r="FI203" s="0"/>
      <c r="FJ203" s="0"/>
      <c r="FK203" s="0"/>
      <c r="FL203" s="0"/>
      <c r="FM203" s="0"/>
      <c r="FN203" s="0"/>
      <c r="FO203" s="0"/>
      <c r="FP203" s="0"/>
      <c r="FQ203" s="0"/>
      <c r="FR203" s="0"/>
      <c r="FS203" s="0"/>
      <c r="FT203" s="0"/>
      <c r="FU203" s="0"/>
      <c r="FV203" s="0"/>
      <c r="FW203" s="0"/>
      <c r="FX203" s="0"/>
      <c r="FY203" s="0"/>
      <c r="FZ203" s="0"/>
      <c r="GA203" s="0"/>
      <c r="GB203" s="0"/>
      <c r="GC203" s="0"/>
      <c r="GD203" s="0"/>
      <c r="GE203" s="0"/>
      <c r="GF203" s="0"/>
      <c r="GG203" s="0"/>
      <c r="GH203" s="0"/>
      <c r="GI203" s="0"/>
      <c r="GJ203" s="0"/>
      <c r="GK203" s="0"/>
      <c r="GL203" s="0"/>
      <c r="GM203" s="0"/>
      <c r="GN203" s="0"/>
      <c r="GO203" s="0"/>
      <c r="GP203" s="0"/>
      <c r="GQ203" s="0"/>
      <c r="GR203" s="0"/>
      <c r="GS203" s="0"/>
      <c r="GT203" s="0"/>
      <c r="GU203" s="0"/>
      <c r="GV203" s="0"/>
      <c r="GW203" s="0"/>
      <c r="GX203" s="0"/>
      <c r="GY203" s="0"/>
      <c r="GZ203" s="0"/>
      <c r="HA203" s="0"/>
      <c r="HB203" s="0"/>
      <c r="HC203" s="0"/>
      <c r="HD203" s="0"/>
      <c r="HE203" s="0"/>
      <c r="HF203" s="0"/>
      <c r="HG203" s="0"/>
      <c r="HH203" s="0"/>
      <c r="HI203" s="0"/>
      <c r="HJ203" s="0"/>
      <c r="HK203" s="0"/>
      <c r="HL203" s="0"/>
      <c r="HM203" s="0"/>
      <c r="HN203" s="0"/>
      <c r="HO203" s="0"/>
      <c r="HP203" s="0"/>
      <c r="HQ203" s="0"/>
      <c r="HR203" s="0"/>
      <c r="HS203" s="0"/>
      <c r="HT203" s="0"/>
      <c r="HU203" s="0"/>
      <c r="HV203" s="0"/>
      <c r="HW203" s="0"/>
      <c r="HX203" s="0"/>
      <c r="HY203" s="0"/>
      <c r="HZ203" s="0"/>
      <c r="IA203" s="0"/>
      <c r="IB203" s="0"/>
      <c r="IC203" s="0"/>
      <c r="ID203" s="0"/>
      <c r="IE203" s="0"/>
      <c r="IF203" s="0"/>
      <c r="IG203" s="0"/>
      <c r="IH203" s="0"/>
      <c r="II203" s="0"/>
      <c r="IJ203" s="0"/>
      <c r="IK203" s="0"/>
      <c r="IL203" s="0"/>
      <c r="IM203" s="0"/>
      <c r="IN203" s="0"/>
      <c r="IO203" s="0"/>
      <c r="IP203" s="0"/>
      <c r="IQ203" s="0"/>
      <c r="IR203" s="0"/>
      <c r="IS203" s="0"/>
      <c r="IT203" s="0"/>
      <c r="IU203" s="0"/>
      <c r="IV203" s="0"/>
      <c r="IW203" s="0"/>
    </row>
    <row r="204" customFormat="false" ht="12.75" hidden="false" customHeight="false" outlineLevel="0" collapsed="false">
      <c r="I204" s="90"/>
      <c r="R204" s="97"/>
      <c r="T204" s="97"/>
      <c r="U204" s="96"/>
      <c r="V204" s="95"/>
      <c r="W204" s="96"/>
      <c r="X204" s="96"/>
      <c r="Y204" s="96"/>
      <c r="Z204" s="96"/>
      <c r="AA204" s="96"/>
      <c r="AB204" s="96"/>
      <c r="AC204" s="96"/>
      <c r="AD204" s="96"/>
      <c r="AE204" s="96"/>
      <c r="AF204" s="96"/>
      <c r="AG204" s="96"/>
      <c r="AH204" s="96"/>
      <c r="AI204" s="96"/>
      <c r="AJ204" s="96"/>
      <c r="AK204" s="96"/>
      <c r="AL204" s="96"/>
      <c r="AM204" s="96"/>
      <c r="AN204" s="96"/>
      <c r="AO204" s="96"/>
      <c r="AP204" s="96"/>
      <c r="AQ204" s="96"/>
      <c r="AR204" s="96"/>
      <c r="AS204" s="95"/>
      <c r="AU204" s="96"/>
      <c r="AW204" s="95"/>
      <c r="AY204" s="95"/>
    </row>
    <row r="205" customFormat="false" ht="12.75" hidden="false" customHeight="false" outlineLevel="0" collapsed="false">
      <c r="A205" s="2" t="s">
        <v>356</v>
      </c>
      <c r="B205" s="2"/>
      <c r="C205" s="2"/>
      <c r="D205" s="2"/>
      <c r="E205" s="2"/>
      <c r="F205" s="2"/>
      <c r="G205" s="3"/>
      <c r="H205" s="2"/>
      <c r="I205" s="2"/>
      <c r="J205" s="2"/>
      <c r="K205" s="24" t="n">
        <v>0</v>
      </c>
      <c r="L205" s="2"/>
      <c r="M205" s="24"/>
      <c r="N205" s="2"/>
      <c r="O205" s="24" t="n">
        <f aca="false">SUM(K205:N205)</f>
        <v>0</v>
      </c>
      <c r="P205" s="2"/>
      <c r="Q205" s="129" t="n">
        <v>0</v>
      </c>
      <c r="R205" s="191"/>
      <c r="S205" s="129" t="n">
        <v>0</v>
      </c>
      <c r="T205" s="191"/>
      <c r="U205" s="129" t="n">
        <v>0</v>
      </c>
      <c r="V205" s="24"/>
      <c r="W205" s="129"/>
      <c r="X205" s="129"/>
      <c r="Y205" s="129"/>
      <c r="Z205" s="129"/>
      <c r="AA205" s="129"/>
      <c r="AB205" s="129"/>
      <c r="AC205" s="129"/>
      <c r="AD205" s="129"/>
      <c r="AE205" s="129"/>
      <c r="AF205" s="129"/>
      <c r="AG205" s="129"/>
      <c r="AH205" s="129"/>
      <c r="AI205" s="129"/>
      <c r="AJ205" s="129"/>
      <c r="AK205" s="129"/>
      <c r="AL205" s="129"/>
      <c r="AM205" s="129"/>
      <c r="AN205" s="129"/>
      <c r="AO205" s="129"/>
      <c r="AP205" s="129"/>
      <c r="AQ205" s="129"/>
      <c r="AR205" s="129"/>
      <c r="AS205" s="24" t="n">
        <f aca="false">SUM(P205:AR205)</f>
        <v>0</v>
      </c>
      <c r="AT205" s="2"/>
      <c r="AU205" s="129" t="n">
        <v>0</v>
      </c>
      <c r="AV205" s="2"/>
      <c r="AW205" s="24" t="n">
        <f aca="false">IF(+O205-AS205+AU205&gt;0,O205-AS205+AU205,0)</f>
        <v>0</v>
      </c>
      <c r="AX205" s="2"/>
      <c r="AY205" s="24" t="n">
        <f aca="false">+AW205+AS205</f>
        <v>0</v>
      </c>
      <c r="AZ205" s="2"/>
      <c r="BA205" s="24" t="n">
        <f aca="false">+O205-AY205</f>
        <v>0</v>
      </c>
      <c r="BB205" s="2"/>
      <c r="BC205" s="2"/>
      <c r="BD205" s="2"/>
      <c r="BE205" s="2"/>
      <c r="BF205" s="2"/>
      <c r="BG205" s="2"/>
      <c r="BH205" s="2"/>
      <c r="BI205" s="2"/>
      <c r="BJ205" s="2"/>
      <c r="BK205" s="2"/>
      <c r="BL205" s="2"/>
      <c r="BM205" s="2"/>
      <c r="BN205" s="2"/>
      <c r="BO205" s="2"/>
      <c r="BP205" s="2"/>
      <c r="BQ205" s="2"/>
      <c r="BR205" s="2"/>
      <c r="BS205" s="2"/>
      <c r="BT205" s="2"/>
      <c r="BU205" s="2"/>
      <c r="BV205" s="2"/>
      <c r="BW205" s="2"/>
      <c r="BX205" s="2"/>
      <c r="BY205" s="2"/>
      <c r="BZ205" s="2"/>
      <c r="CA205" s="2"/>
      <c r="CB205" s="2"/>
      <c r="CC205" s="2"/>
      <c r="CD205" s="2"/>
      <c r="CE205" s="2"/>
      <c r="CF205" s="2"/>
      <c r="CG205" s="2"/>
      <c r="CH205" s="2"/>
      <c r="CI205" s="2"/>
      <c r="CJ205" s="2"/>
      <c r="CK205" s="2"/>
      <c r="CL205" s="2"/>
      <c r="CM205" s="2"/>
      <c r="CN205" s="2"/>
      <c r="CO205" s="2"/>
      <c r="CP205" s="2"/>
      <c r="CQ205" s="2"/>
      <c r="CR205" s="2"/>
      <c r="CS205" s="2"/>
      <c r="CT205" s="2"/>
      <c r="CU205" s="2"/>
      <c r="CV205" s="2"/>
      <c r="CW205" s="2"/>
      <c r="CX205" s="2"/>
      <c r="CY205" s="2"/>
      <c r="CZ205" s="2"/>
      <c r="DA205" s="2"/>
      <c r="DB205" s="2"/>
      <c r="DC205" s="2"/>
      <c r="DD205" s="2"/>
      <c r="DE205" s="2"/>
      <c r="DF205" s="2"/>
      <c r="DG205" s="2"/>
      <c r="DH205" s="2"/>
      <c r="DI205" s="2"/>
      <c r="DJ205" s="2"/>
      <c r="DK205" s="2"/>
      <c r="DL205" s="2"/>
      <c r="DM205" s="2"/>
      <c r="DN205" s="2"/>
      <c r="DO205" s="2"/>
      <c r="DP205" s="2"/>
      <c r="DQ205" s="2"/>
      <c r="DR205" s="2"/>
      <c r="DS205" s="2"/>
      <c r="DT205" s="2"/>
      <c r="DU205" s="2"/>
      <c r="DV205" s="2"/>
      <c r="DW205" s="2"/>
      <c r="DX205" s="2"/>
      <c r="DY205" s="2"/>
      <c r="DZ205" s="2"/>
      <c r="EA205" s="2"/>
      <c r="EB205" s="2"/>
      <c r="EC205" s="2"/>
      <c r="ED205" s="2"/>
      <c r="EE205" s="2"/>
      <c r="EF205" s="2"/>
      <c r="EG205" s="2"/>
      <c r="EH205" s="2"/>
      <c r="EI205" s="2"/>
      <c r="EJ205" s="2"/>
      <c r="EK205" s="2"/>
      <c r="EL205" s="2"/>
      <c r="EM205" s="2"/>
      <c r="EN205" s="2"/>
      <c r="EO205" s="2"/>
      <c r="EP205" s="2"/>
      <c r="EQ205" s="2"/>
      <c r="ER205" s="2"/>
      <c r="ES205" s="2"/>
      <c r="ET205" s="2"/>
      <c r="EU205" s="2"/>
      <c r="EV205" s="2"/>
      <c r="EW205" s="2"/>
      <c r="EX205" s="2"/>
      <c r="EY205" s="2"/>
      <c r="EZ205" s="2"/>
      <c r="FA205" s="2"/>
      <c r="FB205" s="2"/>
      <c r="FC205" s="2"/>
      <c r="FD205" s="2"/>
      <c r="FE205" s="2"/>
      <c r="FF205" s="2"/>
      <c r="FG205" s="2"/>
      <c r="FH205" s="2"/>
      <c r="FI205" s="2"/>
      <c r="FJ205" s="2"/>
      <c r="FK205" s="2"/>
      <c r="FL205" s="2"/>
      <c r="FM205" s="2"/>
      <c r="FN205" s="2"/>
      <c r="FO205" s="2"/>
      <c r="FP205" s="2"/>
      <c r="FQ205" s="2"/>
      <c r="FR205" s="2"/>
      <c r="FS205" s="2"/>
      <c r="FT205" s="2"/>
      <c r="FU205" s="2"/>
      <c r="FV205" s="2"/>
      <c r="FW205" s="2"/>
      <c r="FX205" s="2"/>
      <c r="FY205" s="2"/>
      <c r="FZ205" s="2"/>
      <c r="GA205" s="2"/>
      <c r="GB205" s="2"/>
      <c r="GC205" s="2"/>
      <c r="GD205" s="2"/>
      <c r="GE205" s="2"/>
      <c r="GF205" s="2"/>
      <c r="GG205" s="2"/>
      <c r="GH205" s="2"/>
      <c r="GI205" s="2"/>
      <c r="GJ205" s="2"/>
      <c r="GK205" s="2"/>
      <c r="GL205" s="2"/>
      <c r="GM205" s="2"/>
      <c r="GN205" s="2"/>
      <c r="GO205" s="2"/>
      <c r="GP205" s="2"/>
      <c r="GQ205" s="2"/>
      <c r="GR205" s="2"/>
      <c r="GS205" s="2"/>
      <c r="GT205" s="2"/>
      <c r="GU205" s="2"/>
      <c r="GV205" s="2"/>
      <c r="GW205" s="2"/>
      <c r="GX205" s="2"/>
      <c r="GY205" s="2"/>
      <c r="GZ205" s="2"/>
      <c r="HA205" s="2"/>
      <c r="HB205" s="2"/>
      <c r="HC205" s="2"/>
      <c r="HD205" s="2"/>
      <c r="HE205" s="2"/>
      <c r="HF205" s="2"/>
      <c r="HG205" s="2"/>
      <c r="HH205" s="2"/>
      <c r="HI205" s="2"/>
      <c r="HJ205" s="2"/>
      <c r="HK205" s="2"/>
      <c r="HL205" s="2"/>
      <c r="HM205" s="2"/>
      <c r="HN205" s="2"/>
      <c r="HO205" s="2"/>
      <c r="HP205" s="2"/>
      <c r="HQ205" s="2"/>
      <c r="HR205" s="2"/>
      <c r="HS205" s="2"/>
      <c r="HT205" s="2"/>
      <c r="HU205" s="2"/>
      <c r="HV205" s="2"/>
      <c r="HW205" s="2"/>
      <c r="HX205" s="2"/>
      <c r="HY205" s="2"/>
      <c r="HZ205" s="2"/>
      <c r="IA205" s="2"/>
      <c r="IB205" s="2"/>
      <c r="IC205" s="2"/>
      <c r="ID205" s="2"/>
      <c r="IE205" s="2"/>
      <c r="IF205" s="2"/>
      <c r="IG205" s="2"/>
      <c r="IH205" s="2"/>
      <c r="II205" s="2"/>
      <c r="IJ205" s="2"/>
      <c r="IK205" s="2"/>
      <c r="IL205" s="2"/>
      <c r="IM205" s="2"/>
      <c r="IN205" s="2"/>
      <c r="IO205" s="2"/>
      <c r="IP205" s="2"/>
      <c r="IQ205" s="2"/>
      <c r="IR205" s="2"/>
      <c r="IS205" s="2"/>
      <c r="IT205" s="2"/>
      <c r="IU205" s="2"/>
      <c r="IV205" s="2"/>
      <c r="IW205" s="2"/>
    </row>
    <row r="206" customFormat="false" ht="12.75" hidden="false" customHeight="false" outlineLevel="0" collapsed="false">
      <c r="A206" s="2" t="s">
        <v>422</v>
      </c>
      <c r="I206" s="90"/>
      <c r="R206" s="97"/>
      <c r="T206" s="97"/>
      <c r="U206" s="96"/>
      <c r="V206" s="95"/>
      <c r="W206" s="96"/>
      <c r="X206" s="96"/>
      <c r="Y206" s="96"/>
      <c r="Z206" s="96"/>
      <c r="AA206" s="96"/>
      <c r="AB206" s="96"/>
      <c r="AC206" s="96"/>
      <c r="AD206" s="96"/>
      <c r="AE206" s="96"/>
      <c r="AF206" s="96"/>
      <c r="AG206" s="96"/>
      <c r="AH206" s="96"/>
      <c r="AI206" s="96"/>
      <c r="AJ206" s="96"/>
      <c r="AK206" s="96"/>
      <c r="AL206" s="96"/>
      <c r="AM206" s="96"/>
      <c r="AN206" s="96"/>
      <c r="AO206" s="96"/>
      <c r="AP206" s="96"/>
      <c r="AQ206" s="96"/>
      <c r="AR206" s="96"/>
      <c r="AS206" s="192" t="n">
        <f aca="false">+[1]Deprec!$F$28</f>
        <v>-1714232.390955</v>
      </c>
      <c r="AU206" s="96"/>
      <c r="AW206" s="95"/>
      <c r="AY206" s="24" t="n">
        <f aca="false">+AS206</f>
        <v>-1714232.390955</v>
      </c>
    </row>
    <row r="207" customFormat="false" ht="13.5" hidden="false" customHeight="false" outlineLevel="0" collapsed="false">
      <c r="A207" s="250" t="s">
        <v>423</v>
      </c>
      <c r="B207" s="251"/>
      <c r="I207" s="90"/>
      <c r="K207" s="193" t="n">
        <f aca="false">+K198+K205</f>
        <v>153583726.616</v>
      </c>
      <c r="M207" s="193" t="n">
        <f aca="false">+M198+M205</f>
        <v>-4779276</v>
      </c>
      <c r="O207" s="193" t="n">
        <f aca="false">+O198+O205</f>
        <v>148897992.616</v>
      </c>
      <c r="R207" s="97"/>
      <c r="T207" s="97"/>
      <c r="U207" s="96"/>
      <c r="V207" s="95"/>
      <c r="W207" s="96"/>
      <c r="X207" s="96"/>
      <c r="Y207" s="96"/>
      <c r="Z207" s="96"/>
      <c r="AA207" s="96"/>
      <c r="AB207" s="96"/>
      <c r="AC207" s="96"/>
      <c r="AD207" s="96"/>
      <c r="AE207" s="96"/>
      <c r="AF207" s="96"/>
      <c r="AG207" s="96"/>
      <c r="AH207" s="96"/>
      <c r="AI207" s="96"/>
      <c r="AJ207" s="96"/>
      <c r="AK207" s="96"/>
      <c r="AL207" s="96"/>
      <c r="AM207" s="96"/>
      <c r="AN207" s="96"/>
      <c r="AO207" s="96"/>
      <c r="AP207" s="96"/>
      <c r="AQ207" s="96"/>
      <c r="AR207" s="96"/>
      <c r="AS207" s="193" t="n">
        <f aca="false">+AS198+AS205+AS206</f>
        <v>149921058.572378</v>
      </c>
      <c r="AU207" s="96"/>
      <c r="AW207" s="193" t="n">
        <f aca="false">+AW198+AW205</f>
        <v>3009367.996</v>
      </c>
      <c r="AY207" s="193" t="n">
        <f aca="false">+AY198+AY205+AY206</f>
        <v>152930428.568378</v>
      </c>
      <c r="BA207" s="193" t="n">
        <f aca="false">+BA198+BA205</f>
        <v>-5746666.34333331</v>
      </c>
    </row>
    <row r="208" customFormat="false" ht="4.5" hidden="false" customHeight="true" outlineLevel="0" collapsed="false">
      <c r="A208" s="231"/>
      <c r="B208" s="171"/>
      <c r="I208" s="90"/>
      <c r="R208" s="97"/>
      <c r="T208" s="97"/>
      <c r="U208" s="96"/>
      <c r="V208" s="95"/>
      <c r="W208" s="96"/>
      <c r="X208" s="96"/>
      <c r="Y208" s="96"/>
      <c r="Z208" s="96"/>
      <c r="AA208" s="96"/>
      <c r="AB208" s="96"/>
      <c r="AC208" s="96"/>
      <c r="AD208" s="96"/>
      <c r="AE208" s="96"/>
      <c r="AF208" s="96"/>
      <c r="AG208" s="96"/>
      <c r="AH208" s="96"/>
      <c r="AI208" s="96"/>
      <c r="AJ208" s="96"/>
      <c r="AK208" s="96"/>
      <c r="AL208" s="96"/>
      <c r="AM208" s="96"/>
      <c r="AN208" s="96"/>
      <c r="AO208" s="96"/>
      <c r="AP208" s="96"/>
      <c r="AQ208" s="96"/>
      <c r="AR208" s="96"/>
      <c r="AS208" s="95"/>
      <c r="AU208" s="96"/>
      <c r="AW208" s="95"/>
      <c r="AY208" s="95"/>
    </row>
    <row r="209" customFormat="false" ht="13.5" hidden="false" customHeight="false" outlineLevel="0" collapsed="false">
      <c r="A209" s="250" t="s">
        <v>355</v>
      </c>
      <c r="B209" s="171"/>
      <c r="I209" s="90"/>
      <c r="K209" s="254" t="n">
        <f aca="false">K207/$K$3</f>
        <v>347474.494606335</v>
      </c>
      <c r="O209" s="254" t="n">
        <f aca="false">O207/$K$3</f>
        <v>336873.286461538</v>
      </c>
      <c r="R209" s="97"/>
      <c r="T209" s="97"/>
      <c r="U209" s="96"/>
      <c r="V209" s="95"/>
      <c r="W209" s="96"/>
      <c r="X209" s="96"/>
      <c r="Y209" s="96"/>
      <c r="Z209" s="96"/>
      <c r="AA209" s="96"/>
      <c r="AB209" s="96"/>
      <c r="AC209" s="96"/>
      <c r="AD209" s="96"/>
      <c r="AE209" s="96"/>
      <c r="AF209" s="96"/>
      <c r="AG209" s="96"/>
      <c r="AH209" s="96"/>
      <c r="AI209" s="96"/>
      <c r="AJ209" s="96"/>
      <c r="AK209" s="96"/>
      <c r="AL209" s="96"/>
      <c r="AM209" s="96"/>
      <c r="AN209" s="96"/>
      <c r="AO209" s="96"/>
      <c r="AP209" s="96"/>
      <c r="AQ209" s="96"/>
      <c r="AR209" s="96"/>
      <c r="AS209" s="95"/>
      <c r="AU209" s="96"/>
      <c r="AW209" s="95"/>
      <c r="AY209" s="254" t="n">
        <f aca="false">AY207/$K$3</f>
        <v>345996.444724838</v>
      </c>
    </row>
    <row r="210" customFormat="false" ht="12.75" hidden="false" customHeight="false" outlineLevel="0" collapsed="false">
      <c r="I210" s="90"/>
      <c r="R210" s="97"/>
      <c r="T210" s="97"/>
      <c r="U210" s="96"/>
      <c r="V210" s="95"/>
      <c r="W210" s="96"/>
      <c r="X210" s="96"/>
      <c r="Y210" s="96"/>
      <c r="Z210" s="96"/>
      <c r="AA210" s="96"/>
      <c r="AB210" s="96"/>
      <c r="AC210" s="96"/>
      <c r="AD210" s="96"/>
      <c r="AE210" s="96"/>
      <c r="AF210" s="96"/>
      <c r="AG210" s="96"/>
      <c r="AH210" s="96"/>
      <c r="AI210" s="96"/>
      <c r="AJ210" s="96"/>
      <c r="AK210" s="96"/>
      <c r="AL210" s="96"/>
      <c r="AM210" s="96"/>
      <c r="AN210" s="96"/>
      <c r="AO210" s="96"/>
      <c r="AP210" s="96"/>
      <c r="AQ210" s="96"/>
      <c r="AR210" s="96"/>
      <c r="AS210" s="95"/>
      <c r="AU210" s="96"/>
      <c r="AW210" s="95"/>
      <c r="AY210" s="95"/>
    </row>
    <row r="211" customFormat="false" ht="12.75" hidden="false" customHeight="false" outlineLevel="0" collapsed="false">
      <c r="I211" s="90"/>
      <c r="R211" s="97"/>
      <c r="T211" s="97"/>
      <c r="U211" s="96"/>
      <c r="V211" s="95"/>
      <c r="W211" s="96"/>
      <c r="X211" s="96"/>
      <c r="Y211" s="96"/>
      <c r="Z211" s="96"/>
      <c r="AA211" s="96"/>
      <c r="AB211" s="96"/>
      <c r="AC211" s="96"/>
      <c r="AD211" s="96"/>
      <c r="AE211" s="96"/>
      <c r="AF211" s="96"/>
      <c r="AG211" s="96"/>
      <c r="AH211" s="96"/>
      <c r="AI211" s="96"/>
      <c r="AJ211" s="96"/>
      <c r="AK211" s="96"/>
      <c r="AL211" s="96"/>
      <c r="AM211" s="96"/>
      <c r="AN211" s="96"/>
      <c r="AO211" s="96"/>
      <c r="AP211" s="96"/>
      <c r="AQ211" s="96"/>
      <c r="AR211" s="96"/>
      <c r="AS211" s="95"/>
      <c r="AU211" s="96"/>
      <c r="AW211" s="95"/>
      <c r="AY211" s="95"/>
      <c r="BA211" s="255" t="str">
        <f aca="true">CELL("filename")</f>
        <v>'file:///mnt/12tb/@roms/datasets/enron/EDRM Enron Email Data Set v2 XML/filtered-attachments/xls/TVA_Wkly_Anal___121499.xls'#$Caledonia</v>
      </c>
    </row>
    <row r="212" customFormat="false" ht="12.75" hidden="false" customHeight="false" outlineLevel="0" collapsed="false">
      <c r="I212" s="90"/>
      <c r="R212" s="97"/>
      <c r="T212" s="97"/>
      <c r="U212" s="96"/>
      <c r="V212" s="95"/>
      <c r="W212" s="96"/>
      <c r="X212" s="96"/>
      <c r="Y212" s="96"/>
      <c r="Z212" s="96"/>
      <c r="AA212" s="96"/>
      <c r="AB212" s="96"/>
      <c r="AC212" s="96"/>
      <c r="AD212" s="96"/>
      <c r="AE212" s="96"/>
      <c r="AF212" s="96"/>
      <c r="AG212" s="96"/>
      <c r="AH212" s="96"/>
      <c r="AI212" s="96"/>
      <c r="AJ212" s="96"/>
      <c r="AK212" s="96"/>
      <c r="AL212" s="96"/>
      <c r="AM212" s="96"/>
      <c r="AN212" s="96"/>
      <c r="AO212" s="96"/>
      <c r="AP212" s="96"/>
      <c r="AQ212" s="96"/>
      <c r="AR212" s="96"/>
      <c r="AS212" s="95"/>
      <c r="AU212" s="96"/>
      <c r="AW212" s="95"/>
      <c r="AY212" s="95"/>
    </row>
    <row r="214" customFormat="false" ht="12.75" hidden="false" customHeight="false" outlineLevel="0" collapsed="false">
      <c r="B214" s="2" t="s">
        <v>359</v>
      </c>
      <c r="I214" s="90"/>
      <c r="R214" s="97"/>
      <c r="T214" s="97"/>
      <c r="U214" s="96"/>
      <c r="V214" s="95"/>
      <c r="W214" s="96"/>
      <c r="X214" s="96"/>
      <c r="Y214" s="96"/>
      <c r="Z214" s="96"/>
      <c r="AA214" s="96"/>
      <c r="AB214" s="96"/>
      <c r="AC214" s="96"/>
      <c r="AD214" s="96"/>
      <c r="AE214" s="96"/>
      <c r="AF214" s="96"/>
      <c r="AG214" s="96"/>
      <c r="AH214" s="96"/>
      <c r="AI214" s="96"/>
      <c r="AJ214" s="96"/>
      <c r="AK214" s="96"/>
      <c r="AL214" s="96"/>
      <c r="AM214" s="96"/>
      <c r="AN214" s="96"/>
      <c r="AO214" s="96"/>
      <c r="AP214" s="96"/>
      <c r="AQ214" s="96"/>
      <c r="AR214" s="96"/>
      <c r="AS214" s="95"/>
      <c r="AU214" s="96"/>
      <c r="AW214" s="95"/>
      <c r="AY214" s="95"/>
    </row>
    <row r="215" customFormat="false" ht="12.75" hidden="false" customHeight="false" outlineLevel="0" collapsed="false">
      <c r="I215" s="90"/>
      <c r="R215" s="97"/>
      <c r="T215" s="97"/>
      <c r="U215" s="96"/>
      <c r="V215" s="95"/>
      <c r="W215" s="96"/>
      <c r="X215" s="96"/>
      <c r="Y215" s="96"/>
      <c r="Z215" s="96"/>
      <c r="AA215" s="96"/>
      <c r="AB215" s="96"/>
      <c r="AC215" s="96"/>
      <c r="AD215" s="96"/>
      <c r="AE215" s="96"/>
      <c r="AF215" s="96"/>
      <c r="AG215" s="96"/>
      <c r="AH215" s="96"/>
      <c r="AI215" s="96"/>
      <c r="AJ215" s="96"/>
      <c r="AK215" s="96"/>
      <c r="AL215" s="96"/>
      <c r="AM215" s="96"/>
      <c r="AN215" s="96"/>
      <c r="AO215" s="96"/>
      <c r="AP215" s="96"/>
      <c r="AQ215" s="96"/>
      <c r="AR215" s="96"/>
      <c r="AS215" s="95"/>
      <c r="AU215" s="96"/>
      <c r="AW215" s="95"/>
      <c r="AY215" s="95"/>
    </row>
    <row r="216" customFormat="false" ht="12.75" hidden="false" customHeight="false" outlineLevel="0" collapsed="false">
      <c r="B216" s="90" t="s">
        <v>360</v>
      </c>
      <c r="I216" s="90"/>
      <c r="O216" s="95" t="n">
        <f aca="false">8735.19+10772844.84+6382.91+-10779227.75+6859219.62+24454869.33+49086841.63</f>
        <v>80409665.77</v>
      </c>
      <c r="R216" s="97"/>
      <c r="T216" s="97"/>
      <c r="U216" s="96"/>
      <c r="V216" s="95"/>
      <c r="W216" s="96"/>
      <c r="X216" s="96"/>
      <c r="Y216" s="96"/>
      <c r="Z216" s="96"/>
      <c r="AA216" s="96"/>
      <c r="AB216" s="96"/>
      <c r="AC216" s="96"/>
      <c r="AD216" s="96"/>
      <c r="AE216" s="96"/>
      <c r="AF216" s="96"/>
      <c r="AG216" s="96"/>
      <c r="AH216" s="96"/>
      <c r="AI216" s="96"/>
      <c r="AJ216" s="96"/>
      <c r="AK216" s="96"/>
      <c r="AL216" s="96"/>
      <c r="AM216" s="96"/>
      <c r="AN216" s="96"/>
      <c r="AO216" s="96"/>
      <c r="AP216" s="96"/>
      <c r="AQ216" s="96"/>
      <c r="AR216" s="96"/>
      <c r="AS216" s="95"/>
      <c r="AU216" s="96"/>
      <c r="AW216" s="95"/>
      <c r="AY216" s="95" t="n">
        <f aca="false">6076683.25+142949312.32</f>
        <v>149025995.57</v>
      </c>
    </row>
    <row r="217" customFormat="false" ht="12.75" hidden="false" customHeight="false" outlineLevel="0" collapsed="false">
      <c r="I217" s="90"/>
      <c r="R217" s="97"/>
      <c r="T217" s="97"/>
      <c r="U217" s="96"/>
      <c r="V217" s="95"/>
      <c r="W217" s="96"/>
      <c r="X217" s="96"/>
      <c r="Y217" s="96"/>
      <c r="Z217" s="96"/>
      <c r="AA217" s="96"/>
      <c r="AB217" s="96"/>
      <c r="AC217" s="96"/>
      <c r="AD217" s="96"/>
      <c r="AE217" s="96"/>
      <c r="AF217" s="96"/>
      <c r="AG217" s="96"/>
      <c r="AH217" s="96"/>
      <c r="AI217" s="96"/>
      <c r="AJ217" s="96"/>
      <c r="AK217" s="96"/>
      <c r="AL217" s="96"/>
      <c r="AM217" s="96"/>
      <c r="AN217" s="96"/>
      <c r="AO217" s="96"/>
      <c r="AP217" s="96"/>
      <c r="AQ217" s="96"/>
      <c r="AR217" s="96"/>
      <c r="AS217" s="95"/>
      <c r="AU217" s="96"/>
      <c r="AW217" s="95"/>
      <c r="AY217" s="95"/>
    </row>
    <row r="218" customFormat="false" ht="12.75" hidden="false" customHeight="false" outlineLevel="0" collapsed="false">
      <c r="I218" s="90"/>
      <c r="R218" s="97"/>
      <c r="T218" s="97"/>
      <c r="U218" s="96"/>
      <c r="V218" s="95"/>
      <c r="W218" s="96"/>
      <c r="X218" s="96"/>
      <c r="Y218" s="96"/>
      <c r="Z218" s="96"/>
      <c r="AA218" s="96"/>
      <c r="AB218" s="96"/>
      <c r="AC218" s="96"/>
      <c r="AD218" s="96"/>
      <c r="AE218" s="96"/>
      <c r="AF218" s="96"/>
      <c r="AG218" s="96"/>
      <c r="AH218" s="96"/>
      <c r="AI218" s="96"/>
      <c r="AJ218" s="96"/>
      <c r="AK218" s="96"/>
      <c r="AL218" s="96"/>
      <c r="AM218" s="96"/>
      <c r="AN218" s="96"/>
      <c r="AO218" s="96"/>
      <c r="AP218" s="96"/>
      <c r="AQ218" s="96"/>
      <c r="AR218" s="96"/>
      <c r="AS218" s="95"/>
      <c r="AU218" s="96"/>
      <c r="AW218" s="95"/>
      <c r="AY218" s="95"/>
    </row>
    <row r="219" customFormat="false" ht="12.75" hidden="false" customHeight="false" outlineLevel="0" collapsed="false">
      <c r="I219" s="90"/>
      <c r="R219" s="97"/>
      <c r="T219" s="97"/>
      <c r="U219" s="96"/>
      <c r="V219" s="95"/>
      <c r="W219" s="96"/>
      <c r="X219" s="96"/>
      <c r="Y219" s="96"/>
      <c r="Z219" s="96"/>
      <c r="AA219" s="96"/>
      <c r="AB219" s="96"/>
      <c r="AC219" s="96"/>
      <c r="AD219" s="96"/>
      <c r="AE219" s="96"/>
      <c r="AF219" s="96"/>
      <c r="AG219" s="96"/>
      <c r="AH219" s="96"/>
      <c r="AI219" s="96"/>
      <c r="AJ219" s="96"/>
      <c r="AK219" s="96"/>
      <c r="AL219" s="96"/>
      <c r="AM219" s="96"/>
      <c r="AN219" s="96"/>
      <c r="AO219" s="96"/>
      <c r="AP219" s="96"/>
      <c r="AQ219" s="96"/>
      <c r="AR219" s="96"/>
      <c r="AS219" s="95"/>
      <c r="AU219" s="96"/>
      <c r="AW219" s="95"/>
      <c r="AY219" s="95"/>
    </row>
    <row r="220" customFormat="false" ht="12.75" hidden="false" customHeight="false" outlineLevel="0" collapsed="false">
      <c r="B220" s="90" t="s">
        <v>424</v>
      </c>
      <c r="I220" s="90"/>
      <c r="O220" s="95" t="n">
        <f aca="false">SUM(O216:O219)</f>
        <v>80409665.77</v>
      </c>
      <c r="Q220" s="96" t="n">
        <f aca="false">AS198</f>
        <v>151635290.963333</v>
      </c>
      <c r="R220" s="97"/>
      <c r="S220" s="96" t="n">
        <f aca="false">AU198</f>
        <v>3101791.33</v>
      </c>
      <c r="T220" s="97"/>
      <c r="U220" s="96"/>
      <c r="V220" s="95"/>
      <c r="W220" s="96"/>
      <c r="X220" s="96"/>
      <c r="Y220" s="96"/>
      <c r="Z220" s="96"/>
      <c r="AA220" s="96"/>
      <c r="AB220" s="96"/>
      <c r="AC220" s="96"/>
      <c r="AD220" s="96"/>
      <c r="AE220" s="96"/>
      <c r="AF220" s="96"/>
      <c r="AG220" s="96"/>
      <c r="AH220" s="96"/>
      <c r="AI220" s="96"/>
      <c r="AJ220" s="96"/>
      <c r="AK220" s="96"/>
      <c r="AL220" s="96"/>
      <c r="AM220" s="96"/>
      <c r="AN220" s="96"/>
      <c r="AO220" s="96"/>
      <c r="AP220" s="96"/>
      <c r="AQ220" s="96"/>
      <c r="AR220" s="96"/>
      <c r="AS220" s="95"/>
      <c r="AU220" s="96"/>
      <c r="AW220" s="95"/>
      <c r="AY220" s="95" t="n">
        <f aca="false">+AS207-AI121-AG121-AE121-AC121-AA121-AS125-AK121-1430-AS206-AM121</f>
        <v>150368507.663333</v>
      </c>
    </row>
    <row r="221" customFormat="false" ht="12.75" hidden="false" customHeight="false" outlineLevel="0" collapsed="false">
      <c r="I221" s="90"/>
      <c r="R221" s="97"/>
      <c r="T221" s="97"/>
      <c r="U221" s="96"/>
      <c r="V221" s="95"/>
      <c r="W221" s="96"/>
      <c r="X221" s="96"/>
      <c r="Y221" s="96"/>
      <c r="Z221" s="96"/>
      <c r="AA221" s="96"/>
      <c r="AB221" s="96"/>
      <c r="AC221" s="96"/>
      <c r="AD221" s="96"/>
      <c r="AE221" s="96"/>
      <c r="AF221" s="96"/>
      <c r="AG221" s="96"/>
      <c r="AH221" s="96"/>
      <c r="AI221" s="96"/>
      <c r="AJ221" s="96"/>
      <c r="AK221" s="96"/>
      <c r="AL221" s="96"/>
      <c r="AM221" s="96"/>
      <c r="AN221" s="96"/>
      <c r="AO221" s="96"/>
      <c r="AP221" s="96"/>
      <c r="AQ221" s="96"/>
      <c r="AR221" s="96"/>
      <c r="AS221" s="95"/>
      <c r="AU221" s="96"/>
      <c r="AW221" s="95"/>
      <c r="AY221" s="95"/>
    </row>
    <row r="222" customFormat="false" ht="12.75" hidden="false" customHeight="false" outlineLevel="0" collapsed="false">
      <c r="I222" s="90"/>
      <c r="R222" s="97"/>
      <c r="T222" s="97"/>
      <c r="U222" s="96"/>
      <c r="V222" s="95"/>
      <c r="W222" s="96"/>
      <c r="X222" s="96"/>
      <c r="Y222" s="96"/>
      <c r="Z222" s="96"/>
      <c r="AA222" s="96"/>
      <c r="AB222" s="96"/>
      <c r="AC222" s="96"/>
      <c r="AD222" s="96"/>
      <c r="AE222" s="96"/>
      <c r="AF222" s="96"/>
      <c r="AG222" s="96"/>
      <c r="AH222" s="96"/>
      <c r="AI222" s="96"/>
      <c r="AJ222" s="96"/>
      <c r="AK222" s="96"/>
      <c r="AL222" s="96"/>
      <c r="AM222" s="96"/>
      <c r="AN222" s="96"/>
      <c r="AO222" s="96"/>
      <c r="AP222" s="96"/>
      <c r="AQ222" s="96"/>
      <c r="AR222" s="96"/>
      <c r="AS222" s="95"/>
      <c r="AU222" s="96"/>
      <c r="AW222" s="95"/>
      <c r="AY222" s="95"/>
    </row>
    <row r="223" customFormat="false" ht="12.75" hidden="false" customHeight="false" outlineLevel="0" collapsed="false">
      <c r="B223" s="90" t="s">
        <v>362</v>
      </c>
      <c r="I223" s="90"/>
      <c r="O223" s="95" t="e">
        <f aca="false">O220-#REF!</f>
        <v>#REF!</v>
      </c>
      <c r="R223" s="97"/>
      <c r="T223" s="97"/>
      <c r="U223" s="96"/>
      <c r="V223" s="95"/>
      <c r="W223" s="96"/>
      <c r="X223" s="96"/>
      <c r="Y223" s="96"/>
      <c r="Z223" s="96"/>
      <c r="AA223" s="96"/>
      <c r="AB223" s="96"/>
      <c r="AC223" s="96"/>
      <c r="AD223" s="96"/>
      <c r="AE223" s="96"/>
      <c r="AF223" s="96"/>
      <c r="AG223" s="96"/>
      <c r="AH223" s="96"/>
      <c r="AI223" s="96"/>
      <c r="AJ223" s="96"/>
      <c r="AK223" s="96"/>
      <c r="AL223" s="96"/>
      <c r="AM223" s="96"/>
      <c r="AN223" s="96"/>
      <c r="AO223" s="96"/>
      <c r="AP223" s="96"/>
      <c r="AQ223" s="96"/>
      <c r="AR223" s="96"/>
      <c r="AS223" s="95"/>
      <c r="AU223" s="96"/>
      <c r="AW223" s="95"/>
      <c r="AY223" s="95" t="n">
        <f aca="false">+AY216-AY220</f>
        <v>-1342512.0933333</v>
      </c>
    </row>
  </sheetData>
  <printOptions headings="false" gridLines="false" gridLinesSet="true" horizontalCentered="true" verticalCentered="false"/>
  <pageMargins left="0.25" right="0.25" top="0.25" bottom="0.25" header="0.511811023622047" footer="0.511811023622047"/>
  <pageSetup paperSize="1" scale="100" fitToWidth="1" fitToHeight="2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119" man="true" max="16383" min="0"/>
  </rowBreaks>
  <colBreaks count="1" manualBreakCount="1">
    <brk id="53" man="true" max="65535" min="0"/>
  </colBreak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44"/>
  <sheetViews>
    <sheetView showFormulas="false" showGridLines="true" showRowColHeaders="true" showZeros="true" rightToLeft="false" tabSelected="false" showOutlineSymbols="true" defaultGridColor="true" view="pageBreakPreview" topLeftCell="A1" colorId="64" zoomScale="100" zoomScaleNormal="75" zoomScalePageLayoutView="100" workbookViewId="0">
      <pane xSplit="9" ySplit="6" topLeftCell="AJ176" activePane="bottomRight" state="frozen"/>
      <selection pane="topLeft" activeCell="A1" activeCellId="0" sqref="A1"/>
      <selection pane="topRight" activeCell="AJ1" activeCellId="0" sqref="AJ1"/>
      <selection pane="bottomLeft" activeCell="A176" activeCellId="0" sqref="A176"/>
      <selection pane="bottomRight" activeCell="AQ221" activeCellId="0" sqref="AQ22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90" width="4.7"/>
    <col collapsed="false" customWidth="true" hidden="false" outlineLevel="0" max="2" min="2" style="90" width="53.99"/>
    <col collapsed="false" customWidth="true" hidden="true" outlineLevel="0" max="3" min="3" style="90" width="17.14"/>
    <col collapsed="false" customWidth="true" hidden="true" outlineLevel="0" max="4" min="4" style="90" width="0.85"/>
    <col collapsed="false" customWidth="true" hidden="true" outlineLevel="0" max="5" min="5" style="94" width="16.84"/>
    <col collapsed="false" customWidth="true" hidden="true" outlineLevel="0" max="6" min="6" style="90" width="0.85"/>
    <col collapsed="false" customWidth="true" hidden="true" outlineLevel="0" max="7" min="7" style="94" width="17.14"/>
    <col collapsed="false" customWidth="true" hidden="true" outlineLevel="0" max="8" min="8" style="90" width="1.99"/>
    <col collapsed="false" customWidth="true" hidden="true" outlineLevel="0" max="9" min="9" style="94" width="0.13"/>
    <col collapsed="false" customWidth="true" hidden="true" outlineLevel="0" max="10" min="10" style="90" width="0.85"/>
    <col collapsed="false" customWidth="true" hidden="true" outlineLevel="0" max="11" min="11" style="95" width="24.56"/>
    <col collapsed="false" customWidth="true" hidden="true" outlineLevel="0" max="12" min="12" style="90" width="0.85"/>
    <col collapsed="false" customWidth="true" hidden="true" outlineLevel="0" max="13" min="13" style="95" width="22.99"/>
    <col collapsed="false" customWidth="true" hidden="true" outlineLevel="0" max="14" min="14" style="90" width="0.85"/>
    <col collapsed="false" customWidth="true" hidden="true" outlineLevel="0" max="15" min="15" style="95" width="28.14"/>
    <col collapsed="false" customWidth="true" hidden="false" outlineLevel="0" max="16" min="16" style="90" width="2.28"/>
    <col collapsed="false" customWidth="true" hidden="true" outlineLevel="0" max="17" min="17" style="96" width="19.14"/>
    <col collapsed="false" customWidth="true" hidden="true" outlineLevel="0" max="18" min="18" style="216" width="0.85"/>
    <col collapsed="false" customWidth="true" hidden="true" outlineLevel="0" max="19" min="19" style="96" width="19.14"/>
    <col collapsed="false" customWidth="true" hidden="true" outlineLevel="0" max="20" min="20" style="216" width="0.85"/>
    <col collapsed="false" customWidth="true" hidden="true" outlineLevel="0" max="21" min="21" style="96" width="19.14"/>
    <col collapsed="false" customWidth="true" hidden="true" outlineLevel="0" max="22" min="22" style="95" width="0.99"/>
    <col collapsed="false" customWidth="true" hidden="true" outlineLevel="0" max="23" min="23" style="96" width="19.14"/>
    <col collapsed="false" customWidth="true" hidden="true" outlineLevel="0" max="24" min="24" style="95" width="0.85"/>
    <col collapsed="false" customWidth="true" hidden="true" outlineLevel="0" max="25" min="25" style="96" width="19.14"/>
    <col collapsed="false" customWidth="true" hidden="true" outlineLevel="0" max="26" min="26" style="95" width="0.85"/>
    <col collapsed="false" customWidth="true" hidden="true" outlineLevel="0" max="27" min="27" style="96" width="19.14"/>
    <col collapsed="false" customWidth="true" hidden="true" outlineLevel="0" max="28" min="28" style="95" width="0.85"/>
    <col collapsed="false" customWidth="true" hidden="true" outlineLevel="0" max="29" min="29" style="96" width="19.14"/>
    <col collapsed="false" customWidth="true" hidden="true" outlineLevel="0" max="30" min="30" style="95" width="0.85"/>
    <col collapsed="false" customWidth="true" hidden="true" outlineLevel="0" max="31" min="31" style="96" width="19.14"/>
    <col collapsed="false" customWidth="true" hidden="true" outlineLevel="0" max="32" min="32" style="96" width="1.56"/>
    <col collapsed="false" customWidth="true" hidden="true" outlineLevel="0" max="33" min="33" style="96" width="19.14"/>
    <col collapsed="false" customWidth="true" hidden="true" outlineLevel="0" max="34" min="34" style="96" width="1.56"/>
    <col collapsed="false" customWidth="true" hidden="true" outlineLevel="0" max="35" min="35" style="96" width="19.14"/>
    <col collapsed="false" customWidth="true" hidden="false" outlineLevel="0" max="36" min="36" style="96" width="1.28"/>
    <col collapsed="false" customWidth="true" hidden="false" outlineLevel="0" max="37" min="37" style="96" width="19.14"/>
    <col collapsed="false" customWidth="true" hidden="false" outlineLevel="0" max="38" min="38" style="96" width="1.99"/>
    <col collapsed="false" customWidth="true" hidden="false" outlineLevel="0" max="39" min="39" style="96" width="17.99"/>
    <col collapsed="false" customWidth="true" hidden="false" outlineLevel="0" max="40" min="40" style="96" width="1.99"/>
    <col collapsed="false" customWidth="true" hidden="false" outlineLevel="0" max="41" min="41" style="96" width="21.13"/>
    <col collapsed="false" customWidth="true" hidden="false" outlineLevel="0" max="42" min="42" style="96" width="2.28"/>
    <col collapsed="false" customWidth="true" hidden="false" outlineLevel="0" max="43" min="43" style="96" width="21.13"/>
    <col collapsed="false" customWidth="true" hidden="false" outlineLevel="0" max="44" min="44" style="90" width="2.13"/>
    <col collapsed="false" customWidth="true" hidden="false" outlineLevel="0" max="45" min="45" style="95" width="24.7"/>
    <col collapsed="false" customWidth="true" hidden="false" outlineLevel="0" max="46" min="46" style="90" width="0.85"/>
    <col collapsed="false" customWidth="true" hidden="false" outlineLevel="0" max="47" min="47" style="96" width="23.14"/>
    <col collapsed="false" customWidth="true" hidden="false" outlineLevel="0" max="48" min="48" style="90" width="0.85"/>
    <col collapsed="false" customWidth="true" hidden="false" outlineLevel="0" max="49" min="49" style="95" width="26.13"/>
    <col collapsed="false" customWidth="true" hidden="false" outlineLevel="0" max="50" min="50" style="95" width="1.7"/>
    <col collapsed="false" customWidth="true" hidden="false" outlineLevel="0" max="51" min="51" style="95" width="20.85"/>
    <col collapsed="false" customWidth="true" hidden="false" outlineLevel="0" max="52" min="52" style="95" width="1.7"/>
    <col collapsed="false" customWidth="true" hidden="false" outlineLevel="0" max="53" min="53" style="95" width="21.7"/>
    <col collapsed="false" customWidth="true" hidden="false" outlineLevel="0" max="54" min="54" style="90" width="0.85"/>
    <col collapsed="false" customWidth="true" hidden="true" outlineLevel="0" max="55" min="55" style="90" width="63.41"/>
    <col collapsed="false" customWidth="true" hidden="true" outlineLevel="0" max="56" min="56" style="95" width="15.13"/>
    <col collapsed="false" customWidth="true" hidden="true" outlineLevel="0" max="57" min="57" style="90" width="13.28"/>
    <col collapsed="false" customWidth="true" hidden="true" outlineLevel="0" max="58" min="58" style="90" width="9.06"/>
    <col collapsed="false" customWidth="false" hidden="false" outlineLevel="0" max="257" min="59" style="90" width="9.14"/>
  </cols>
  <sheetData>
    <row r="1" customFormat="false" ht="15.75" hidden="false" customHeight="false" outlineLevel="0" collapsed="false">
      <c r="A1" s="196" t="str">
        <f aca="false">+Summary!A1</f>
        <v>ENRON CAPITAL &amp; TRADE RESOURCES</v>
      </c>
      <c r="B1" s="197"/>
      <c r="C1" s="256"/>
      <c r="D1" s="104"/>
      <c r="E1" s="116"/>
      <c r="F1" s="104"/>
      <c r="G1" s="116"/>
      <c r="H1" s="104"/>
      <c r="I1" s="116"/>
      <c r="J1" s="197"/>
      <c r="K1" s="197"/>
      <c r="L1" s="197"/>
      <c r="M1" s="197"/>
      <c r="N1" s="104"/>
      <c r="O1" s="101"/>
      <c r="P1" s="104"/>
      <c r="Q1" s="102"/>
      <c r="R1" s="206"/>
      <c r="S1" s="102"/>
      <c r="T1" s="206"/>
      <c r="U1" s="102"/>
      <c r="V1" s="101"/>
      <c r="W1" s="102"/>
      <c r="X1" s="101"/>
      <c r="Y1" s="102"/>
      <c r="Z1" s="101"/>
      <c r="AA1" s="102"/>
      <c r="AB1" s="101"/>
      <c r="AC1" s="102"/>
      <c r="AD1" s="101"/>
      <c r="AE1" s="102"/>
      <c r="AF1" s="102"/>
      <c r="AG1" s="102"/>
      <c r="AH1" s="102"/>
      <c r="AI1" s="102"/>
      <c r="AJ1" s="102"/>
      <c r="AK1" s="102"/>
      <c r="AL1" s="102"/>
      <c r="AM1" s="102"/>
      <c r="AN1" s="102"/>
      <c r="AO1" s="102"/>
      <c r="AP1" s="102"/>
      <c r="AQ1" s="102"/>
      <c r="AR1" s="104"/>
      <c r="AS1" s="202"/>
      <c r="AT1" s="104"/>
      <c r="AU1" s="102"/>
      <c r="AV1" s="104"/>
      <c r="AW1" s="202"/>
      <c r="AX1" s="202"/>
      <c r="AY1" s="202"/>
      <c r="AZ1" s="202"/>
      <c r="BA1" s="101"/>
      <c r="BB1" s="104"/>
      <c r="BC1" s="104"/>
      <c r="BD1" s="101"/>
      <c r="BE1" s="104"/>
      <c r="BF1" s="104"/>
      <c r="BG1" s="104"/>
      <c r="BH1" s="104"/>
      <c r="BI1" s="104"/>
      <c r="BJ1" s="104"/>
      <c r="BK1" s="104"/>
      <c r="BL1" s="104"/>
      <c r="BM1" s="104"/>
      <c r="BN1" s="104"/>
      <c r="BO1" s="104"/>
      <c r="BP1" s="104"/>
      <c r="BQ1" s="104"/>
      <c r="BR1" s="104"/>
      <c r="BS1" s="104"/>
      <c r="BT1" s="104"/>
      <c r="BU1" s="104"/>
      <c r="BV1" s="104"/>
      <c r="BW1" s="104"/>
      <c r="BX1" s="104"/>
      <c r="BY1" s="104"/>
      <c r="BZ1" s="104"/>
      <c r="CA1" s="104"/>
      <c r="CB1" s="104"/>
      <c r="CC1" s="104"/>
      <c r="CD1" s="104"/>
      <c r="CE1" s="104"/>
      <c r="CF1" s="104"/>
      <c r="CG1" s="104"/>
      <c r="CH1" s="104"/>
      <c r="CI1" s="104"/>
      <c r="CJ1" s="104"/>
      <c r="CK1" s="104"/>
      <c r="CL1" s="104"/>
      <c r="CM1" s="104"/>
      <c r="CN1" s="104"/>
      <c r="CO1" s="104"/>
      <c r="CP1" s="104"/>
      <c r="CQ1" s="104"/>
      <c r="CR1" s="104"/>
      <c r="CS1" s="104"/>
      <c r="CT1" s="104"/>
      <c r="CU1" s="104"/>
      <c r="CV1" s="104"/>
      <c r="CW1" s="104"/>
      <c r="CX1" s="104"/>
      <c r="CY1" s="104"/>
      <c r="CZ1" s="104"/>
      <c r="DA1" s="104"/>
      <c r="DB1" s="104"/>
      <c r="DC1" s="104"/>
      <c r="DD1" s="104"/>
      <c r="DE1" s="104"/>
      <c r="DF1" s="104"/>
      <c r="DG1" s="104"/>
      <c r="DH1" s="104"/>
      <c r="DI1" s="104"/>
      <c r="DJ1" s="104"/>
      <c r="DK1" s="104"/>
      <c r="DL1" s="104"/>
      <c r="DM1" s="104"/>
      <c r="DN1" s="104"/>
      <c r="DO1" s="104"/>
      <c r="DP1" s="104"/>
      <c r="DQ1" s="104"/>
      <c r="DR1" s="104"/>
      <c r="DS1" s="104"/>
      <c r="DT1" s="104"/>
      <c r="DU1" s="104"/>
      <c r="DV1" s="104"/>
      <c r="DW1" s="104"/>
      <c r="DX1" s="104"/>
      <c r="DY1" s="104"/>
      <c r="DZ1" s="104"/>
      <c r="EA1" s="104"/>
      <c r="EB1" s="104"/>
      <c r="EC1" s="104"/>
      <c r="ED1" s="104"/>
      <c r="EE1" s="104"/>
      <c r="EF1" s="104"/>
      <c r="EG1" s="104"/>
      <c r="EH1" s="104"/>
      <c r="EI1" s="104"/>
      <c r="EJ1" s="104"/>
      <c r="EK1" s="104"/>
      <c r="EL1" s="104"/>
      <c r="EM1" s="104"/>
      <c r="EN1" s="104"/>
      <c r="EO1" s="104"/>
      <c r="EP1" s="104"/>
      <c r="EQ1" s="104"/>
      <c r="ER1" s="104"/>
      <c r="ES1" s="104"/>
      <c r="ET1" s="104"/>
      <c r="EU1" s="104"/>
      <c r="EV1" s="104"/>
      <c r="EW1" s="104"/>
      <c r="EX1" s="104"/>
      <c r="EY1" s="104"/>
      <c r="EZ1" s="104"/>
      <c r="FA1" s="104"/>
      <c r="FB1" s="104"/>
      <c r="FC1" s="104"/>
      <c r="FD1" s="104"/>
      <c r="FE1" s="104"/>
      <c r="FF1" s="104"/>
      <c r="FG1" s="104"/>
      <c r="FH1" s="104"/>
      <c r="FI1" s="104"/>
      <c r="FJ1" s="104"/>
      <c r="FK1" s="104"/>
      <c r="FL1" s="104"/>
      <c r="FM1" s="104"/>
      <c r="FN1" s="104"/>
      <c r="FO1" s="104"/>
      <c r="FP1" s="104"/>
      <c r="FQ1" s="104"/>
      <c r="FR1" s="104"/>
      <c r="FS1" s="104"/>
      <c r="FT1" s="104"/>
      <c r="FU1" s="104"/>
      <c r="FV1" s="104"/>
      <c r="FW1" s="104"/>
      <c r="FX1" s="104"/>
      <c r="FY1" s="104"/>
      <c r="FZ1" s="104"/>
      <c r="GA1" s="104"/>
      <c r="GB1" s="104"/>
      <c r="GC1" s="104"/>
      <c r="GD1" s="104"/>
      <c r="GE1" s="104"/>
      <c r="GF1" s="104"/>
      <c r="GG1" s="104"/>
      <c r="GH1" s="104"/>
      <c r="GI1" s="104"/>
      <c r="GJ1" s="104"/>
      <c r="GK1" s="104"/>
      <c r="GL1" s="104"/>
      <c r="GM1" s="104"/>
      <c r="GN1" s="104"/>
      <c r="GO1" s="104"/>
      <c r="GP1" s="104"/>
      <c r="GQ1" s="104"/>
      <c r="GR1" s="104"/>
      <c r="GS1" s="104"/>
      <c r="GT1" s="104"/>
      <c r="GU1" s="104"/>
      <c r="GV1" s="104"/>
      <c r="GW1" s="104"/>
      <c r="GX1" s="104"/>
      <c r="GY1" s="104"/>
      <c r="GZ1" s="104"/>
      <c r="HA1" s="104"/>
      <c r="HB1" s="104"/>
      <c r="HC1" s="104"/>
      <c r="HD1" s="104"/>
      <c r="HE1" s="104"/>
      <c r="HF1" s="104"/>
      <c r="HG1" s="104"/>
      <c r="HH1" s="104"/>
      <c r="HI1" s="104"/>
      <c r="HJ1" s="104"/>
      <c r="HK1" s="104"/>
      <c r="HL1" s="104"/>
      <c r="HM1" s="104"/>
      <c r="HN1" s="104"/>
      <c r="HO1" s="104"/>
      <c r="HP1" s="104"/>
      <c r="HQ1" s="104"/>
      <c r="HR1" s="104"/>
      <c r="HS1" s="104"/>
      <c r="HT1" s="104"/>
      <c r="HU1" s="104"/>
      <c r="HV1" s="104"/>
      <c r="HW1" s="104"/>
      <c r="HX1" s="104"/>
      <c r="HY1" s="104"/>
      <c r="HZ1" s="104"/>
      <c r="IA1" s="104"/>
      <c r="IB1" s="104"/>
      <c r="IC1" s="104"/>
      <c r="ID1" s="104"/>
      <c r="IE1" s="104"/>
      <c r="IF1" s="104"/>
      <c r="IG1" s="104"/>
      <c r="IH1" s="104"/>
      <c r="II1" s="104"/>
      <c r="IJ1" s="104"/>
      <c r="IK1" s="104"/>
      <c r="IL1" s="104"/>
      <c r="IM1" s="104"/>
      <c r="IN1" s="104"/>
      <c r="IO1" s="104"/>
      <c r="IP1" s="104"/>
      <c r="IQ1" s="104"/>
      <c r="IR1" s="104"/>
      <c r="IS1" s="104"/>
      <c r="IT1" s="104"/>
      <c r="IU1" s="104"/>
      <c r="IV1" s="104"/>
      <c r="IW1" s="104"/>
    </row>
    <row r="2" customFormat="false" ht="15.75" hidden="false" customHeight="false" outlineLevel="0" collapsed="false">
      <c r="A2" s="196" t="str">
        <f aca="false">+Summary!A2</f>
        <v>1999 TVA PEAKING PLANTS</v>
      </c>
      <c r="B2" s="197"/>
      <c r="C2" s="256"/>
      <c r="D2" s="104"/>
      <c r="E2" s="116"/>
      <c r="F2" s="104"/>
      <c r="G2" s="116"/>
      <c r="H2" s="104"/>
      <c r="I2" s="116"/>
      <c r="J2" s="197"/>
      <c r="K2" s="197"/>
      <c r="L2" s="197"/>
      <c r="M2" s="197"/>
      <c r="N2" s="104"/>
      <c r="O2" s="101"/>
      <c r="P2" s="104"/>
      <c r="Q2" s="102"/>
      <c r="R2" s="206"/>
      <c r="S2" s="102"/>
      <c r="T2" s="206"/>
      <c r="U2" s="102"/>
      <c r="V2" s="101"/>
      <c r="W2" s="102"/>
      <c r="X2" s="101"/>
      <c r="Y2" s="102"/>
      <c r="Z2" s="101"/>
      <c r="AA2" s="102"/>
      <c r="AB2" s="101"/>
      <c r="AC2" s="102"/>
      <c r="AD2" s="101"/>
      <c r="AE2" s="102"/>
      <c r="AF2" s="102"/>
      <c r="AG2" s="102"/>
      <c r="AH2" s="102"/>
      <c r="AI2" s="102"/>
      <c r="AJ2" s="102"/>
      <c r="AK2" s="102"/>
      <c r="AL2" s="102"/>
      <c r="AM2" s="102"/>
      <c r="AN2" s="102"/>
      <c r="AO2" s="102"/>
      <c r="AP2" s="102"/>
      <c r="AQ2" s="102"/>
      <c r="AR2" s="104"/>
      <c r="AS2" s="101"/>
      <c r="AT2" s="104"/>
      <c r="AU2" s="102"/>
      <c r="AV2" s="104"/>
      <c r="AW2" s="101"/>
      <c r="AX2" s="101"/>
      <c r="AY2" s="101"/>
      <c r="AZ2" s="101"/>
      <c r="BA2" s="101"/>
      <c r="BB2" s="104"/>
      <c r="BC2" s="104"/>
      <c r="BD2" s="101"/>
      <c r="BE2" s="104"/>
      <c r="BF2" s="104"/>
      <c r="BG2" s="104"/>
      <c r="BH2" s="104"/>
      <c r="BI2" s="104"/>
      <c r="BJ2" s="104"/>
      <c r="BK2" s="104"/>
      <c r="BL2" s="104"/>
      <c r="BM2" s="104"/>
      <c r="BN2" s="104"/>
      <c r="BO2" s="104"/>
      <c r="BP2" s="104"/>
      <c r="BQ2" s="104"/>
      <c r="BR2" s="104"/>
      <c r="BS2" s="104"/>
      <c r="BT2" s="104"/>
      <c r="BU2" s="104"/>
      <c r="BV2" s="104"/>
      <c r="BW2" s="104"/>
      <c r="BX2" s="104"/>
      <c r="BY2" s="104"/>
      <c r="BZ2" s="104"/>
      <c r="CA2" s="104"/>
      <c r="CB2" s="104"/>
      <c r="CC2" s="104"/>
      <c r="CD2" s="104"/>
      <c r="CE2" s="104"/>
      <c r="CF2" s="104"/>
      <c r="CG2" s="104"/>
      <c r="CH2" s="104"/>
      <c r="CI2" s="104"/>
      <c r="CJ2" s="104"/>
      <c r="CK2" s="104"/>
      <c r="CL2" s="104"/>
      <c r="CM2" s="104"/>
      <c r="CN2" s="104"/>
      <c r="CO2" s="104"/>
      <c r="CP2" s="104"/>
      <c r="CQ2" s="104"/>
      <c r="CR2" s="104"/>
      <c r="CS2" s="104"/>
      <c r="CT2" s="104"/>
      <c r="CU2" s="104"/>
      <c r="CV2" s="104"/>
      <c r="CW2" s="104"/>
      <c r="CX2" s="104"/>
      <c r="CY2" s="104"/>
      <c r="CZ2" s="104"/>
      <c r="DA2" s="104"/>
      <c r="DB2" s="104"/>
      <c r="DC2" s="104"/>
      <c r="DD2" s="104"/>
      <c r="DE2" s="104"/>
      <c r="DF2" s="104"/>
      <c r="DG2" s="104"/>
      <c r="DH2" s="104"/>
      <c r="DI2" s="104"/>
      <c r="DJ2" s="104"/>
      <c r="DK2" s="104"/>
      <c r="DL2" s="104"/>
      <c r="DM2" s="104"/>
      <c r="DN2" s="104"/>
      <c r="DO2" s="104"/>
      <c r="DP2" s="104"/>
      <c r="DQ2" s="104"/>
      <c r="DR2" s="104"/>
      <c r="DS2" s="104"/>
      <c r="DT2" s="104"/>
      <c r="DU2" s="104"/>
      <c r="DV2" s="104"/>
      <c r="DW2" s="104"/>
      <c r="DX2" s="104"/>
      <c r="DY2" s="104"/>
      <c r="DZ2" s="104"/>
      <c r="EA2" s="104"/>
      <c r="EB2" s="104"/>
      <c r="EC2" s="104"/>
      <c r="ED2" s="104"/>
      <c r="EE2" s="104"/>
      <c r="EF2" s="104"/>
      <c r="EG2" s="104"/>
      <c r="EH2" s="104"/>
      <c r="EI2" s="104"/>
      <c r="EJ2" s="104"/>
      <c r="EK2" s="104"/>
      <c r="EL2" s="104"/>
      <c r="EM2" s="104"/>
      <c r="EN2" s="104"/>
      <c r="EO2" s="104"/>
      <c r="EP2" s="104"/>
      <c r="EQ2" s="104"/>
      <c r="ER2" s="104"/>
      <c r="ES2" s="104"/>
      <c r="ET2" s="104"/>
      <c r="EU2" s="104"/>
      <c r="EV2" s="104"/>
      <c r="EW2" s="104"/>
      <c r="EX2" s="104"/>
      <c r="EY2" s="104"/>
      <c r="EZ2" s="104"/>
      <c r="FA2" s="104"/>
      <c r="FB2" s="104"/>
      <c r="FC2" s="104"/>
      <c r="FD2" s="104"/>
      <c r="FE2" s="104"/>
      <c r="FF2" s="104"/>
      <c r="FG2" s="104"/>
      <c r="FH2" s="104"/>
      <c r="FI2" s="104"/>
      <c r="FJ2" s="104"/>
      <c r="FK2" s="104"/>
      <c r="FL2" s="104"/>
      <c r="FM2" s="104"/>
      <c r="FN2" s="104"/>
      <c r="FO2" s="104"/>
      <c r="FP2" s="104"/>
      <c r="FQ2" s="104"/>
      <c r="FR2" s="104"/>
      <c r="FS2" s="104"/>
      <c r="FT2" s="104"/>
      <c r="FU2" s="104"/>
      <c r="FV2" s="104"/>
      <c r="FW2" s="104"/>
      <c r="FX2" s="104"/>
      <c r="FY2" s="104"/>
      <c r="FZ2" s="104"/>
      <c r="GA2" s="104"/>
      <c r="GB2" s="104"/>
      <c r="GC2" s="104"/>
      <c r="GD2" s="104"/>
      <c r="GE2" s="104"/>
      <c r="GF2" s="104"/>
      <c r="GG2" s="104"/>
      <c r="GH2" s="104"/>
      <c r="GI2" s="104"/>
      <c r="GJ2" s="104"/>
      <c r="GK2" s="104"/>
      <c r="GL2" s="104"/>
      <c r="GM2" s="104"/>
      <c r="GN2" s="104"/>
      <c r="GO2" s="104"/>
      <c r="GP2" s="104"/>
      <c r="GQ2" s="104"/>
      <c r="GR2" s="104"/>
      <c r="GS2" s="104"/>
      <c r="GT2" s="104"/>
      <c r="GU2" s="104"/>
      <c r="GV2" s="104"/>
      <c r="GW2" s="104"/>
      <c r="GX2" s="104"/>
      <c r="GY2" s="104"/>
      <c r="GZ2" s="104"/>
      <c r="HA2" s="104"/>
      <c r="HB2" s="104"/>
      <c r="HC2" s="104"/>
      <c r="HD2" s="104"/>
      <c r="HE2" s="104"/>
      <c r="HF2" s="104"/>
      <c r="HG2" s="104"/>
      <c r="HH2" s="104"/>
      <c r="HI2" s="104"/>
      <c r="HJ2" s="104"/>
      <c r="HK2" s="104"/>
      <c r="HL2" s="104"/>
      <c r="HM2" s="104"/>
      <c r="HN2" s="104"/>
      <c r="HO2" s="104"/>
      <c r="HP2" s="104"/>
      <c r="HQ2" s="104"/>
      <c r="HR2" s="104"/>
      <c r="HS2" s="104"/>
      <c r="HT2" s="104"/>
      <c r="HU2" s="104"/>
      <c r="HV2" s="104"/>
      <c r="HW2" s="104"/>
      <c r="HX2" s="104"/>
      <c r="HY2" s="104"/>
      <c r="HZ2" s="104"/>
      <c r="IA2" s="104"/>
      <c r="IB2" s="104"/>
      <c r="IC2" s="104"/>
      <c r="ID2" s="104"/>
      <c r="IE2" s="104"/>
      <c r="IF2" s="104"/>
      <c r="IG2" s="104"/>
      <c r="IH2" s="104"/>
      <c r="II2" s="104"/>
      <c r="IJ2" s="104"/>
      <c r="IK2" s="104"/>
      <c r="IL2" s="104"/>
      <c r="IM2" s="104"/>
      <c r="IN2" s="104"/>
      <c r="IO2" s="104"/>
      <c r="IP2" s="104"/>
      <c r="IQ2" s="104"/>
      <c r="IR2" s="104"/>
      <c r="IS2" s="104"/>
      <c r="IT2" s="104"/>
      <c r="IU2" s="104"/>
      <c r="IV2" s="104"/>
      <c r="IW2" s="104"/>
    </row>
    <row r="3" customFormat="false" ht="15.75" hidden="false" customHeight="false" outlineLevel="0" collapsed="false">
      <c r="A3" s="200" t="s">
        <v>425</v>
      </c>
      <c r="B3" s="197"/>
      <c r="C3" s="256"/>
      <c r="D3" s="104"/>
      <c r="E3" s="116"/>
      <c r="F3" s="104"/>
      <c r="G3" s="116"/>
      <c r="H3" s="104"/>
      <c r="I3" s="116"/>
      <c r="J3" s="197"/>
      <c r="K3" s="197" t="n">
        <v>387</v>
      </c>
      <c r="L3" s="197" t="s">
        <v>76</v>
      </c>
      <c r="M3" s="197"/>
      <c r="N3" s="104"/>
      <c r="O3" s="101"/>
      <c r="P3" s="104"/>
      <c r="Q3" s="102"/>
      <c r="R3" s="206"/>
      <c r="S3" s="102"/>
      <c r="T3" s="206"/>
      <c r="U3" s="102"/>
      <c r="V3" s="101"/>
      <c r="W3" s="102"/>
      <c r="X3" s="101"/>
      <c r="Y3" s="102"/>
      <c r="Z3" s="101"/>
      <c r="AA3" s="102"/>
      <c r="AB3" s="101"/>
      <c r="AC3" s="102"/>
      <c r="AD3" s="101"/>
      <c r="AE3" s="102"/>
      <c r="AF3" s="102"/>
      <c r="AG3" s="102"/>
      <c r="AH3" s="102"/>
      <c r="AI3" s="102"/>
      <c r="AJ3" s="102"/>
      <c r="AK3" s="102"/>
      <c r="AL3" s="102"/>
      <c r="AM3" s="102"/>
      <c r="AN3" s="102"/>
      <c r="AO3" s="102"/>
      <c r="AP3" s="102"/>
      <c r="AQ3" s="102"/>
      <c r="AR3" s="104"/>
      <c r="AS3" s="106"/>
      <c r="AT3" s="104"/>
      <c r="AU3" s="102"/>
      <c r="AV3" s="104"/>
      <c r="AW3" s="106" t="n">
        <f aca="true">NOW()</f>
        <v>45926.9394541593</v>
      </c>
      <c r="AX3" s="104"/>
      <c r="AY3" s="106"/>
      <c r="AZ3" s="104"/>
      <c r="BA3" s="202" t="str">
        <f aca="false">Summary!A4</f>
        <v>Revision # 56</v>
      </c>
      <c r="BB3" s="104"/>
      <c r="BC3" s="104"/>
      <c r="BD3" s="101"/>
      <c r="BE3" s="104"/>
      <c r="BF3" s="104"/>
      <c r="BG3" s="104"/>
      <c r="BH3" s="104"/>
      <c r="BI3" s="104"/>
      <c r="BJ3" s="104"/>
      <c r="BK3" s="104"/>
      <c r="BL3" s="104"/>
      <c r="BM3" s="104"/>
      <c r="BN3" s="104"/>
      <c r="BO3" s="104"/>
      <c r="BP3" s="104"/>
      <c r="BQ3" s="104"/>
      <c r="BR3" s="104"/>
      <c r="BS3" s="104"/>
      <c r="BT3" s="104"/>
      <c r="BU3" s="104"/>
      <c r="BV3" s="104"/>
      <c r="BW3" s="104"/>
      <c r="BX3" s="104"/>
      <c r="BY3" s="104"/>
      <c r="BZ3" s="104"/>
      <c r="CA3" s="104"/>
      <c r="CB3" s="104"/>
      <c r="CC3" s="104"/>
      <c r="CD3" s="104"/>
      <c r="CE3" s="104"/>
      <c r="CF3" s="104"/>
      <c r="CG3" s="104"/>
      <c r="CH3" s="104"/>
      <c r="CI3" s="104"/>
      <c r="CJ3" s="104"/>
      <c r="CK3" s="104"/>
      <c r="CL3" s="104"/>
      <c r="CM3" s="104"/>
      <c r="CN3" s="104"/>
      <c r="CO3" s="104"/>
      <c r="CP3" s="104"/>
      <c r="CQ3" s="104"/>
      <c r="CR3" s="104"/>
      <c r="CS3" s="104"/>
      <c r="CT3" s="104"/>
      <c r="CU3" s="104"/>
      <c r="CV3" s="104"/>
      <c r="CW3" s="104"/>
      <c r="CX3" s="104"/>
      <c r="CY3" s="104"/>
      <c r="CZ3" s="104"/>
      <c r="DA3" s="104"/>
      <c r="DB3" s="104"/>
      <c r="DC3" s="104"/>
      <c r="DD3" s="104"/>
      <c r="DE3" s="104"/>
      <c r="DF3" s="104"/>
      <c r="DG3" s="104"/>
      <c r="DH3" s="104"/>
      <c r="DI3" s="104"/>
      <c r="DJ3" s="104"/>
      <c r="DK3" s="104"/>
      <c r="DL3" s="104"/>
      <c r="DM3" s="104"/>
      <c r="DN3" s="104"/>
      <c r="DO3" s="104"/>
      <c r="DP3" s="104"/>
      <c r="DQ3" s="104"/>
      <c r="DR3" s="104"/>
      <c r="DS3" s="104"/>
      <c r="DT3" s="104"/>
      <c r="DU3" s="104"/>
      <c r="DV3" s="104"/>
      <c r="DW3" s="104"/>
      <c r="DX3" s="104"/>
      <c r="DY3" s="104"/>
      <c r="DZ3" s="104"/>
      <c r="EA3" s="104"/>
      <c r="EB3" s="104"/>
      <c r="EC3" s="104"/>
      <c r="ED3" s="104"/>
      <c r="EE3" s="104"/>
      <c r="EF3" s="104"/>
      <c r="EG3" s="104"/>
      <c r="EH3" s="104"/>
      <c r="EI3" s="104"/>
      <c r="EJ3" s="104"/>
      <c r="EK3" s="104"/>
      <c r="EL3" s="104"/>
      <c r="EM3" s="104"/>
      <c r="EN3" s="104"/>
      <c r="EO3" s="104"/>
      <c r="EP3" s="104"/>
      <c r="EQ3" s="104"/>
      <c r="ER3" s="104"/>
      <c r="ES3" s="104"/>
      <c r="ET3" s="104"/>
      <c r="EU3" s="104"/>
      <c r="EV3" s="104"/>
      <c r="EW3" s="104"/>
      <c r="EX3" s="104"/>
      <c r="EY3" s="104"/>
      <c r="EZ3" s="104"/>
      <c r="FA3" s="104"/>
      <c r="FB3" s="104"/>
      <c r="FC3" s="104"/>
      <c r="FD3" s="104"/>
      <c r="FE3" s="104"/>
      <c r="FF3" s="104"/>
      <c r="FG3" s="104"/>
      <c r="FH3" s="104"/>
      <c r="FI3" s="104"/>
      <c r="FJ3" s="104"/>
      <c r="FK3" s="104"/>
      <c r="FL3" s="104"/>
      <c r="FM3" s="104"/>
      <c r="FN3" s="104"/>
      <c r="FO3" s="104"/>
      <c r="FP3" s="104"/>
      <c r="FQ3" s="104"/>
      <c r="FR3" s="104"/>
      <c r="FS3" s="104"/>
      <c r="FT3" s="104"/>
      <c r="FU3" s="104"/>
      <c r="FV3" s="104"/>
      <c r="FW3" s="104"/>
      <c r="FX3" s="104"/>
      <c r="FY3" s="104"/>
      <c r="FZ3" s="104"/>
      <c r="GA3" s="104"/>
      <c r="GB3" s="104"/>
      <c r="GC3" s="104"/>
      <c r="GD3" s="104"/>
      <c r="GE3" s="104"/>
      <c r="GF3" s="104"/>
      <c r="GG3" s="104"/>
      <c r="GH3" s="104"/>
      <c r="GI3" s="104"/>
      <c r="GJ3" s="104"/>
      <c r="GK3" s="104"/>
      <c r="GL3" s="104"/>
      <c r="GM3" s="104"/>
      <c r="GN3" s="104"/>
      <c r="GO3" s="104"/>
      <c r="GP3" s="104"/>
      <c r="GQ3" s="104"/>
      <c r="GR3" s="104"/>
      <c r="GS3" s="104"/>
      <c r="GT3" s="104"/>
      <c r="GU3" s="104"/>
      <c r="GV3" s="104"/>
      <c r="GW3" s="104"/>
      <c r="GX3" s="104"/>
      <c r="GY3" s="104"/>
      <c r="GZ3" s="104"/>
      <c r="HA3" s="104"/>
      <c r="HB3" s="104"/>
      <c r="HC3" s="104"/>
      <c r="HD3" s="104"/>
      <c r="HE3" s="104"/>
      <c r="HF3" s="104"/>
      <c r="HG3" s="104"/>
      <c r="HH3" s="104"/>
      <c r="HI3" s="104"/>
      <c r="HJ3" s="104"/>
      <c r="HK3" s="104"/>
      <c r="HL3" s="104"/>
      <c r="HM3" s="104"/>
      <c r="HN3" s="104"/>
      <c r="HO3" s="104"/>
      <c r="HP3" s="104"/>
      <c r="HQ3" s="104"/>
      <c r="HR3" s="104"/>
      <c r="HS3" s="104"/>
      <c r="HT3" s="104"/>
      <c r="HU3" s="104"/>
      <c r="HV3" s="104"/>
      <c r="HW3" s="104"/>
      <c r="HX3" s="104"/>
      <c r="HY3" s="104"/>
      <c r="HZ3" s="104"/>
      <c r="IA3" s="104"/>
      <c r="IB3" s="104"/>
      <c r="IC3" s="104"/>
      <c r="ID3" s="104"/>
      <c r="IE3" s="104"/>
      <c r="IF3" s="104"/>
      <c r="IG3" s="104"/>
      <c r="IH3" s="104"/>
      <c r="II3" s="104"/>
      <c r="IJ3" s="104"/>
      <c r="IK3" s="104"/>
      <c r="IL3" s="104"/>
      <c r="IM3" s="104"/>
      <c r="IN3" s="104"/>
      <c r="IO3" s="104"/>
      <c r="IP3" s="104"/>
      <c r="IQ3" s="104"/>
      <c r="IR3" s="104"/>
      <c r="IS3" s="104"/>
      <c r="IT3" s="104"/>
      <c r="IU3" s="104"/>
      <c r="IV3" s="104"/>
      <c r="IW3" s="104"/>
    </row>
    <row r="4" customFormat="false" ht="15.75" hidden="false" customHeight="false" outlineLevel="0" collapsed="false">
      <c r="A4" s="203"/>
      <c r="B4" s="204"/>
      <c r="C4" s="205"/>
      <c r="D4" s="104"/>
      <c r="E4" s="104"/>
      <c r="F4" s="104"/>
      <c r="G4" s="116"/>
      <c r="H4" s="104"/>
      <c r="I4" s="104"/>
      <c r="J4" s="104"/>
      <c r="K4" s="101"/>
      <c r="L4" s="104"/>
      <c r="M4" s="101"/>
      <c r="N4" s="104"/>
      <c r="O4" s="101"/>
      <c r="P4" s="104"/>
      <c r="Q4" s="102"/>
      <c r="R4" s="206"/>
      <c r="S4" s="102"/>
      <c r="T4" s="206"/>
      <c r="U4" s="111" t="s">
        <v>68</v>
      </c>
      <c r="V4" s="102"/>
      <c r="W4" s="111" t="s">
        <v>68</v>
      </c>
      <c r="X4" s="102"/>
      <c r="Y4" s="111" t="s">
        <v>68</v>
      </c>
      <c r="Z4" s="102"/>
      <c r="AA4" s="111" t="s">
        <v>68</v>
      </c>
      <c r="AB4" s="102"/>
      <c r="AC4" s="111" t="s">
        <v>68</v>
      </c>
      <c r="AD4" s="102"/>
      <c r="AE4" s="111" t="s">
        <v>68</v>
      </c>
      <c r="AF4" s="111"/>
      <c r="AG4" s="111" t="s">
        <v>68</v>
      </c>
      <c r="AH4" s="111"/>
      <c r="AI4" s="111" t="s">
        <v>68</v>
      </c>
      <c r="AJ4" s="111"/>
      <c r="AK4" s="111" t="s">
        <v>68</v>
      </c>
      <c r="AL4" s="111"/>
      <c r="AM4" s="111" t="s">
        <v>68</v>
      </c>
      <c r="AN4" s="111"/>
      <c r="AO4" s="111" t="s">
        <v>68</v>
      </c>
      <c r="AP4" s="111"/>
      <c r="AQ4" s="111" t="s">
        <v>68</v>
      </c>
      <c r="AR4" s="104"/>
      <c r="AS4" s="113"/>
      <c r="AT4" s="104"/>
      <c r="AU4" s="111" t="s">
        <v>146</v>
      </c>
      <c r="AV4" s="104"/>
      <c r="AW4" s="113"/>
      <c r="AX4" s="104"/>
      <c r="AY4" s="113"/>
      <c r="AZ4" s="104"/>
      <c r="BA4" s="113"/>
      <c r="BB4" s="104"/>
      <c r="BC4" s="104"/>
      <c r="BD4" s="101"/>
      <c r="BE4" s="104"/>
      <c r="BF4" s="104"/>
      <c r="BG4" s="104"/>
      <c r="BH4" s="104"/>
      <c r="BI4" s="104"/>
      <c r="BJ4" s="104"/>
      <c r="BK4" s="104"/>
      <c r="BL4" s="104"/>
      <c r="BM4" s="104"/>
      <c r="BN4" s="104"/>
      <c r="BO4" s="104"/>
      <c r="BP4" s="104"/>
      <c r="BQ4" s="104"/>
      <c r="BR4" s="104"/>
      <c r="BS4" s="104"/>
      <c r="BT4" s="104"/>
      <c r="BU4" s="104"/>
      <c r="BV4" s="104"/>
      <c r="BW4" s="104"/>
      <c r="BX4" s="104"/>
      <c r="BY4" s="104"/>
      <c r="BZ4" s="104"/>
      <c r="CA4" s="104"/>
      <c r="CB4" s="104"/>
      <c r="CC4" s="104"/>
      <c r="CD4" s="104"/>
      <c r="CE4" s="104"/>
      <c r="CF4" s="104"/>
      <c r="CG4" s="104"/>
      <c r="CH4" s="104"/>
      <c r="CI4" s="104"/>
      <c r="CJ4" s="104"/>
      <c r="CK4" s="104"/>
      <c r="CL4" s="104"/>
      <c r="CM4" s="104"/>
      <c r="CN4" s="104"/>
      <c r="CO4" s="104"/>
      <c r="CP4" s="104"/>
      <c r="CQ4" s="104"/>
      <c r="CR4" s="104"/>
      <c r="CS4" s="104"/>
      <c r="CT4" s="104"/>
      <c r="CU4" s="104"/>
      <c r="CV4" s="104"/>
      <c r="CW4" s="104"/>
      <c r="CX4" s="104"/>
      <c r="CY4" s="104"/>
      <c r="CZ4" s="104"/>
      <c r="DA4" s="104"/>
      <c r="DB4" s="104"/>
      <c r="DC4" s="104"/>
      <c r="DD4" s="104"/>
      <c r="DE4" s="104"/>
      <c r="DF4" s="104"/>
      <c r="DG4" s="104"/>
      <c r="DH4" s="104"/>
      <c r="DI4" s="104"/>
      <c r="DJ4" s="104"/>
      <c r="DK4" s="104"/>
      <c r="DL4" s="104"/>
      <c r="DM4" s="104"/>
      <c r="DN4" s="104"/>
      <c r="DO4" s="104"/>
      <c r="DP4" s="104"/>
      <c r="DQ4" s="104"/>
      <c r="DR4" s="104"/>
      <c r="DS4" s="104"/>
      <c r="DT4" s="104"/>
      <c r="DU4" s="104"/>
      <c r="DV4" s="104"/>
      <c r="DW4" s="104"/>
      <c r="DX4" s="104"/>
      <c r="DY4" s="104"/>
      <c r="DZ4" s="104"/>
      <c r="EA4" s="104"/>
      <c r="EB4" s="104"/>
      <c r="EC4" s="104"/>
      <c r="ED4" s="104"/>
      <c r="EE4" s="104"/>
      <c r="EF4" s="104"/>
      <c r="EG4" s="104"/>
      <c r="EH4" s="104"/>
      <c r="EI4" s="104"/>
      <c r="EJ4" s="104"/>
      <c r="EK4" s="104"/>
      <c r="EL4" s="104"/>
      <c r="EM4" s="104"/>
      <c r="EN4" s="104"/>
      <c r="EO4" s="104"/>
      <c r="EP4" s="104"/>
      <c r="EQ4" s="104"/>
      <c r="ER4" s="104"/>
      <c r="ES4" s="104"/>
      <c r="ET4" s="104"/>
      <c r="EU4" s="104"/>
      <c r="EV4" s="104"/>
      <c r="EW4" s="104"/>
      <c r="EX4" s="104"/>
      <c r="EY4" s="104"/>
      <c r="EZ4" s="104"/>
      <c r="FA4" s="104"/>
      <c r="FB4" s="104"/>
      <c r="FC4" s="104"/>
      <c r="FD4" s="104"/>
      <c r="FE4" s="104"/>
      <c r="FF4" s="104"/>
      <c r="FG4" s="104"/>
      <c r="FH4" s="104"/>
      <c r="FI4" s="104"/>
      <c r="FJ4" s="104"/>
      <c r="FK4" s="104"/>
      <c r="FL4" s="104"/>
      <c r="FM4" s="104"/>
      <c r="FN4" s="104"/>
      <c r="FO4" s="104"/>
      <c r="FP4" s="104"/>
      <c r="FQ4" s="104"/>
      <c r="FR4" s="104"/>
      <c r="FS4" s="104"/>
      <c r="FT4" s="104"/>
      <c r="FU4" s="104"/>
      <c r="FV4" s="104"/>
      <c r="FW4" s="104"/>
      <c r="FX4" s="104"/>
      <c r="FY4" s="104"/>
      <c r="FZ4" s="104"/>
      <c r="GA4" s="104"/>
      <c r="GB4" s="104"/>
      <c r="GC4" s="104"/>
      <c r="GD4" s="104"/>
      <c r="GE4" s="104"/>
      <c r="GF4" s="104"/>
      <c r="GG4" s="104"/>
      <c r="GH4" s="104"/>
      <c r="GI4" s="104"/>
      <c r="GJ4" s="104"/>
      <c r="GK4" s="104"/>
      <c r="GL4" s="104"/>
      <c r="GM4" s="104"/>
      <c r="GN4" s="104"/>
      <c r="GO4" s="104"/>
      <c r="GP4" s="104"/>
      <c r="GQ4" s="104"/>
      <c r="GR4" s="104"/>
      <c r="GS4" s="104"/>
      <c r="GT4" s="104"/>
      <c r="GU4" s="104"/>
      <c r="GV4" s="104"/>
      <c r="GW4" s="104"/>
      <c r="GX4" s="104"/>
      <c r="GY4" s="104"/>
      <c r="GZ4" s="104"/>
      <c r="HA4" s="104"/>
      <c r="HB4" s="104"/>
      <c r="HC4" s="104"/>
      <c r="HD4" s="104"/>
      <c r="HE4" s="104"/>
      <c r="HF4" s="104"/>
      <c r="HG4" s="104"/>
      <c r="HH4" s="104"/>
      <c r="HI4" s="104"/>
      <c r="HJ4" s="104"/>
      <c r="HK4" s="104"/>
      <c r="HL4" s="104"/>
      <c r="HM4" s="104"/>
      <c r="HN4" s="104"/>
      <c r="HO4" s="104"/>
      <c r="HP4" s="104"/>
      <c r="HQ4" s="104"/>
      <c r="HR4" s="104"/>
      <c r="HS4" s="104"/>
      <c r="HT4" s="104"/>
      <c r="HU4" s="104"/>
      <c r="HV4" s="104"/>
      <c r="HW4" s="104"/>
      <c r="HX4" s="104"/>
      <c r="HY4" s="104"/>
      <c r="HZ4" s="104"/>
      <c r="IA4" s="104"/>
      <c r="IB4" s="104"/>
      <c r="IC4" s="104"/>
      <c r="ID4" s="104"/>
      <c r="IE4" s="104"/>
      <c r="IF4" s="104"/>
      <c r="IG4" s="104"/>
      <c r="IH4" s="104"/>
      <c r="II4" s="104"/>
      <c r="IJ4" s="104"/>
      <c r="IK4" s="104"/>
      <c r="IL4" s="104"/>
      <c r="IM4" s="104"/>
      <c r="IN4" s="104"/>
      <c r="IO4" s="104"/>
      <c r="IP4" s="104"/>
      <c r="IQ4" s="104"/>
      <c r="IR4" s="104"/>
      <c r="IS4" s="104"/>
      <c r="IT4" s="104"/>
      <c r="IU4" s="104"/>
      <c r="IV4" s="104"/>
      <c r="IW4" s="104"/>
    </row>
    <row r="5" customFormat="false" ht="15.75" hidden="false" customHeight="false" outlineLevel="0" collapsed="false">
      <c r="A5" s="207"/>
      <c r="B5" s="104"/>
      <c r="C5" s="104"/>
      <c r="D5" s="104"/>
      <c r="E5" s="104"/>
      <c r="F5" s="104"/>
      <c r="G5" s="116"/>
      <c r="H5" s="104"/>
      <c r="I5" s="104"/>
      <c r="J5" s="104"/>
      <c r="K5" s="113" t="s">
        <v>147</v>
      </c>
      <c r="L5" s="104"/>
      <c r="M5" s="113"/>
      <c r="N5" s="104"/>
      <c r="O5" s="113" t="s">
        <v>147</v>
      </c>
      <c r="P5" s="104"/>
      <c r="Q5" s="111" t="s">
        <v>70</v>
      </c>
      <c r="R5" s="206"/>
      <c r="S5" s="111" t="s">
        <v>70</v>
      </c>
      <c r="T5" s="206"/>
      <c r="U5" s="111" t="s">
        <v>148</v>
      </c>
      <c r="V5" s="102"/>
      <c r="W5" s="111" t="s">
        <v>148</v>
      </c>
      <c r="X5" s="102"/>
      <c r="Y5" s="111" t="s">
        <v>148</v>
      </c>
      <c r="Z5" s="102"/>
      <c r="AA5" s="111" t="s">
        <v>148</v>
      </c>
      <c r="AB5" s="102"/>
      <c r="AC5" s="111" t="s">
        <v>148</v>
      </c>
      <c r="AD5" s="102"/>
      <c r="AE5" s="111" t="s">
        <v>148</v>
      </c>
      <c r="AF5" s="111"/>
      <c r="AG5" s="111" t="s">
        <v>148</v>
      </c>
      <c r="AH5" s="111"/>
      <c r="AI5" s="111" t="s">
        <v>148</v>
      </c>
      <c r="AJ5" s="111"/>
      <c r="AK5" s="111" t="s">
        <v>148</v>
      </c>
      <c r="AL5" s="111"/>
      <c r="AM5" s="111" t="s">
        <v>148</v>
      </c>
      <c r="AN5" s="111"/>
      <c r="AO5" s="111" t="s">
        <v>148</v>
      </c>
      <c r="AP5" s="111"/>
      <c r="AQ5" s="111" t="s">
        <v>148</v>
      </c>
      <c r="AR5" s="104"/>
      <c r="AS5" s="113" t="s">
        <v>70</v>
      </c>
      <c r="AT5" s="104"/>
      <c r="AU5" s="111" t="s">
        <v>149</v>
      </c>
      <c r="AV5" s="104"/>
      <c r="AW5" s="113" t="s">
        <v>150</v>
      </c>
      <c r="AX5" s="104"/>
      <c r="AY5" s="113" t="s">
        <v>151</v>
      </c>
      <c r="AZ5" s="104"/>
      <c r="BA5" s="113"/>
      <c r="BB5" s="104"/>
      <c r="BC5" s="104"/>
      <c r="BD5" s="101"/>
      <c r="BE5" s="104"/>
      <c r="BF5" s="104"/>
      <c r="BG5" s="104"/>
      <c r="BH5" s="104"/>
      <c r="BI5" s="104"/>
      <c r="BJ5" s="104"/>
      <c r="BK5" s="104"/>
      <c r="BL5" s="104"/>
      <c r="BM5" s="104"/>
      <c r="BN5" s="104"/>
      <c r="BO5" s="104"/>
      <c r="BP5" s="104"/>
      <c r="BQ5" s="104"/>
      <c r="BR5" s="104"/>
      <c r="BS5" s="104"/>
      <c r="BT5" s="104"/>
      <c r="BU5" s="104"/>
      <c r="BV5" s="104"/>
      <c r="BW5" s="104"/>
      <c r="BX5" s="104"/>
      <c r="BY5" s="104"/>
      <c r="BZ5" s="104"/>
      <c r="CA5" s="104"/>
      <c r="CB5" s="104"/>
      <c r="CC5" s="104"/>
      <c r="CD5" s="104"/>
      <c r="CE5" s="104"/>
      <c r="CF5" s="104"/>
      <c r="CG5" s="104"/>
      <c r="CH5" s="104"/>
      <c r="CI5" s="104"/>
      <c r="CJ5" s="104"/>
      <c r="CK5" s="104"/>
      <c r="CL5" s="104"/>
      <c r="CM5" s="104"/>
      <c r="CN5" s="104"/>
      <c r="CO5" s="104"/>
      <c r="CP5" s="104"/>
      <c r="CQ5" s="104"/>
      <c r="CR5" s="104"/>
      <c r="CS5" s="104"/>
      <c r="CT5" s="104"/>
      <c r="CU5" s="104"/>
      <c r="CV5" s="104"/>
      <c r="CW5" s="104"/>
      <c r="CX5" s="104"/>
      <c r="CY5" s="104"/>
      <c r="CZ5" s="104"/>
      <c r="DA5" s="104"/>
      <c r="DB5" s="104"/>
      <c r="DC5" s="104"/>
      <c r="DD5" s="104"/>
      <c r="DE5" s="104"/>
      <c r="DF5" s="104"/>
      <c r="DG5" s="104"/>
      <c r="DH5" s="104"/>
      <c r="DI5" s="104"/>
      <c r="DJ5" s="104"/>
      <c r="DK5" s="104"/>
      <c r="DL5" s="104"/>
      <c r="DM5" s="104"/>
      <c r="DN5" s="104"/>
      <c r="DO5" s="104"/>
      <c r="DP5" s="104"/>
      <c r="DQ5" s="104"/>
      <c r="DR5" s="104"/>
      <c r="DS5" s="104"/>
      <c r="DT5" s="104"/>
      <c r="DU5" s="104"/>
      <c r="DV5" s="104"/>
      <c r="DW5" s="104"/>
      <c r="DX5" s="104"/>
      <c r="DY5" s="104"/>
      <c r="DZ5" s="104"/>
      <c r="EA5" s="104"/>
      <c r="EB5" s="104"/>
      <c r="EC5" s="104"/>
      <c r="ED5" s="104"/>
      <c r="EE5" s="104"/>
      <c r="EF5" s="104"/>
      <c r="EG5" s="104"/>
      <c r="EH5" s="104"/>
      <c r="EI5" s="104"/>
      <c r="EJ5" s="104"/>
      <c r="EK5" s="104"/>
      <c r="EL5" s="104"/>
      <c r="EM5" s="104"/>
      <c r="EN5" s="104"/>
      <c r="EO5" s="104"/>
      <c r="EP5" s="104"/>
      <c r="EQ5" s="104"/>
      <c r="ER5" s="104"/>
      <c r="ES5" s="104"/>
      <c r="ET5" s="104"/>
      <c r="EU5" s="104"/>
      <c r="EV5" s="104"/>
      <c r="EW5" s="104"/>
      <c r="EX5" s="104"/>
      <c r="EY5" s="104"/>
      <c r="EZ5" s="104"/>
      <c r="FA5" s="104"/>
      <c r="FB5" s="104"/>
      <c r="FC5" s="104"/>
      <c r="FD5" s="104"/>
      <c r="FE5" s="104"/>
      <c r="FF5" s="104"/>
      <c r="FG5" s="104"/>
      <c r="FH5" s="104"/>
      <c r="FI5" s="104"/>
      <c r="FJ5" s="104"/>
      <c r="FK5" s="104"/>
      <c r="FL5" s="104"/>
      <c r="FM5" s="104"/>
      <c r="FN5" s="104"/>
      <c r="FO5" s="104"/>
      <c r="FP5" s="104"/>
      <c r="FQ5" s="104"/>
      <c r="FR5" s="104"/>
      <c r="FS5" s="104"/>
      <c r="FT5" s="104"/>
      <c r="FU5" s="104"/>
      <c r="FV5" s="104"/>
      <c r="FW5" s="104"/>
      <c r="FX5" s="104"/>
      <c r="FY5" s="104"/>
      <c r="FZ5" s="104"/>
      <c r="GA5" s="104"/>
      <c r="GB5" s="104"/>
      <c r="GC5" s="104"/>
      <c r="GD5" s="104"/>
      <c r="GE5" s="104"/>
      <c r="GF5" s="104"/>
      <c r="GG5" s="104"/>
      <c r="GH5" s="104"/>
      <c r="GI5" s="104"/>
      <c r="GJ5" s="104"/>
      <c r="GK5" s="104"/>
      <c r="GL5" s="104"/>
      <c r="GM5" s="104"/>
      <c r="GN5" s="104"/>
      <c r="GO5" s="104"/>
      <c r="GP5" s="104"/>
      <c r="GQ5" s="104"/>
      <c r="GR5" s="104"/>
      <c r="GS5" s="104"/>
      <c r="GT5" s="104"/>
      <c r="GU5" s="104"/>
      <c r="GV5" s="104"/>
      <c r="GW5" s="104"/>
      <c r="GX5" s="104"/>
      <c r="GY5" s="104"/>
      <c r="GZ5" s="104"/>
      <c r="HA5" s="104"/>
      <c r="HB5" s="104"/>
      <c r="HC5" s="104"/>
      <c r="HD5" s="104"/>
      <c r="HE5" s="104"/>
      <c r="HF5" s="104"/>
      <c r="HG5" s="104"/>
      <c r="HH5" s="104"/>
      <c r="HI5" s="104"/>
      <c r="HJ5" s="104"/>
      <c r="HK5" s="104"/>
      <c r="HL5" s="104"/>
      <c r="HM5" s="104"/>
      <c r="HN5" s="104"/>
      <c r="HO5" s="104"/>
      <c r="HP5" s="104"/>
      <c r="HQ5" s="104"/>
      <c r="HR5" s="104"/>
      <c r="HS5" s="104"/>
      <c r="HT5" s="104"/>
      <c r="HU5" s="104"/>
      <c r="HV5" s="104"/>
      <c r="HW5" s="104"/>
      <c r="HX5" s="104"/>
      <c r="HY5" s="104"/>
      <c r="HZ5" s="104"/>
      <c r="IA5" s="104"/>
      <c r="IB5" s="104"/>
      <c r="IC5" s="104"/>
      <c r="ID5" s="104"/>
      <c r="IE5" s="104"/>
      <c r="IF5" s="104"/>
      <c r="IG5" s="104"/>
      <c r="IH5" s="104"/>
      <c r="II5" s="104"/>
      <c r="IJ5" s="104"/>
      <c r="IK5" s="104"/>
      <c r="IL5" s="104"/>
      <c r="IM5" s="104"/>
      <c r="IN5" s="104"/>
      <c r="IO5" s="104"/>
      <c r="IP5" s="104"/>
      <c r="IQ5" s="104"/>
      <c r="IR5" s="104"/>
      <c r="IS5" s="104"/>
      <c r="IT5" s="104"/>
      <c r="IU5" s="104"/>
      <c r="IV5" s="104"/>
      <c r="IW5" s="104"/>
    </row>
    <row r="6" customFormat="false" ht="15.75" hidden="false" customHeight="false" outlineLevel="0" collapsed="false">
      <c r="A6" s="207"/>
      <c r="B6" s="104"/>
      <c r="C6" s="104"/>
      <c r="D6" s="104"/>
      <c r="E6" s="208" t="s">
        <v>152</v>
      </c>
      <c r="F6" s="104"/>
      <c r="G6" s="209" t="s">
        <v>153</v>
      </c>
      <c r="H6" s="104"/>
      <c r="I6" s="208"/>
      <c r="J6" s="104"/>
      <c r="K6" s="210" t="s">
        <v>155</v>
      </c>
      <c r="L6" s="104"/>
      <c r="M6" s="210" t="s">
        <v>156</v>
      </c>
      <c r="N6" s="104"/>
      <c r="O6" s="210" t="s">
        <v>157</v>
      </c>
      <c r="P6" s="104"/>
      <c r="Q6" s="120" t="n">
        <v>36150</v>
      </c>
      <c r="R6" s="206"/>
      <c r="S6" s="120" t="s">
        <v>158</v>
      </c>
      <c r="T6" s="206"/>
      <c r="U6" s="120" t="n">
        <v>36191</v>
      </c>
      <c r="V6" s="211"/>
      <c r="W6" s="120" t="n">
        <v>36219</v>
      </c>
      <c r="X6" s="211"/>
      <c r="Y6" s="120" t="n">
        <v>36250</v>
      </c>
      <c r="Z6" s="211"/>
      <c r="AA6" s="120" t="n">
        <v>36280</v>
      </c>
      <c r="AB6" s="211"/>
      <c r="AC6" s="120" t="n">
        <v>36311</v>
      </c>
      <c r="AD6" s="211"/>
      <c r="AE6" s="120" t="n">
        <v>36341</v>
      </c>
      <c r="AF6" s="123"/>
      <c r="AG6" s="120" t="n">
        <v>36372</v>
      </c>
      <c r="AH6" s="123"/>
      <c r="AI6" s="120" t="n">
        <v>36403</v>
      </c>
      <c r="AJ6" s="123"/>
      <c r="AK6" s="120" t="n">
        <v>36433</v>
      </c>
      <c r="AL6" s="120"/>
      <c r="AM6" s="120" t="n">
        <v>36464</v>
      </c>
      <c r="AN6" s="123"/>
      <c r="AO6" s="120" t="n">
        <v>36494</v>
      </c>
      <c r="AP6" s="123"/>
      <c r="AQ6" s="120" t="n">
        <v>36525</v>
      </c>
      <c r="AR6" s="104"/>
      <c r="AS6" s="124" t="s">
        <v>159</v>
      </c>
      <c r="AT6" s="104"/>
      <c r="AU6" s="120" t="s">
        <v>160</v>
      </c>
      <c r="AV6" s="104"/>
      <c r="AW6" s="124" t="s">
        <v>161</v>
      </c>
      <c r="AX6" s="104"/>
      <c r="AY6" s="124" t="s">
        <v>162</v>
      </c>
      <c r="AZ6" s="104"/>
      <c r="BA6" s="124" t="s">
        <v>163</v>
      </c>
      <c r="BB6" s="104"/>
      <c r="BC6" s="113" t="s">
        <v>164</v>
      </c>
      <c r="BD6" s="101"/>
      <c r="BE6" s="104" t="s">
        <v>426</v>
      </c>
      <c r="BF6" s="104"/>
      <c r="BG6" s="104"/>
      <c r="BH6" s="104"/>
      <c r="BI6" s="104"/>
      <c r="BJ6" s="104"/>
      <c r="BK6" s="104"/>
      <c r="BL6" s="104"/>
      <c r="BM6" s="104"/>
      <c r="BN6" s="104"/>
      <c r="BO6" s="104"/>
      <c r="BP6" s="104"/>
      <c r="BQ6" s="104"/>
      <c r="BR6" s="104"/>
      <c r="BS6" s="104"/>
      <c r="BT6" s="104"/>
      <c r="BU6" s="104"/>
      <c r="BV6" s="104"/>
      <c r="BW6" s="104"/>
      <c r="BX6" s="104"/>
      <c r="BY6" s="104"/>
      <c r="BZ6" s="104"/>
      <c r="CA6" s="104"/>
      <c r="CB6" s="104"/>
      <c r="CC6" s="104"/>
      <c r="CD6" s="104"/>
      <c r="CE6" s="104"/>
      <c r="CF6" s="104"/>
      <c r="CG6" s="104"/>
      <c r="CH6" s="104"/>
      <c r="CI6" s="104"/>
      <c r="CJ6" s="104"/>
      <c r="CK6" s="104"/>
      <c r="CL6" s="104"/>
      <c r="CM6" s="104"/>
      <c r="CN6" s="104"/>
      <c r="CO6" s="104"/>
      <c r="CP6" s="104"/>
      <c r="CQ6" s="104"/>
      <c r="CR6" s="104"/>
      <c r="CS6" s="104"/>
      <c r="CT6" s="104"/>
      <c r="CU6" s="104"/>
      <c r="CV6" s="104"/>
      <c r="CW6" s="104"/>
      <c r="CX6" s="104"/>
      <c r="CY6" s="104"/>
      <c r="CZ6" s="104"/>
      <c r="DA6" s="104"/>
      <c r="DB6" s="104"/>
      <c r="DC6" s="104"/>
      <c r="DD6" s="104"/>
      <c r="DE6" s="104"/>
      <c r="DF6" s="104"/>
      <c r="DG6" s="104"/>
      <c r="DH6" s="104"/>
      <c r="DI6" s="104"/>
      <c r="DJ6" s="104"/>
      <c r="DK6" s="104"/>
      <c r="DL6" s="104"/>
      <c r="DM6" s="104"/>
      <c r="DN6" s="104"/>
      <c r="DO6" s="104"/>
      <c r="DP6" s="104"/>
      <c r="DQ6" s="104"/>
      <c r="DR6" s="104"/>
      <c r="DS6" s="104"/>
      <c r="DT6" s="104"/>
      <c r="DU6" s="104"/>
      <c r="DV6" s="104"/>
      <c r="DW6" s="104"/>
      <c r="DX6" s="104"/>
      <c r="DY6" s="104"/>
      <c r="DZ6" s="104"/>
      <c r="EA6" s="104"/>
      <c r="EB6" s="104"/>
      <c r="EC6" s="104"/>
      <c r="ED6" s="104"/>
      <c r="EE6" s="104"/>
      <c r="EF6" s="104"/>
      <c r="EG6" s="104"/>
      <c r="EH6" s="104"/>
      <c r="EI6" s="104"/>
      <c r="EJ6" s="104"/>
      <c r="EK6" s="104"/>
      <c r="EL6" s="104"/>
      <c r="EM6" s="104"/>
      <c r="EN6" s="104"/>
      <c r="EO6" s="104"/>
      <c r="EP6" s="104"/>
      <c r="EQ6" s="104"/>
      <c r="ER6" s="104"/>
      <c r="ES6" s="104"/>
      <c r="ET6" s="104"/>
      <c r="EU6" s="104"/>
      <c r="EV6" s="104"/>
      <c r="EW6" s="104"/>
      <c r="EX6" s="104"/>
      <c r="EY6" s="104"/>
      <c r="EZ6" s="104"/>
      <c r="FA6" s="104"/>
      <c r="FB6" s="104"/>
      <c r="FC6" s="104"/>
      <c r="FD6" s="104"/>
      <c r="FE6" s="104"/>
      <c r="FF6" s="104"/>
      <c r="FG6" s="104"/>
      <c r="FH6" s="104"/>
      <c r="FI6" s="104"/>
      <c r="FJ6" s="104"/>
      <c r="FK6" s="104"/>
      <c r="FL6" s="104"/>
      <c r="FM6" s="104"/>
      <c r="FN6" s="104"/>
      <c r="FO6" s="104"/>
      <c r="FP6" s="104"/>
      <c r="FQ6" s="104"/>
      <c r="FR6" s="104"/>
      <c r="FS6" s="104"/>
      <c r="FT6" s="104"/>
      <c r="FU6" s="104"/>
      <c r="FV6" s="104"/>
      <c r="FW6" s="104"/>
      <c r="FX6" s="104"/>
      <c r="FY6" s="104"/>
      <c r="FZ6" s="104"/>
      <c r="GA6" s="104"/>
      <c r="GB6" s="104"/>
      <c r="GC6" s="104"/>
      <c r="GD6" s="104"/>
      <c r="GE6" s="104"/>
      <c r="GF6" s="104"/>
      <c r="GG6" s="104"/>
      <c r="GH6" s="104"/>
      <c r="GI6" s="104"/>
      <c r="GJ6" s="104"/>
      <c r="GK6" s="104"/>
      <c r="GL6" s="104"/>
      <c r="GM6" s="104"/>
      <c r="GN6" s="104"/>
      <c r="GO6" s="104"/>
      <c r="GP6" s="104"/>
      <c r="GQ6" s="104"/>
      <c r="GR6" s="104"/>
      <c r="GS6" s="104"/>
      <c r="GT6" s="104"/>
      <c r="GU6" s="104"/>
      <c r="GV6" s="104"/>
      <c r="GW6" s="104"/>
      <c r="GX6" s="104"/>
      <c r="GY6" s="104"/>
      <c r="GZ6" s="104"/>
      <c r="HA6" s="104"/>
      <c r="HB6" s="104"/>
      <c r="HC6" s="104"/>
      <c r="HD6" s="104"/>
      <c r="HE6" s="104"/>
      <c r="HF6" s="104"/>
      <c r="HG6" s="104"/>
      <c r="HH6" s="104"/>
      <c r="HI6" s="104"/>
      <c r="HJ6" s="104"/>
      <c r="HK6" s="104"/>
      <c r="HL6" s="104"/>
      <c r="HM6" s="104"/>
      <c r="HN6" s="104"/>
      <c r="HO6" s="104"/>
      <c r="HP6" s="104"/>
      <c r="HQ6" s="104"/>
      <c r="HR6" s="104"/>
      <c r="HS6" s="104"/>
      <c r="HT6" s="104"/>
      <c r="HU6" s="104"/>
      <c r="HV6" s="104"/>
      <c r="HW6" s="104"/>
      <c r="HX6" s="104"/>
      <c r="HY6" s="104"/>
      <c r="HZ6" s="104"/>
      <c r="IA6" s="104"/>
      <c r="IB6" s="104"/>
      <c r="IC6" s="104"/>
      <c r="ID6" s="104"/>
      <c r="IE6" s="104"/>
      <c r="IF6" s="104"/>
      <c r="IG6" s="104"/>
      <c r="IH6" s="104"/>
      <c r="II6" s="104"/>
      <c r="IJ6" s="104"/>
      <c r="IK6" s="104"/>
      <c r="IL6" s="104"/>
      <c r="IM6" s="104"/>
      <c r="IN6" s="104"/>
      <c r="IO6" s="104"/>
      <c r="IP6" s="104"/>
      <c r="IQ6" s="104"/>
      <c r="IR6" s="104"/>
      <c r="IS6" s="104"/>
      <c r="IT6" s="104"/>
      <c r="IU6" s="104"/>
      <c r="IV6" s="104"/>
      <c r="IW6" s="104"/>
    </row>
    <row r="7" customFormat="false" ht="15.75" hidden="false" customHeight="false" outlineLevel="0" collapsed="false">
      <c r="A7" s="207"/>
      <c r="B7" s="257"/>
      <c r="C7" s="205"/>
      <c r="D7" s="104"/>
      <c r="E7" s="104"/>
      <c r="F7" s="104"/>
      <c r="G7" s="116"/>
      <c r="H7" s="104"/>
      <c r="I7" s="104"/>
      <c r="J7" s="104"/>
      <c r="K7" s="101"/>
      <c r="L7" s="104"/>
      <c r="M7" s="101"/>
      <c r="N7" s="104"/>
      <c r="O7" s="101"/>
      <c r="P7" s="104"/>
      <c r="Q7" s="111" t="s">
        <v>165</v>
      </c>
      <c r="R7" s="206"/>
      <c r="S7" s="111" t="s">
        <v>165</v>
      </c>
      <c r="T7" s="206"/>
      <c r="U7" s="111" t="str">
        <f aca="false">+Summary!$O$3</f>
        <v>as of 12/10/99</v>
      </c>
      <c r="V7" s="102"/>
      <c r="W7" s="111" t="str">
        <f aca="false">+Summary!$O$3</f>
        <v>as of 12/10/99</v>
      </c>
      <c r="X7" s="102"/>
      <c r="Y7" s="111" t="str">
        <f aca="false">+Summary!$O$3</f>
        <v>as of 12/10/99</v>
      </c>
      <c r="Z7" s="102"/>
      <c r="AA7" s="111" t="str">
        <f aca="false">+Summary!$O$3</f>
        <v>as of 12/10/99</v>
      </c>
      <c r="AB7" s="102"/>
      <c r="AC7" s="111" t="str">
        <f aca="false">+Summary!$O$3</f>
        <v>as of 12/10/99</v>
      </c>
      <c r="AD7" s="102"/>
      <c r="AE7" s="111" t="str">
        <f aca="false">+Summary!$O$3</f>
        <v>as of 12/10/99</v>
      </c>
      <c r="AF7" s="111"/>
      <c r="AG7" s="111" t="str">
        <f aca="false">+Summary!$O$3</f>
        <v>as of 12/10/99</v>
      </c>
      <c r="AH7" s="111"/>
      <c r="AI7" s="111" t="str">
        <f aca="false">+Summary!$O$3</f>
        <v>as of 12/10/99</v>
      </c>
      <c r="AJ7" s="111"/>
      <c r="AK7" s="111" t="str">
        <f aca="false">+Summary!$O$3</f>
        <v>as of 12/10/99</v>
      </c>
      <c r="AL7" s="111"/>
      <c r="AM7" s="111" t="str">
        <f aca="false">+Summary!$O$3</f>
        <v>as of 12/10/99</v>
      </c>
      <c r="AN7" s="111"/>
      <c r="AO7" s="111" t="str">
        <f aca="false">+Summary!$O$3</f>
        <v>as of 12/10/99</v>
      </c>
      <c r="AP7" s="111"/>
      <c r="AQ7" s="111" t="str">
        <f aca="false">+Summary!$O$3</f>
        <v>as of 12/10/99</v>
      </c>
      <c r="AR7" s="104"/>
      <c r="AS7" s="113" t="str">
        <f aca="false">+Summary!$O$3</f>
        <v>as of 12/10/99</v>
      </c>
      <c r="AT7" s="104"/>
      <c r="AU7" s="215" t="str">
        <f aca="false">+Summary!$O$3</f>
        <v>as of 12/10/99</v>
      </c>
      <c r="AV7" s="104"/>
      <c r="AW7" s="113"/>
      <c r="AX7" s="104"/>
      <c r="AY7" s="113"/>
      <c r="AZ7" s="104"/>
      <c r="BA7" s="113"/>
      <c r="BB7" s="104"/>
      <c r="BC7" s="104"/>
      <c r="BD7" s="101"/>
      <c r="BE7" s="104"/>
      <c r="BF7" s="104"/>
      <c r="BG7" s="104"/>
      <c r="BH7" s="104"/>
      <c r="BI7" s="104"/>
      <c r="BJ7" s="104"/>
      <c r="BK7" s="104"/>
      <c r="BL7" s="104"/>
      <c r="BM7" s="104"/>
      <c r="BN7" s="104"/>
      <c r="BO7" s="104"/>
      <c r="BP7" s="104"/>
      <c r="BQ7" s="104"/>
      <c r="BR7" s="104"/>
      <c r="BS7" s="104"/>
      <c r="BT7" s="104"/>
      <c r="BU7" s="104"/>
      <c r="BV7" s="104"/>
      <c r="BW7" s="104"/>
      <c r="BX7" s="104"/>
      <c r="BY7" s="104"/>
      <c r="BZ7" s="104"/>
      <c r="CA7" s="104"/>
      <c r="CB7" s="104"/>
      <c r="CC7" s="104"/>
      <c r="CD7" s="104"/>
      <c r="CE7" s="104"/>
      <c r="CF7" s="104"/>
      <c r="CG7" s="104"/>
      <c r="CH7" s="104"/>
      <c r="CI7" s="104"/>
      <c r="CJ7" s="104"/>
      <c r="CK7" s="104"/>
      <c r="CL7" s="104"/>
      <c r="CM7" s="104"/>
      <c r="CN7" s="104"/>
      <c r="CO7" s="104"/>
      <c r="CP7" s="104"/>
      <c r="CQ7" s="104"/>
      <c r="CR7" s="104"/>
      <c r="CS7" s="104"/>
      <c r="CT7" s="104"/>
      <c r="CU7" s="104"/>
      <c r="CV7" s="104"/>
      <c r="CW7" s="104"/>
      <c r="CX7" s="104"/>
      <c r="CY7" s="104"/>
      <c r="CZ7" s="104"/>
      <c r="DA7" s="104"/>
      <c r="DB7" s="104"/>
      <c r="DC7" s="104"/>
      <c r="DD7" s="104"/>
      <c r="DE7" s="104"/>
      <c r="DF7" s="104"/>
      <c r="DG7" s="104"/>
      <c r="DH7" s="104"/>
      <c r="DI7" s="104"/>
      <c r="DJ7" s="104"/>
      <c r="DK7" s="104"/>
      <c r="DL7" s="104"/>
      <c r="DM7" s="104"/>
      <c r="DN7" s="104"/>
      <c r="DO7" s="104"/>
      <c r="DP7" s="104"/>
      <c r="DQ7" s="104"/>
      <c r="DR7" s="104"/>
      <c r="DS7" s="104"/>
      <c r="DT7" s="104"/>
      <c r="DU7" s="104"/>
      <c r="DV7" s="104"/>
      <c r="DW7" s="104"/>
      <c r="DX7" s="104"/>
      <c r="DY7" s="104"/>
      <c r="DZ7" s="104"/>
      <c r="EA7" s="104"/>
      <c r="EB7" s="104"/>
      <c r="EC7" s="104"/>
      <c r="ED7" s="104"/>
      <c r="EE7" s="104"/>
      <c r="EF7" s="104"/>
      <c r="EG7" s="104"/>
      <c r="EH7" s="104"/>
      <c r="EI7" s="104"/>
      <c r="EJ7" s="104"/>
      <c r="EK7" s="104"/>
      <c r="EL7" s="104"/>
      <c r="EM7" s="104"/>
      <c r="EN7" s="104"/>
      <c r="EO7" s="104"/>
      <c r="EP7" s="104"/>
      <c r="EQ7" s="104"/>
      <c r="ER7" s="104"/>
      <c r="ES7" s="104"/>
      <c r="ET7" s="104"/>
      <c r="EU7" s="104"/>
      <c r="EV7" s="104"/>
      <c r="EW7" s="104"/>
      <c r="EX7" s="104"/>
      <c r="EY7" s="104"/>
      <c r="EZ7" s="104"/>
      <c r="FA7" s="104"/>
      <c r="FB7" s="104"/>
      <c r="FC7" s="104"/>
      <c r="FD7" s="104"/>
      <c r="FE7" s="104"/>
      <c r="FF7" s="104"/>
      <c r="FG7" s="104"/>
      <c r="FH7" s="104"/>
      <c r="FI7" s="104"/>
      <c r="FJ7" s="104"/>
      <c r="FK7" s="104"/>
      <c r="FL7" s="104"/>
      <c r="FM7" s="104"/>
      <c r="FN7" s="104"/>
      <c r="FO7" s="104"/>
      <c r="FP7" s="104"/>
      <c r="FQ7" s="104"/>
      <c r="FR7" s="104"/>
      <c r="FS7" s="104"/>
      <c r="FT7" s="104"/>
      <c r="FU7" s="104"/>
      <c r="FV7" s="104"/>
      <c r="FW7" s="104"/>
      <c r="FX7" s="104"/>
      <c r="FY7" s="104"/>
      <c r="FZ7" s="104"/>
      <c r="GA7" s="104"/>
      <c r="GB7" s="104"/>
      <c r="GC7" s="104"/>
      <c r="GD7" s="104"/>
      <c r="GE7" s="104"/>
      <c r="GF7" s="104"/>
      <c r="GG7" s="104"/>
      <c r="GH7" s="104"/>
      <c r="GI7" s="104"/>
      <c r="GJ7" s="104"/>
      <c r="GK7" s="104"/>
      <c r="GL7" s="104"/>
      <c r="GM7" s="104"/>
      <c r="GN7" s="104"/>
      <c r="GO7" s="104"/>
      <c r="GP7" s="104"/>
      <c r="GQ7" s="104"/>
      <c r="GR7" s="104"/>
      <c r="GS7" s="104"/>
      <c r="GT7" s="104"/>
      <c r="GU7" s="104"/>
      <c r="GV7" s="104"/>
      <c r="GW7" s="104"/>
      <c r="GX7" s="104"/>
      <c r="GY7" s="104"/>
      <c r="GZ7" s="104"/>
      <c r="HA7" s="104"/>
      <c r="HB7" s="104"/>
      <c r="HC7" s="104"/>
      <c r="HD7" s="104"/>
      <c r="HE7" s="104"/>
      <c r="HF7" s="104"/>
      <c r="HG7" s="104"/>
      <c r="HH7" s="104"/>
      <c r="HI7" s="104"/>
      <c r="HJ7" s="104"/>
      <c r="HK7" s="104"/>
      <c r="HL7" s="104"/>
      <c r="HM7" s="104"/>
      <c r="HN7" s="104"/>
      <c r="HO7" s="104"/>
      <c r="HP7" s="104"/>
      <c r="HQ7" s="104"/>
      <c r="HR7" s="104"/>
      <c r="HS7" s="104"/>
      <c r="HT7" s="104"/>
      <c r="HU7" s="104"/>
      <c r="HV7" s="104"/>
      <c r="HW7" s="104"/>
      <c r="HX7" s="104"/>
      <c r="HY7" s="104"/>
      <c r="HZ7" s="104"/>
      <c r="IA7" s="104"/>
      <c r="IB7" s="104"/>
      <c r="IC7" s="104"/>
      <c r="ID7" s="104"/>
      <c r="IE7" s="104"/>
      <c r="IF7" s="104"/>
      <c r="IG7" s="104"/>
      <c r="IH7" s="104"/>
      <c r="II7" s="104"/>
      <c r="IJ7" s="104"/>
      <c r="IK7" s="104"/>
      <c r="IL7" s="104"/>
      <c r="IM7" s="104"/>
      <c r="IN7" s="104"/>
      <c r="IO7" s="104"/>
      <c r="IP7" s="104"/>
      <c r="IQ7" s="104"/>
      <c r="IR7" s="104"/>
      <c r="IS7" s="104"/>
      <c r="IT7" s="104"/>
      <c r="IU7" s="104"/>
      <c r="IV7" s="104"/>
      <c r="IW7" s="104"/>
    </row>
    <row r="8" customFormat="false" ht="12.75" hidden="false" customHeight="false" outlineLevel="0" collapsed="false">
      <c r="A8" s="130" t="s">
        <v>166</v>
      </c>
      <c r="B8" s="132"/>
      <c r="C8" s="214"/>
      <c r="E8" s="90"/>
      <c r="G8" s="90"/>
      <c r="I8" s="90"/>
      <c r="K8" s="133"/>
      <c r="L8" s="133"/>
      <c r="M8" s="133"/>
      <c r="N8" s="133"/>
      <c r="O8" s="133"/>
      <c r="Q8" s="258"/>
      <c r="R8" s="195"/>
      <c r="S8" s="258"/>
      <c r="T8" s="195"/>
      <c r="U8" s="258"/>
      <c r="V8" s="90"/>
      <c r="W8" s="258"/>
      <c r="X8" s="90"/>
      <c r="Y8" s="258"/>
      <c r="Z8" s="90"/>
      <c r="AA8" s="258"/>
      <c r="AB8" s="90"/>
      <c r="AC8" s="258"/>
      <c r="AD8" s="90"/>
      <c r="AE8" s="258"/>
      <c r="AF8" s="258"/>
      <c r="AG8" s="258"/>
      <c r="AH8" s="258"/>
      <c r="AI8" s="258"/>
      <c r="AJ8" s="258"/>
      <c r="AK8" s="258"/>
      <c r="AL8" s="258"/>
      <c r="AM8" s="258"/>
      <c r="AN8" s="258"/>
      <c r="AO8" s="258"/>
      <c r="AP8" s="258"/>
      <c r="AQ8" s="258"/>
      <c r="AS8" s="90"/>
      <c r="AU8" s="258"/>
      <c r="AW8" s="90"/>
      <c r="AX8" s="90"/>
      <c r="AY8" s="90"/>
      <c r="AZ8" s="90"/>
      <c r="BA8" s="90"/>
    </row>
    <row r="9" customFormat="false" ht="12.75" hidden="false" customHeight="false" outlineLevel="0" collapsed="false">
      <c r="A9" s="217"/>
      <c r="B9" s="132" t="s">
        <v>427</v>
      </c>
      <c r="C9" s="218" t="s">
        <v>428</v>
      </c>
      <c r="E9" s="94" t="s">
        <v>169</v>
      </c>
      <c r="G9" s="94" t="s">
        <v>170</v>
      </c>
      <c r="I9" s="94" t="s">
        <v>429</v>
      </c>
      <c r="K9" s="133" t="n">
        <v>1347000</v>
      </c>
      <c r="L9" s="133"/>
      <c r="M9" s="133" t="n">
        <v>0</v>
      </c>
      <c r="N9" s="133"/>
      <c r="O9" s="133" t="n">
        <f aca="false">SUM(K9:N9)</f>
        <v>1347000</v>
      </c>
      <c r="Q9" s="96" t="n">
        <f aca="false">1200000+147000</f>
        <v>1347000</v>
      </c>
      <c r="V9" s="136"/>
      <c r="X9" s="136"/>
      <c r="Z9" s="136"/>
      <c r="AB9" s="136"/>
      <c r="AD9" s="136"/>
      <c r="AS9" s="95" t="n">
        <f aca="false">SUM(P9:AR9)</f>
        <v>1347000</v>
      </c>
      <c r="AW9" s="95" t="n">
        <f aca="false">IF(+O9-AS9+AU9&gt;0,O9-AS9+AU9,0)</f>
        <v>0</v>
      </c>
      <c r="AX9" s="90"/>
      <c r="AY9" s="95" t="n">
        <f aca="false">+AW9+AS9</f>
        <v>1347000</v>
      </c>
      <c r="AZ9" s="90"/>
      <c r="BA9" s="95" t="n">
        <f aca="false">O9-AS9-AW9</f>
        <v>0</v>
      </c>
      <c r="BB9" s="136"/>
      <c r="BC9" s="259" t="s">
        <v>430</v>
      </c>
      <c r="BD9" s="95" t="n">
        <v>-1347000</v>
      </c>
      <c r="BE9" s="16" t="n">
        <f aca="false">+AY9+BD9</f>
        <v>0</v>
      </c>
    </row>
    <row r="10" customFormat="false" ht="12.75" hidden="false" customHeight="false" outlineLevel="0" collapsed="false">
      <c r="A10" s="217"/>
      <c r="B10" s="132" t="s">
        <v>431</v>
      </c>
      <c r="C10" s="218" t="s">
        <v>428</v>
      </c>
      <c r="G10" s="94" t="s">
        <v>170</v>
      </c>
      <c r="K10" s="133" t="n">
        <v>500000</v>
      </c>
      <c r="L10" s="133"/>
      <c r="M10" s="133" t="n">
        <v>0</v>
      </c>
      <c r="N10" s="133"/>
      <c r="O10" s="133" t="n">
        <f aca="false">SUM(K10:N10)</f>
        <v>500000</v>
      </c>
      <c r="Q10" s="96" t="n">
        <f aca="false">356331+254805</f>
        <v>611136</v>
      </c>
      <c r="S10" s="96" t="n">
        <v>-251403.37</v>
      </c>
      <c r="V10" s="136"/>
      <c r="X10" s="136"/>
      <c r="Z10" s="136"/>
      <c r="AB10" s="136"/>
      <c r="AD10" s="136"/>
      <c r="AS10" s="95" t="n">
        <f aca="false">SUM(P10:AR10)</f>
        <v>359732.63</v>
      </c>
      <c r="AU10" s="96" t="n">
        <v>0</v>
      </c>
      <c r="AW10" s="95" t="n">
        <f aca="false">395900-356310</f>
        <v>39590</v>
      </c>
      <c r="AX10" s="90"/>
      <c r="AY10" s="95" t="n">
        <f aca="false">+AW10+AS10</f>
        <v>399322.63</v>
      </c>
      <c r="AZ10" s="90"/>
      <c r="BA10" s="95" t="n">
        <f aca="false">O10-AS10-AW10</f>
        <v>100677.37</v>
      </c>
      <c r="BB10" s="136"/>
      <c r="BC10" s="259" t="s">
        <v>432</v>
      </c>
      <c r="BD10" s="95" t="n">
        <v>-611136</v>
      </c>
      <c r="BE10" s="16" t="n">
        <f aca="false">+AY10+BD10</f>
        <v>-211813.37</v>
      </c>
    </row>
    <row r="11" customFormat="false" ht="12.75" hidden="false" customHeight="false" outlineLevel="0" collapsed="false">
      <c r="A11" s="217"/>
      <c r="B11" s="132" t="s">
        <v>433</v>
      </c>
      <c r="C11" s="218" t="s">
        <v>428</v>
      </c>
      <c r="E11" s="94" t="s">
        <v>169</v>
      </c>
      <c r="G11" s="94" t="s">
        <v>170</v>
      </c>
      <c r="K11" s="133" t="n">
        <f aca="false">K9*0.1</f>
        <v>134700</v>
      </c>
      <c r="L11" s="133"/>
      <c r="M11" s="133" t="n">
        <v>0</v>
      </c>
      <c r="N11" s="133"/>
      <c r="O11" s="133" t="n">
        <f aca="false">SUM(K11:N11)</f>
        <v>134700</v>
      </c>
      <c r="Q11" s="96" t="n">
        <f aca="false">120000+14700</f>
        <v>134700</v>
      </c>
      <c r="V11" s="136"/>
      <c r="X11" s="136"/>
      <c r="Z11" s="136"/>
      <c r="AB11" s="136"/>
      <c r="AD11" s="136"/>
      <c r="AS11" s="95" t="n">
        <f aca="false">SUM(P11:AR11)</f>
        <v>134700</v>
      </c>
      <c r="AW11" s="95" t="n">
        <f aca="false">IF(+O11-AS11+AU11&gt;0,O11-AS11+AU11,0)</f>
        <v>0</v>
      </c>
      <c r="AX11" s="90"/>
      <c r="AY11" s="95" t="n">
        <f aca="false">+AW11+AS11</f>
        <v>134700</v>
      </c>
      <c r="AZ11" s="90"/>
      <c r="BA11" s="95" t="n">
        <f aca="false">O11-AS11-AW11</f>
        <v>0</v>
      </c>
      <c r="BB11" s="136"/>
      <c r="BC11" s="259"/>
      <c r="BE11" s="16" t="n">
        <f aca="false">+AY11+BD11</f>
        <v>134700</v>
      </c>
    </row>
    <row r="12" customFormat="false" ht="12.75" hidden="false" customHeight="false" outlineLevel="0" collapsed="false">
      <c r="A12" s="217"/>
      <c r="B12" s="132" t="s">
        <v>434</v>
      </c>
      <c r="C12" s="218" t="s">
        <v>435</v>
      </c>
      <c r="E12" s="94" t="s">
        <v>169</v>
      </c>
      <c r="G12" s="94" t="s">
        <v>436</v>
      </c>
      <c r="I12" s="94" t="s">
        <v>174</v>
      </c>
      <c r="K12" s="133" t="n">
        <v>27503000</v>
      </c>
      <c r="L12" s="133"/>
      <c r="M12" s="133"/>
      <c r="N12" s="133"/>
      <c r="O12" s="133" t="n">
        <f aca="false">SUM(K12:N12)</f>
        <v>27503000</v>
      </c>
      <c r="Q12" s="142" t="n">
        <f aca="false">3025305+3025305+3025305+8250832+5500555+3025305+1650166+1</f>
        <v>27502774</v>
      </c>
      <c r="S12" s="142"/>
      <c r="V12" s="136"/>
      <c r="AS12" s="95" t="n">
        <f aca="false">SUM(P12:AR12)</f>
        <v>27502774</v>
      </c>
      <c r="AW12" s="95" t="n">
        <v>0</v>
      </c>
      <c r="AX12" s="90"/>
      <c r="AY12" s="95" t="n">
        <f aca="false">+AW12+AS12</f>
        <v>27502774</v>
      </c>
      <c r="AZ12" s="90"/>
      <c r="BA12" s="95" t="n">
        <f aca="false">O12-AS12-AW12</f>
        <v>226</v>
      </c>
      <c r="BB12" s="136"/>
      <c r="BC12" s="259" t="s">
        <v>437</v>
      </c>
      <c r="BE12" s="16" t="n">
        <f aca="false">+AY12+BD12</f>
        <v>27502774</v>
      </c>
    </row>
    <row r="13" customFormat="false" ht="12.75" hidden="false" customHeight="false" outlineLevel="0" collapsed="false">
      <c r="A13" s="217"/>
      <c r="B13" s="132" t="s">
        <v>438</v>
      </c>
      <c r="C13" s="218"/>
      <c r="K13" s="133" t="n">
        <v>0</v>
      </c>
      <c r="L13" s="133"/>
      <c r="M13" s="133" t="n">
        <v>-700000</v>
      </c>
      <c r="N13" s="133"/>
      <c r="O13" s="133" t="n">
        <f aca="false">SUM(K13:N13)</f>
        <v>-700000</v>
      </c>
      <c r="Q13" s="96" t="n">
        <v>0</v>
      </c>
      <c r="V13" s="136"/>
      <c r="W13" s="96" t="n">
        <v>-700000</v>
      </c>
      <c r="AS13" s="95" t="n">
        <f aca="false">SUM(P13:AR13)</f>
        <v>-700000</v>
      </c>
      <c r="AW13" s="95" t="n">
        <f aca="false">O13-AS13+AU13</f>
        <v>0</v>
      </c>
      <c r="AX13" s="90"/>
      <c r="AY13" s="96" t="n">
        <f aca="false">+AW13+AS13</f>
        <v>-700000</v>
      </c>
      <c r="AZ13" s="90"/>
      <c r="BA13" s="95" t="n">
        <f aca="false">O13-AS13-AW13</f>
        <v>0</v>
      </c>
      <c r="BB13" s="136"/>
      <c r="BC13" s="259"/>
      <c r="BE13" s="16" t="n">
        <f aca="false">+AY13+BD13</f>
        <v>-700000</v>
      </c>
    </row>
    <row r="14" customFormat="false" ht="12.75" hidden="false" customHeight="false" outlineLevel="0" collapsed="false">
      <c r="A14" s="217"/>
      <c r="B14" s="132" t="s">
        <v>439</v>
      </c>
      <c r="C14" s="218" t="s">
        <v>435</v>
      </c>
      <c r="E14" s="94" t="s">
        <v>169</v>
      </c>
      <c r="G14" s="94" t="s">
        <v>436</v>
      </c>
      <c r="K14" s="133" t="n">
        <v>3600000</v>
      </c>
      <c r="L14" s="133"/>
      <c r="M14" s="133" t="n">
        <v>0</v>
      </c>
      <c r="N14" s="133"/>
      <c r="O14" s="133" t="n">
        <f aca="false">SUM(K14:N14)</f>
        <v>3600000</v>
      </c>
      <c r="Q14" s="96" t="n">
        <v>0</v>
      </c>
      <c r="U14" s="96" t="n">
        <v>2750277.4</v>
      </c>
      <c r="V14" s="136"/>
      <c r="X14" s="136"/>
      <c r="Z14" s="136"/>
      <c r="AB14" s="136"/>
      <c r="AD14" s="136"/>
      <c r="AS14" s="95" t="n">
        <f aca="false">SUM(P14:AR14)</f>
        <v>2750277.4</v>
      </c>
      <c r="AW14" s="95" t="n">
        <f aca="false">IF(+O14-AS14+AU14&gt;0,O14-AS14+AU14,0)</f>
        <v>849722.6</v>
      </c>
      <c r="AX14" s="90"/>
      <c r="AY14" s="95" t="n">
        <f aca="false">+AW14+AS14</f>
        <v>3600000</v>
      </c>
      <c r="AZ14" s="90"/>
      <c r="BA14" s="95" t="n">
        <f aca="false">O14-AS14-AW14</f>
        <v>0</v>
      </c>
      <c r="BB14" s="136"/>
      <c r="BC14" s="259"/>
      <c r="BE14" s="16" t="n">
        <f aca="false">+AY14+BD14</f>
        <v>3600000</v>
      </c>
    </row>
    <row r="15" customFormat="false" ht="12.75" hidden="false" customHeight="false" outlineLevel="0" collapsed="false">
      <c r="A15" s="217"/>
      <c r="B15" s="132" t="s">
        <v>440</v>
      </c>
      <c r="C15" s="218" t="s">
        <v>435</v>
      </c>
      <c r="E15" s="94" t="s">
        <v>169</v>
      </c>
      <c r="G15" s="94" t="s">
        <v>441</v>
      </c>
      <c r="K15" s="133" t="n">
        <v>1500000</v>
      </c>
      <c r="L15" s="133"/>
      <c r="M15" s="133" t="n">
        <v>-192340</v>
      </c>
      <c r="N15" s="133"/>
      <c r="O15" s="133" t="n">
        <f aca="false">SUM(K15:N15)</f>
        <v>1307660</v>
      </c>
      <c r="Q15" s="96" t="n">
        <f aca="false">371290+1251900+4756+272641+272641+509610</f>
        <v>2682838</v>
      </c>
      <c r="S15" s="96" t="n">
        <v>-1059648</v>
      </c>
      <c r="U15" s="96" t="n">
        <v>189260</v>
      </c>
      <c r="V15" s="136"/>
      <c r="Y15" s="0"/>
      <c r="AA15" s="0"/>
      <c r="AS15" s="95" t="n">
        <f aca="false">SUM(P15:AR15)</f>
        <v>1812450</v>
      </c>
      <c r="AU15" s="96" t="n">
        <v>0</v>
      </c>
      <c r="AW15" s="95" t="n">
        <f aca="false">IF(+O15-AS15+AU15&gt;0,O15-AS15+AU15,0)</f>
        <v>0</v>
      </c>
      <c r="AX15" s="90"/>
      <c r="AY15" s="95" t="n">
        <f aca="false">+AW15+AS15</f>
        <v>1812450</v>
      </c>
      <c r="AZ15" s="90"/>
      <c r="BA15" s="95" t="n">
        <f aca="false">O15-AS15-AW15</f>
        <v>-504790</v>
      </c>
      <c r="BB15" s="136"/>
      <c r="BC15" s="259"/>
      <c r="BD15" s="95" t="n">
        <v>-1375178</v>
      </c>
      <c r="BE15" s="16" t="n">
        <f aca="false">+AY15+BD15</f>
        <v>437272</v>
      </c>
    </row>
    <row r="16" customFormat="false" ht="12.75" hidden="false" customHeight="false" outlineLevel="0" collapsed="false">
      <c r="A16" s="225"/>
      <c r="B16" s="132" t="s">
        <v>442</v>
      </c>
      <c r="C16" s="218"/>
      <c r="G16" s="94" t="s">
        <v>436</v>
      </c>
      <c r="K16" s="133" t="n">
        <v>0</v>
      </c>
      <c r="L16" s="133"/>
      <c r="M16" s="133" t="n">
        <v>1274025</v>
      </c>
      <c r="N16" s="133"/>
      <c r="O16" s="133" t="n">
        <f aca="false">SUM(K16:N16)</f>
        <v>1274025</v>
      </c>
      <c r="Q16" s="96" t="n">
        <v>0</v>
      </c>
      <c r="S16" s="96" t="n">
        <v>1312564.44</v>
      </c>
      <c r="U16" s="96" t="n">
        <f aca="false">158283.73</f>
        <v>158283.73</v>
      </c>
      <c r="V16" s="136"/>
      <c r="X16" s="136"/>
      <c r="Y16" s="96" t="n">
        <f aca="false">7343.7+3822.08+89100+9900+1130+2093.1+1690+6664.88+2539.94+2400+1130+1130+1690+1130+3061.3+1130+1130+1130+1130</f>
        <v>139345</v>
      </c>
      <c r="Z16" s="136"/>
      <c r="AA16" s="96" t="n">
        <f aca="false">7971.26+281410+595.08+595.08+595.08+2539.94+595.08+1800+18450+3238.71+162884.91+658</f>
        <v>481333.14</v>
      </c>
      <c r="AB16" s="136"/>
      <c r="AC16" s="96" t="n">
        <f aca="false">87000+457425+245667.64+96072.44+18337.5+107000+107000+107000+11983+1150</f>
        <v>1238635.58</v>
      </c>
      <c r="AD16" s="136"/>
      <c r="AE16" s="96" t="n">
        <f aca="false">14000+121915.98+82497.2</f>
        <v>218413.18</v>
      </c>
      <c r="AG16" s="96" t="n">
        <f aca="false">24971+155500</f>
        <v>180471</v>
      </c>
      <c r="AS16" s="95" t="n">
        <f aca="false">SUM(P16:AR16)</f>
        <v>3729046.07</v>
      </c>
      <c r="AU16" s="96" t="n">
        <f aca="false">2254002</f>
        <v>2254002</v>
      </c>
      <c r="AW16" s="95" t="n">
        <f aca="false">IF(+O16-AS16+AU16&gt;0,O16-AS16+AU16,0)</f>
        <v>0</v>
      </c>
      <c r="AX16" s="90"/>
      <c r="AY16" s="135" t="n">
        <f aca="false">+AW16+AS16</f>
        <v>3729046.07</v>
      </c>
      <c r="AZ16" s="90"/>
      <c r="BA16" s="95" t="n">
        <f aca="false">O16-AS16-AW16</f>
        <v>-2455021.07</v>
      </c>
      <c r="BB16" s="136"/>
      <c r="BC16" s="259" t="s">
        <v>443</v>
      </c>
      <c r="BD16" s="95" t="n">
        <f aca="false">1000000-1274025</f>
        <v>-274025</v>
      </c>
      <c r="BE16" s="16" t="n">
        <f aca="false">+AY16+BD16</f>
        <v>3455021.07</v>
      </c>
    </row>
    <row r="17" customFormat="false" ht="12.75" hidden="false" customHeight="false" outlineLevel="0" collapsed="false">
      <c r="A17" s="217"/>
      <c r="B17" s="132" t="s">
        <v>438</v>
      </c>
      <c r="C17" s="218"/>
      <c r="K17" s="133" t="n">
        <v>0</v>
      </c>
      <c r="L17" s="133"/>
      <c r="M17" s="133" t="n">
        <v>-200500</v>
      </c>
      <c r="N17" s="133"/>
      <c r="O17" s="133" t="n">
        <f aca="false">SUM(K17:N17)</f>
        <v>-200500</v>
      </c>
      <c r="Q17" s="96" t="n">
        <v>0</v>
      </c>
      <c r="V17" s="136"/>
      <c r="W17" s="96" t="n">
        <v>-200500</v>
      </c>
      <c r="AS17" s="95" t="n">
        <f aca="false">SUM(P17:AR17)</f>
        <v>-200500</v>
      </c>
      <c r="AW17" s="95" t="n">
        <f aca="false">O17-AS17+AU17</f>
        <v>0</v>
      </c>
      <c r="AX17" s="90"/>
      <c r="AY17" s="96" t="n">
        <f aca="false">+AW17+AS17</f>
        <v>-200500</v>
      </c>
      <c r="AZ17" s="90"/>
      <c r="BA17" s="95" t="n">
        <f aca="false">O17-AS17-AW17</f>
        <v>0</v>
      </c>
      <c r="BB17" s="136"/>
      <c r="BC17" s="259"/>
      <c r="BE17" s="16" t="n">
        <f aca="false">+AY17+BD17</f>
        <v>-200500</v>
      </c>
    </row>
    <row r="18" customFormat="false" ht="12.75" hidden="false" customHeight="false" outlineLevel="0" collapsed="false">
      <c r="A18" s="217"/>
      <c r="B18" s="132" t="s">
        <v>438</v>
      </c>
      <c r="C18" s="218"/>
      <c r="K18" s="133" t="n">
        <v>0</v>
      </c>
      <c r="L18" s="133"/>
      <c r="M18" s="133" t="n">
        <v>-100000</v>
      </c>
      <c r="N18" s="133"/>
      <c r="O18" s="133" t="n">
        <f aca="false">SUM(K18:N18)</f>
        <v>-100000</v>
      </c>
      <c r="Q18" s="96" t="n">
        <v>0</v>
      </c>
      <c r="V18" s="136"/>
      <c r="W18" s="96" t="n">
        <v>-100000</v>
      </c>
      <c r="X18" s="136"/>
      <c r="Z18" s="136"/>
      <c r="AB18" s="136"/>
      <c r="AD18" s="136"/>
      <c r="AS18" s="95" t="n">
        <f aca="false">SUM(P18:AR18)</f>
        <v>-100000</v>
      </c>
      <c r="AW18" s="95" t="n">
        <f aca="false">O18-AS18+AU18</f>
        <v>0</v>
      </c>
      <c r="AX18" s="90"/>
      <c r="AY18" s="96" t="n">
        <f aca="false">+AW18+AS18</f>
        <v>-100000</v>
      </c>
      <c r="AZ18" s="90"/>
      <c r="BA18" s="95" t="n">
        <f aca="false">O18-AS18-AW18</f>
        <v>0</v>
      </c>
      <c r="BB18" s="136"/>
      <c r="BC18" s="259"/>
      <c r="BE18" s="16" t="n">
        <f aca="false">+AY18+BD18</f>
        <v>-100000</v>
      </c>
    </row>
    <row r="19" customFormat="false" ht="12.75" hidden="false" customHeight="false" outlineLevel="0" collapsed="false">
      <c r="A19" s="217"/>
      <c r="B19" s="132" t="s">
        <v>444</v>
      </c>
      <c r="C19" s="218"/>
      <c r="K19" s="133" t="n">
        <v>0</v>
      </c>
      <c r="L19" s="133"/>
      <c r="M19" s="133" t="n">
        <v>89182</v>
      </c>
      <c r="N19" s="133"/>
      <c r="O19" s="133" t="n">
        <f aca="false">SUM(K19:N19)</f>
        <v>89182</v>
      </c>
      <c r="Q19" s="96" t="n">
        <v>14347</v>
      </c>
      <c r="V19" s="136"/>
      <c r="X19" s="136"/>
      <c r="Z19" s="136"/>
      <c r="AB19" s="136"/>
      <c r="AD19" s="136"/>
      <c r="AS19" s="95" t="n">
        <f aca="false">SUM(P19:AR19)</f>
        <v>14347</v>
      </c>
      <c r="AW19" s="95" t="n">
        <f aca="false">IF(+O19-AS19+AU19&gt;0,O19-AS19+AU19,0)</f>
        <v>74835</v>
      </c>
      <c r="AX19" s="90"/>
      <c r="AY19" s="95" t="n">
        <f aca="false">+AW19+AS19</f>
        <v>89182</v>
      </c>
      <c r="AZ19" s="90"/>
      <c r="BA19" s="95" t="n">
        <f aca="false">O19-AS19-AW19</f>
        <v>0</v>
      </c>
      <c r="BB19" s="136"/>
      <c r="BC19" s="259"/>
      <c r="BE19" s="16" t="n">
        <f aca="false">+AY19+BD19</f>
        <v>89182</v>
      </c>
    </row>
    <row r="20" customFormat="false" ht="12.75" hidden="false" customHeight="false" outlineLevel="0" collapsed="false">
      <c r="A20" s="212"/>
      <c r="B20" s="132" t="s">
        <v>445</v>
      </c>
      <c r="K20" s="133" t="n">
        <v>0</v>
      </c>
      <c r="L20" s="133"/>
      <c r="M20" s="133" t="n">
        <v>0</v>
      </c>
      <c r="N20" s="133"/>
      <c r="O20" s="133" t="n">
        <f aca="false">SUM(K20:N20)</f>
        <v>0</v>
      </c>
      <c r="Q20" s="96" t="n">
        <f aca="false">9167.59+504+504+504</f>
        <v>10679.59</v>
      </c>
      <c r="S20" s="96" t="n">
        <v>-1512</v>
      </c>
      <c r="V20" s="136"/>
      <c r="X20" s="136"/>
      <c r="Z20" s="136"/>
      <c r="AB20" s="136"/>
      <c r="AD20" s="136"/>
      <c r="AS20" s="95" t="n">
        <f aca="false">SUM(P20:AR20)</f>
        <v>9167.59</v>
      </c>
      <c r="AW20" s="95" t="n">
        <f aca="false">IF(+O20-AS20+AU20&gt;0,O20-AS20+AU20,0)</f>
        <v>0</v>
      </c>
      <c r="AX20" s="90"/>
      <c r="AY20" s="95" t="n">
        <f aca="false">+AW20+AS20</f>
        <v>9167.59</v>
      </c>
      <c r="AZ20" s="90"/>
      <c r="BA20" s="95" t="n">
        <f aca="false">O20-AS20-AW20</f>
        <v>-9167.59</v>
      </c>
      <c r="BB20" s="136"/>
      <c r="BC20" s="95"/>
      <c r="BD20" s="95" t="n">
        <v>-10680</v>
      </c>
      <c r="BE20" s="16" t="n">
        <f aca="false">+AY20+BD20</f>
        <v>-1512.41</v>
      </c>
    </row>
    <row r="21" customFormat="false" ht="12.75" hidden="false" customHeight="false" outlineLevel="0" collapsed="false">
      <c r="A21" s="225"/>
      <c r="B21" s="132" t="s">
        <v>446</v>
      </c>
      <c r="C21" s="218" t="s">
        <v>435</v>
      </c>
      <c r="G21" s="94" t="s">
        <v>441</v>
      </c>
      <c r="K21" s="133"/>
      <c r="L21" s="133"/>
      <c r="M21" s="133" t="n">
        <v>0</v>
      </c>
      <c r="N21" s="133"/>
      <c r="O21" s="133" t="n">
        <f aca="false">SUM(K21:N21)</f>
        <v>0</v>
      </c>
      <c r="Q21" s="96" t="n">
        <v>0</v>
      </c>
      <c r="V21" s="136"/>
      <c r="AS21" s="95" t="n">
        <f aca="false">SUM(P21:AR21)</f>
        <v>0</v>
      </c>
      <c r="AW21" s="95" t="n">
        <f aca="false">IF(+O21-AS21+AU21&gt;0,O21-AS21+AU21,0)</f>
        <v>0</v>
      </c>
      <c r="AX21" s="90"/>
      <c r="AY21" s="95" t="n">
        <f aca="false">+AW21+AS21</f>
        <v>0</v>
      </c>
      <c r="AZ21" s="90"/>
      <c r="BA21" s="95" t="n">
        <f aca="false">O21-AS21-AW21</f>
        <v>0</v>
      </c>
      <c r="BB21" s="136"/>
      <c r="BC21" s="259"/>
      <c r="BE21" s="16" t="n">
        <f aca="false">+AY21+BD21</f>
        <v>0</v>
      </c>
    </row>
    <row r="22" customFormat="false" ht="12.75" hidden="false" customHeight="false" outlineLevel="0" collapsed="false">
      <c r="A22" s="225"/>
      <c r="B22" s="132" t="s">
        <v>447</v>
      </c>
      <c r="C22" s="218" t="s">
        <v>435</v>
      </c>
      <c r="G22" s="94" t="s">
        <v>441</v>
      </c>
      <c r="K22" s="133" t="n">
        <v>10500000</v>
      </c>
      <c r="L22" s="133"/>
      <c r="M22" s="133" t="n">
        <v>-3125000</v>
      </c>
      <c r="N22" s="133"/>
      <c r="O22" s="133" t="n">
        <f aca="false">SUM(K22:N22)</f>
        <v>7375000</v>
      </c>
      <c r="Q22" s="96" t="n">
        <v>7050000</v>
      </c>
      <c r="U22" s="96" t="n">
        <f aca="false">(1329068.4+2756140.24-996801.3-2067105.18)</f>
        <v>1021302.16</v>
      </c>
      <c r="V22" s="136"/>
      <c r="Y22" s="96" t="n">
        <f aca="false">536220.8</f>
        <v>536220.8</v>
      </c>
      <c r="AS22" s="95" t="n">
        <f aca="false">SUM(P22:AR22)</f>
        <v>8607522.96</v>
      </c>
      <c r="AW22" s="136" t="n">
        <v>-268110</v>
      </c>
      <c r="AX22" s="90"/>
      <c r="AY22" s="135" t="n">
        <f aca="false">+AW22+AS22</f>
        <v>8339412.96</v>
      </c>
      <c r="AZ22" s="90"/>
      <c r="BA22" s="95" t="n">
        <f aca="false">O22-AS22-AW22</f>
        <v>-964412.960000001</v>
      </c>
      <c r="BB22" s="136"/>
      <c r="BC22" s="259" t="s">
        <v>448</v>
      </c>
      <c r="BD22" s="95" t="n">
        <f aca="false">6725000-185651</f>
        <v>6539349</v>
      </c>
      <c r="BE22" s="16" t="n">
        <f aca="false">+AY22+BD22</f>
        <v>14878761.96</v>
      </c>
    </row>
    <row r="23" customFormat="false" ht="12.75" hidden="false" customHeight="false" outlineLevel="0" collapsed="false">
      <c r="A23" s="226"/>
      <c r="B23" s="132" t="s">
        <v>180</v>
      </c>
      <c r="C23" s="218"/>
      <c r="K23" s="133"/>
      <c r="L23" s="133"/>
      <c r="M23" s="133"/>
      <c r="N23" s="133"/>
      <c r="O23" s="133"/>
      <c r="V23" s="136"/>
      <c r="AS23" s="95" t="n">
        <f aca="false">SUM(P23:AR23)</f>
        <v>0</v>
      </c>
      <c r="AU23" s="96" t="n">
        <v>1500000</v>
      </c>
      <c r="AW23" s="95" t="n">
        <f aca="false">O23-AS23+AU23</f>
        <v>1500000</v>
      </c>
      <c r="AX23" s="90"/>
      <c r="AY23" s="135" t="n">
        <f aca="false">+AW23+AS23</f>
        <v>1500000</v>
      </c>
      <c r="AZ23" s="90"/>
      <c r="BA23" s="95" t="n">
        <f aca="false">O23-AS23-AW23</f>
        <v>-1500000</v>
      </c>
      <c r="BB23" s="136"/>
      <c r="BC23" s="259"/>
      <c r="BE23" s="16"/>
    </row>
    <row r="24" customFormat="false" ht="12.75" hidden="false" customHeight="false" outlineLevel="0" collapsed="false">
      <c r="A24" s="217"/>
      <c r="B24" s="132" t="s">
        <v>449</v>
      </c>
      <c r="C24" s="218" t="s">
        <v>450</v>
      </c>
      <c r="E24" s="94" t="s">
        <v>169</v>
      </c>
      <c r="G24" s="94" t="s">
        <v>436</v>
      </c>
      <c r="K24" s="133" t="n">
        <f aca="false">4064610+9315020+1500000</f>
        <v>14879630</v>
      </c>
      <c r="L24" s="133"/>
      <c r="M24" s="133" t="n">
        <v>11905766</v>
      </c>
      <c r="N24" s="133"/>
      <c r="O24" s="133" t="n">
        <f aca="false">SUM(K24:N24)</f>
        <v>26785396</v>
      </c>
      <c r="Q24" s="142" t="n">
        <f aca="false">13392698+943800+1126671</f>
        <v>15463169</v>
      </c>
      <c r="S24" s="96" t="n">
        <v>-2065238</v>
      </c>
      <c r="U24" s="96" t="n">
        <f aca="false">9374889+10246.5+123281.75</f>
        <v>9508417.25</v>
      </c>
      <c r="V24" s="136"/>
      <c r="W24" s="139"/>
      <c r="X24" s="136"/>
      <c r="Y24" s="139" t="n">
        <f aca="false">-113215.4+652369.63</f>
        <v>539154.23</v>
      </c>
      <c r="Z24" s="136"/>
      <c r="AA24" s="139" t="n">
        <f aca="false">2700000+60000+442000+2259598</f>
        <v>5461598</v>
      </c>
      <c r="AB24" s="136"/>
      <c r="AC24" s="96" t="n">
        <f aca="false">-396000-1291080+6233.29+50404.95+126037.25+47164.53+13431.12+56577.48+268566.61+77785.14+536002.1+49578.57+14147.3+680938.26+1339270+2678540+14561.54+81471.53+8313.94+35380.36+3470.23</f>
        <v>4400794.2</v>
      </c>
      <c r="AD24" s="136"/>
      <c r="AE24" s="96" t="n">
        <f aca="false">147470+100000+8985+71322.02+215453.92+24949.6-268110.4</f>
        <v>300070.14</v>
      </c>
      <c r="AG24" s="96" t="n">
        <f aca="false">7416.6+2687+9937+24767.55+135431.96+183010.45+78641.11+28671.86+26120.07+62060.03+22604.87</f>
        <v>581348.5</v>
      </c>
      <c r="AI24" s="96" t="n">
        <f aca="false">(56203.06+56203.07)+114627.55+8878.19+147750+200000-16761.95-676010.24+450000+75600+29054+29946+16761.95+102200.73+186783.89+26483.91</f>
        <v>807720.16</v>
      </c>
      <c r="AK24" s="96" t="n">
        <v>295000</v>
      </c>
      <c r="AM24" s="96" t="n">
        <f aca="false">31666+31666+52404.53</f>
        <v>115736.53</v>
      </c>
      <c r="AO24" s="96" t="n">
        <f aca="false">31666+25153</f>
        <v>56819</v>
      </c>
      <c r="AS24" s="95" t="n">
        <f aca="false">SUM(P24:AR24)</f>
        <v>35464589.01</v>
      </c>
      <c r="AW24" s="95" t="n">
        <f aca="false">+'Parts_Refurb $s'!D43-NewAlbany!AS24+7533720+295000</f>
        <v>-172555.529999997</v>
      </c>
      <c r="AX24" s="90"/>
      <c r="AY24" s="135" t="n">
        <f aca="false">+AW24+AS24</f>
        <v>35292033.48</v>
      </c>
      <c r="AZ24" s="90"/>
      <c r="BA24" s="95" t="n">
        <f aca="false">O24-AS24-AW24</f>
        <v>-8506637.48</v>
      </c>
      <c r="BB24" s="136"/>
      <c r="BC24" s="96" t="n">
        <f aca="false">-396000-1291080+126037.25+47164.53+13431.12+56577.48+268566.61+77785.14+536002.1+49578.57+14147.3+680938.26+1339270+2678540+14561.54+81471.53+8313.94+35380.36+3470.23</f>
        <v>4344155.96</v>
      </c>
      <c r="BD24" s="95" t="n">
        <v>-1164043</v>
      </c>
      <c r="BE24" s="16" t="n">
        <f aca="false">+AY24+BD24</f>
        <v>34127990.48</v>
      </c>
    </row>
    <row r="25" customFormat="false" ht="12.75" hidden="false" customHeight="false" outlineLevel="0" collapsed="false">
      <c r="A25" s="217"/>
      <c r="B25" s="132" t="s">
        <v>451</v>
      </c>
      <c r="C25" s="218"/>
      <c r="K25" s="181" t="n">
        <f aca="false">SUBTOTAL(9,K9:K24)</f>
        <v>59964330</v>
      </c>
      <c r="L25" s="95"/>
      <c r="M25" s="181" t="n">
        <f aca="false">SUBTOTAL(9,M9:M24)</f>
        <v>8951133</v>
      </c>
      <c r="N25" s="95"/>
      <c r="O25" s="181" t="n">
        <f aca="false">SUBTOTAL(9,O9:O24)</f>
        <v>68915463</v>
      </c>
      <c r="Q25" s="181" t="n">
        <f aca="false">SUBTOTAL(9,Q9:Q24)</f>
        <v>54816643.59</v>
      </c>
      <c r="S25" s="181" t="n">
        <f aca="false">SUBTOTAL(9,S9:S24)</f>
        <v>-2065236.93</v>
      </c>
      <c r="U25" s="181" t="n">
        <f aca="false">SUBTOTAL(9,U9:U24)</f>
        <v>13627540.54</v>
      </c>
      <c r="V25" s="136"/>
      <c r="W25" s="181" t="n">
        <f aca="false">SUBTOTAL(9,W9:W24)</f>
        <v>-1000500</v>
      </c>
      <c r="Y25" s="181" t="n">
        <f aca="false">SUBTOTAL(9,Y9:Y24)</f>
        <v>1214720.03</v>
      </c>
      <c r="AA25" s="181" t="n">
        <f aca="false">SUBTOTAL(9,AA9:AA24)</f>
        <v>5942931.14</v>
      </c>
      <c r="AC25" s="181" t="n">
        <f aca="false">SUBTOTAL(9,AC9:AC24)</f>
        <v>5639429.78</v>
      </c>
      <c r="AE25" s="181" t="n">
        <f aca="false">SUBTOTAL(9,AE9:AE24)</f>
        <v>518483.32</v>
      </c>
      <c r="AF25" s="95"/>
      <c r="AG25" s="181" t="n">
        <f aca="false">SUBTOTAL(9,AG9:AG24)</f>
        <v>761819.5</v>
      </c>
      <c r="AH25" s="95"/>
      <c r="AI25" s="181" t="n">
        <f aca="false">SUBTOTAL(9,AI9:AI24)</f>
        <v>807720.16</v>
      </c>
      <c r="AJ25" s="95"/>
      <c r="AK25" s="181" t="n">
        <f aca="false">SUBTOTAL(9,AK9:AK24)</f>
        <v>295000</v>
      </c>
      <c r="AL25" s="181"/>
      <c r="AM25" s="181" t="n">
        <f aca="false">SUBTOTAL(9,AM9:AM24)</f>
        <v>115736.53</v>
      </c>
      <c r="AN25" s="95"/>
      <c r="AO25" s="181" t="n">
        <f aca="false">SUBTOTAL(9,AO9:AO24)</f>
        <v>56819</v>
      </c>
      <c r="AP25" s="95"/>
      <c r="AQ25" s="181" t="n">
        <f aca="false">SUBTOTAL(9,AQ9:AQ24)</f>
        <v>0</v>
      </c>
      <c r="AS25" s="181" t="n">
        <f aca="false">SUBTOTAL(9,AS9:AS24)</f>
        <v>80731106.66</v>
      </c>
      <c r="AU25" s="181" t="n">
        <f aca="false">SUBTOTAL(9,AU9:AU24)</f>
        <v>3754002</v>
      </c>
      <c r="AW25" s="181" t="n">
        <f aca="false">SUM(AW9:AW24)</f>
        <v>2023482.07</v>
      </c>
      <c r="AX25" s="90"/>
      <c r="AY25" s="181" t="n">
        <f aca="false">SUM(AY9:AY24)</f>
        <v>82754588.73</v>
      </c>
      <c r="AZ25" s="90"/>
      <c r="BA25" s="181" t="n">
        <f aca="false">SUM(BA9:BA24)</f>
        <v>-13839125.73</v>
      </c>
      <c r="BB25" s="95"/>
      <c r="BC25" s="95"/>
      <c r="BD25" s="95" t="n">
        <f aca="false">SUM(BD9:BD24)</f>
        <v>1757287</v>
      </c>
      <c r="BE25" s="16" t="n">
        <f aca="false">+AY25+BD25</f>
        <v>84511875.73</v>
      </c>
    </row>
    <row r="26" customFormat="false" ht="12.75" hidden="false" customHeight="false" outlineLevel="0" collapsed="false">
      <c r="A26" s="217"/>
      <c r="B26" s="132"/>
      <c r="C26" s="218"/>
      <c r="K26" s="133"/>
      <c r="L26" s="133"/>
      <c r="M26" s="133"/>
      <c r="N26" s="133"/>
      <c r="O26" s="133"/>
      <c r="V26" s="136"/>
      <c r="X26" s="136"/>
      <c r="Z26" s="136"/>
      <c r="AB26" s="136"/>
      <c r="AD26" s="136"/>
      <c r="AX26" s="90"/>
      <c r="AY26" s="96"/>
      <c r="AZ26" s="90"/>
      <c r="BB26" s="136"/>
      <c r="BC26" s="259"/>
    </row>
    <row r="27" customFormat="false" ht="12.75" hidden="false" customHeight="false" outlineLevel="0" collapsed="false">
      <c r="A27" s="217"/>
      <c r="B27" s="132" t="s">
        <v>271</v>
      </c>
      <c r="C27" s="218"/>
      <c r="G27" s="94" t="s">
        <v>436</v>
      </c>
      <c r="K27" s="133" t="n">
        <v>0</v>
      </c>
      <c r="L27" s="133"/>
      <c r="M27" s="133" t="n">
        <v>5365100</v>
      </c>
      <c r="N27" s="133"/>
      <c r="O27" s="133" t="n">
        <f aca="false">SUM(K27:N27)</f>
        <v>5365100</v>
      </c>
      <c r="Q27" s="96" t="n">
        <f aca="false">5000000+359700+5400-167</f>
        <v>5364933</v>
      </c>
      <c r="S27" s="96" t="n">
        <v>2065238.15</v>
      </c>
      <c r="U27" s="96" t="n">
        <f aca="false">3111381.03</f>
        <v>3111381.03</v>
      </c>
      <c r="V27" s="136"/>
      <c r="X27" s="136"/>
      <c r="Y27" s="96" t="n">
        <f aca="false">+'Parts_Refurb $s'!B21+10000</f>
        <v>-5415745.57</v>
      </c>
      <c r="Z27" s="136"/>
      <c r="AA27" s="96" t="n">
        <f aca="false">1054144.25+198000-1013887.05+10000</f>
        <v>248257.2</v>
      </c>
      <c r="AB27" s="136"/>
      <c r="AC27" s="96" t="n">
        <f aca="false">290540+299460+117000+117000+10000+394049.03+20915.68+85985</f>
        <v>1334949.71</v>
      </c>
      <c r="AD27" s="136"/>
      <c r="AE27" s="96" t="n">
        <f aca="false">85985+6018.95</f>
        <v>92003.95</v>
      </c>
      <c r="AG27" s="96" t="n">
        <v>13613.06</v>
      </c>
      <c r="AI27" s="96" t="n">
        <f aca="false">10000+10000</f>
        <v>20000</v>
      </c>
      <c r="AK27" s="96" t="n">
        <f aca="false">1026626+10000</f>
        <v>1036626</v>
      </c>
      <c r="AM27" s="96" t="n">
        <f aca="false">10000+10000</f>
        <v>20000</v>
      </c>
      <c r="AS27" s="95" t="n">
        <f aca="false">SUM(P27:AR27)</f>
        <v>7891256.53</v>
      </c>
      <c r="AW27" s="95" t="n">
        <v>0</v>
      </c>
      <c r="AX27" s="90"/>
      <c r="AY27" s="96" t="n">
        <f aca="false">+AW27+AS27</f>
        <v>7891256.53</v>
      </c>
      <c r="AZ27" s="90"/>
      <c r="BA27" s="95" t="n">
        <f aca="false">O27-AS27-AW27</f>
        <v>-2526156.53</v>
      </c>
      <c r="BB27" s="136"/>
      <c r="BC27" s="259"/>
      <c r="BD27" s="95" t="n">
        <v>-5488215</v>
      </c>
      <c r="BE27" s="16" t="n">
        <f aca="false">+AY27+BD27</f>
        <v>2403041.53</v>
      </c>
    </row>
    <row r="28" customFormat="false" ht="14.25" hidden="false" customHeight="true" outlineLevel="0" collapsed="false">
      <c r="A28" s="225"/>
      <c r="B28" s="132" t="s">
        <v>452</v>
      </c>
      <c r="C28" s="218" t="s">
        <v>453</v>
      </c>
      <c r="G28" s="94" t="s">
        <v>170</v>
      </c>
      <c r="K28" s="136" t="n">
        <v>0</v>
      </c>
      <c r="M28" s="136" t="n">
        <v>0</v>
      </c>
      <c r="O28" s="136" t="n">
        <f aca="false">SUM(K28:N28)</f>
        <v>0</v>
      </c>
      <c r="Q28" s="96" t="n">
        <v>0</v>
      </c>
      <c r="S28" s="96" t="n">
        <v>0</v>
      </c>
      <c r="V28" s="136"/>
      <c r="X28" s="136"/>
      <c r="Z28" s="136"/>
      <c r="AB28" s="136"/>
      <c r="AD28" s="136"/>
      <c r="AS28" s="95" t="n">
        <f aca="false">SUM(P28:AR28)</f>
        <v>0</v>
      </c>
      <c r="AW28" s="95" t="n">
        <f aca="false">IF(+O28-AS28+AU28&gt;0,O28-AS28+AU28,0)</f>
        <v>0</v>
      </c>
      <c r="AX28" s="90"/>
      <c r="AY28" s="95" t="n">
        <f aca="false">+AW28+AS28</f>
        <v>0</v>
      </c>
      <c r="AZ28" s="90"/>
      <c r="BA28" s="95" t="n">
        <f aca="false">O28-AS28-AW28</f>
        <v>0</v>
      </c>
      <c r="BB28" s="136"/>
      <c r="BC28" s="259"/>
    </row>
    <row r="29" customFormat="false" ht="14.25" hidden="false" customHeight="true" outlineLevel="0" collapsed="false">
      <c r="A29" s="225"/>
      <c r="B29" s="132"/>
      <c r="C29" s="218"/>
      <c r="K29" s="136"/>
      <c r="M29" s="136"/>
      <c r="O29" s="136"/>
      <c r="V29" s="136"/>
      <c r="X29" s="136"/>
      <c r="Z29" s="136"/>
      <c r="AB29" s="136"/>
      <c r="AD29" s="136"/>
      <c r="AX29" s="90"/>
      <c r="AZ29" s="90"/>
      <c r="BB29" s="136"/>
      <c r="BC29" s="259"/>
    </row>
    <row r="30" customFormat="false" ht="12.75" hidden="false" customHeight="false" outlineLevel="0" collapsed="false">
      <c r="A30" s="225"/>
      <c r="B30" s="132" t="s">
        <v>183</v>
      </c>
      <c r="C30" s="218" t="s">
        <v>184</v>
      </c>
      <c r="E30" s="94" t="s">
        <v>173</v>
      </c>
      <c r="G30" s="94" t="s">
        <v>170</v>
      </c>
      <c r="I30" s="94" t="s">
        <v>366</v>
      </c>
      <c r="K30" s="133" t="n">
        <v>6150000</v>
      </c>
      <c r="M30" s="133" t="n">
        <v>0</v>
      </c>
      <c r="O30" s="133" t="n">
        <f aca="false">SUM(K30:N30)</f>
        <v>6150000</v>
      </c>
      <c r="Q30" s="96" t="n">
        <f aca="false">220127+238258.67+922500</f>
        <v>1380885.67</v>
      </c>
      <c r="V30" s="136"/>
      <c r="X30" s="136"/>
      <c r="Y30" s="142" t="n">
        <f aca="false">615000+615000</f>
        <v>1230000</v>
      </c>
      <c r="Z30" s="136"/>
      <c r="AA30" s="142" t="n">
        <v>615000</v>
      </c>
      <c r="AB30" s="136"/>
      <c r="AC30" s="96" t="n">
        <f aca="false">410000+205000+1230000+615000</f>
        <v>2460000</v>
      </c>
      <c r="AD30" s="136"/>
      <c r="AE30" s="96" t="n">
        <f aca="false">238258.65+615000</f>
        <v>853258.65</v>
      </c>
      <c r="AI30" s="96" t="n">
        <v>0</v>
      </c>
      <c r="AK30" s="96" t="n">
        <f aca="false">-150886-238258.65+24844+9511.28+18096</f>
        <v>-336693.37</v>
      </c>
      <c r="AS30" s="95" t="n">
        <f aca="false">SUM(P30:AR30)</f>
        <v>6202450.95</v>
      </c>
      <c r="AW30" s="95" t="n">
        <v>0</v>
      </c>
      <c r="AX30" s="90"/>
      <c r="AY30" s="135" t="n">
        <f aca="false">+AW30+AS30</f>
        <v>6202450.95</v>
      </c>
      <c r="AZ30" s="90"/>
      <c r="BA30" s="95" t="n">
        <f aca="false">O30-AS30-AW30</f>
        <v>-52450.9500000002</v>
      </c>
      <c r="BB30" s="136"/>
      <c r="BC30" s="95"/>
      <c r="BE30" s="16" t="n">
        <f aca="false">+AY30+BD30</f>
        <v>6202450.95</v>
      </c>
    </row>
    <row r="31" customFormat="false" ht="12.75" hidden="false" customHeight="false" outlineLevel="0" collapsed="false">
      <c r="A31" s="225"/>
      <c r="B31" s="132" t="s">
        <v>185</v>
      </c>
      <c r="C31" s="218" t="s">
        <v>184</v>
      </c>
      <c r="E31" s="94" t="s">
        <v>173</v>
      </c>
      <c r="G31" s="94" t="s">
        <v>170</v>
      </c>
      <c r="I31" s="94" t="s">
        <v>366</v>
      </c>
      <c r="K31" s="133" t="n">
        <v>162480</v>
      </c>
      <c r="M31" s="133" t="n">
        <f aca="false">165430-162480</f>
        <v>2950</v>
      </c>
      <c r="O31" s="133" t="n">
        <f aca="false">SUM(K31:N31)</f>
        <v>165430</v>
      </c>
      <c r="Q31" s="96" t="n">
        <v>24814.5</v>
      </c>
      <c r="V31" s="136"/>
      <c r="AA31" s="142" t="n">
        <v>115801</v>
      </c>
      <c r="AK31" s="96" t="n">
        <f aca="false">16543+8271.5</f>
        <v>24814.5</v>
      </c>
      <c r="AS31" s="95" t="n">
        <f aca="false">SUM(P31:AR31)</f>
        <v>165430</v>
      </c>
      <c r="AW31" s="95" t="n">
        <f aca="false">165430-AS31</f>
        <v>0</v>
      </c>
      <c r="AX31" s="90"/>
      <c r="AY31" s="95" t="n">
        <f aca="false">+AW31+AS31</f>
        <v>165430</v>
      </c>
      <c r="AZ31" s="90"/>
      <c r="BA31" s="95" t="n">
        <f aca="false">O31-AS31-AW31</f>
        <v>0</v>
      </c>
      <c r="BB31" s="136"/>
      <c r="BC31" s="95"/>
      <c r="BE31" s="16" t="n">
        <f aca="false">+AY31+BD31</f>
        <v>165430</v>
      </c>
    </row>
    <row r="32" customFormat="false" ht="12.75" hidden="false" customHeight="false" outlineLevel="0" collapsed="false">
      <c r="A32" s="225"/>
      <c r="B32" s="132" t="s">
        <v>186</v>
      </c>
      <c r="C32" s="218" t="s">
        <v>184</v>
      </c>
      <c r="E32" s="94" t="s">
        <v>173</v>
      </c>
      <c r="G32" s="94" t="s">
        <v>170</v>
      </c>
      <c r="I32" s="94" t="s">
        <v>366</v>
      </c>
      <c r="K32" s="133" t="n">
        <v>59780</v>
      </c>
      <c r="M32" s="133" t="n">
        <f aca="false">75356-59780</f>
        <v>15576</v>
      </c>
      <c r="O32" s="133" t="n">
        <f aca="false">SUM(K32:N32)</f>
        <v>75356</v>
      </c>
      <c r="Q32" s="96" t="n">
        <v>11303.4</v>
      </c>
      <c r="V32" s="136"/>
      <c r="AA32" s="142" t="n">
        <v>52749.2</v>
      </c>
      <c r="AK32" s="96" t="n">
        <f aca="false">7535.6+3767.8</f>
        <v>11303.4</v>
      </c>
      <c r="AS32" s="95" t="n">
        <f aca="false">SUM(P32:AR32)</f>
        <v>75356</v>
      </c>
      <c r="AW32" s="95" t="n">
        <f aca="false">75356-AS32</f>
        <v>0</v>
      </c>
      <c r="AX32" s="90"/>
      <c r="AY32" s="95" t="n">
        <f aca="false">+AW32+AS32</f>
        <v>75356</v>
      </c>
      <c r="AZ32" s="90"/>
      <c r="BA32" s="95" t="n">
        <f aca="false">O32-AS32-AW32</f>
        <v>0</v>
      </c>
      <c r="BB32" s="136"/>
      <c r="BC32" s="95"/>
      <c r="BE32" s="16" t="n">
        <f aca="false">+AY32+BD32</f>
        <v>75356</v>
      </c>
    </row>
    <row r="33" customFormat="false" ht="12.75" hidden="false" customHeight="false" outlineLevel="0" collapsed="false">
      <c r="A33" s="225"/>
      <c r="B33" s="132" t="s">
        <v>187</v>
      </c>
      <c r="C33" s="218" t="s">
        <v>184</v>
      </c>
      <c r="E33" s="94" t="s">
        <v>173</v>
      </c>
      <c r="G33" s="94" t="s">
        <v>170</v>
      </c>
      <c r="I33" s="94" t="s">
        <v>366</v>
      </c>
      <c r="K33" s="133" t="n">
        <v>4160160</v>
      </c>
      <c r="M33" s="133" t="n">
        <v>0</v>
      </c>
      <c r="O33" s="133" t="n">
        <f aca="false">SUM(K33:N33)</f>
        <v>4160160</v>
      </c>
      <c r="Q33" s="96" t="n">
        <f aca="false">377761.5+246263</f>
        <v>624024.5</v>
      </c>
      <c r="U33" s="142" t="n">
        <f aca="false">492525+492525</f>
        <v>985050</v>
      </c>
      <c r="V33" s="136"/>
      <c r="W33" s="142" t="n">
        <f aca="false">293814.5</f>
        <v>293814.5</v>
      </c>
      <c r="Y33" s="142" t="n">
        <f aca="false">293814.5+293814.5</f>
        <v>587629</v>
      </c>
      <c r="AC33" s="96" t="n">
        <f aca="false">82087.5+293814.5+293814.5+293814.5</f>
        <v>963531</v>
      </c>
      <c r="AI33" s="96" t="n">
        <v>0</v>
      </c>
      <c r="AK33" s="96" t="n">
        <f aca="false">251841+164175+125920.5+82087.5+17178.46+82087.5</f>
        <v>723289.96</v>
      </c>
      <c r="AS33" s="95" t="n">
        <f aca="false">SUM(P33:AR33)</f>
        <v>4177338.96</v>
      </c>
      <c r="AU33" s="96" t="n">
        <v>0</v>
      </c>
      <c r="AW33" s="95" t="n">
        <v>0</v>
      </c>
      <c r="AX33" s="90"/>
      <c r="AY33" s="95" t="n">
        <f aca="false">+AW33+AS33</f>
        <v>4177338.96</v>
      </c>
      <c r="AZ33" s="90"/>
      <c r="BA33" s="95" t="n">
        <f aca="false">O33-AS33-AW33</f>
        <v>-17178.96</v>
      </c>
      <c r="BB33" s="136"/>
      <c r="BC33" s="95"/>
      <c r="BE33" s="16" t="n">
        <f aca="false">+AY33+BD33</f>
        <v>4177338.96</v>
      </c>
    </row>
    <row r="34" customFormat="false" ht="12.75" hidden="false" customHeight="false" outlineLevel="0" collapsed="false">
      <c r="A34" s="225"/>
      <c r="B34" s="132" t="s">
        <v>383</v>
      </c>
      <c r="C34" s="218"/>
      <c r="K34" s="133"/>
      <c r="M34" s="133"/>
      <c r="O34" s="133" t="n">
        <f aca="false">SUM(K34:N34)</f>
        <v>0</v>
      </c>
      <c r="U34" s="142"/>
      <c r="V34" s="136"/>
      <c r="W34" s="142"/>
      <c r="Y34" s="142"/>
      <c r="AS34" s="95" t="n">
        <f aca="false">SUM(P34:AR34)</f>
        <v>0</v>
      </c>
      <c r="AU34" s="96" t="n">
        <v>0</v>
      </c>
      <c r="AW34" s="95" t="n">
        <f aca="false">IF(+O34-AS34+AU34&gt;0,O34-AS34+AU34,0)</f>
        <v>0</v>
      </c>
      <c r="AX34" s="90"/>
      <c r="AY34" s="95" t="n">
        <f aca="false">+AW34+AS34</f>
        <v>0</v>
      </c>
      <c r="AZ34" s="90"/>
      <c r="BA34" s="95" t="n">
        <f aca="false">O34-AS34-AW34</f>
        <v>0</v>
      </c>
      <c r="BB34" s="136"/>
      <c r="BC34" s="95"/>
      <c r="BE34" s="16"/>
    </row>
    <row r="35" customFormat="false" ht="12.75" hidden="false" customHeight="false" outlineLevel="0" collapsed="false">
      <c r="A35" s="225"/>
      <c r="B35" s="132" t="s">
        <v>454</v>
      </c>
      <c r="C35" s="218"/>
      <c r="K35" s="133"/>
      <c r="M35" s="133"/>
      <c r="O35" s="133" t="n">
        <f aca="false">SUM(K35:N35)</f>
        <v>0</v>
      </c>
      <c r="U35" s="142"/>
      <c r="V35" s="136"/>
      <c r="W35" s="142"/>
      <c r="Y35" s="142"/>
      <c r="AG35" s="96" t="n">
        <v>300000</v>
      </c>
      <c r="AK35" s="96" t="n">
        <v>301800</v>
      </c>
      <c r="AS35" s="95" t="n">
        <f aca="false">SUM(P35:AR35)</f>
        <v>601800</v>
      </c>
      <c r="AU35" s="96" t="n">
        <v>0</v>
      </c>
      <c r="AW35" s="95" t="n">
        <f aca="false">601800-AS35</f>
        <v>0</v>
      </c>
      <c r="AX35" s="90"/>
      <c r="AY35" s="95" t="n">
        <f aca="false">+AW35+AS35</f>
        <v>601800</v>
      </c>
      <c r="AZ35" s="90"/>
      <c r="BA35" s="95" t="n">
        <f aca="false">O35-AS35-AW35</f>
        <v>-601800</v>
      </c>
      <c r="BB35" s="136"/>
      <c r="BC35" s="95"/>
      <c r="BE35" s="16"/>
    </row>
    <row r="36" customFormat="false" ht="12.75" hidden="false" customHeight="false" outlineLevel="0" collapsed="false">
      <c r="A36" s="225"/>
      <c r="B36" s="132" t="s">
        <v>190</v>
      </c>
      <c r="C36" s="218" t="s">
        <v>184</v>
      </c>
      <c r="E36" s="94" t="s">
        <v>173</v>
      </c>
      <c r="G36" s="94" t="s">
        <v>170</v>
      </c>
      <c r="I36" s="94" t="s">
        <v>174</v>
      </c>
      <c r="K36" s="133" t="n">
        <v>15000</v>
      </c>
      <c r="M36" s="133" t="n">
        <v>10000</v>
      </c>
      <c r="O36" s="133" t="n">
        <f aca="false">SUM(K36:N36)</f>
        <v>25000</v>
      </c>
      <c r="Q36" s="96" t="n">
        <v>0</v>
      </c>
      <c r="S36" s="96" t="n">
        <v>0</v>
      </c>
      <c r="V36" s="136"/>
      <c r="AS36" s="95" t="n">
        <f aca="false">SUM(P36:AR36)</f>
        <v>0</v>
      </c>
      <c r="AW36" s="95" t="n">
        <v>0</v>
      </c>
      <c r="AX36" s="90"/>
      <c r="AY36" s="95" t="n">
        <f aca="false">+AW36+AS36</f>
        <v>0</v>
      </c>
      <c r="AZ36" s="90"/>
      <c r="BA36" s="95" t="n">
        <f aca="false">O36-AS36-AW36</f>
        <v>25000</v>
      </c>
      <c r="BB36" s="136"/>
      <c r="BC36" s="95"/>
      <c r="BE36" s="16" t="n">
        <f aca="false">+AY36+BD36</f>
        <v>0</v>
      </c>
    </row>
    <row r="37" customFormat="false" ht="12.75" hidden="false" customHeight="false" outlineLevel="0" collapsed="false">
      <c r="A37" s="225"/>
      <c r="B37" s="132" t="s">
        <v>191</v>
      </c>
      <c r="C37" s="218" t="s">
        <v>184</v>
      </c>
      <c r="E37" s="94" t="s">
        <v>173</v>
      </c>
      <c r="G37" s="94" t="s">
        <v>170</v>
      </c>
      <c r="I37" s="94" t="s">
        <v>366</v>
      </c>
      <c r="K37" s="133" t="n">
        <v>146850</v>
      </c>
      <c r="M37" s="133" t="n">
        <v>0</v>
      </c>
      <c r="O37" s="133" t="n">
        <f aca="false">SUM(K37:N37)</f>
        <v>146850</v>
      </c>
      <c r="Q37" s="96" t="n">
        <v>0</v>
      </c>
      <c r="S37" s="96" t="n">
        <v>0</v>
      </c>
      <c r="V37" s="136"/>
      <c r="AS37" s="95" t="n">
        <f aca="false">SUM(P37:AR37)</f>
        <v>0</v>
      </c>
      <c r="AW37" s="95" t="n">
        <v>0</v>
      </c>
      <c r="AX37" s="90"/>
      <c r="AY37" s="95" t="n">
        <f aca="false">+AW37+AS37</f>
        <v>0</v>
      </c>
      <c r="AZ37" s="90"/>
      <c r="BA37" s="95" t="n">
        <f aca="false">O37-AS37-AW37</f>
        <v>146850</v>
      </c>
      <c r="BB37" s="136"/>
      <c r="BC37" s="95"/>
      <c r="BE37" s="16" t="n">
        <f aca="false">+AY37+BD37</f>
        <v>0</v>
      </c>
    </row>
    <row r="38" customFormat="false" ht="12.75" hidden="false" customHeight="false" outlineLevel="0" collapsed="false">
      <c r="A38" s="260"/>
      <c r="B38" s="132" t="s">
        <v>192</v>
      </c>
      <c r="C38" s="221" t="s">
        <v>184</v>
      </c>
      <c r="E38" s="94" t="s">
        <v>173</v>
      </c>
      <c r="G38" s="94" t="s">
        <v>170</v>
      </c>
      <c r="I38" s="94" t="s">
        <v>366</v>
      </c>
      <c r="K38" s="133" t="n">
        <v>154950</v>
      </c>
      <c r="M38" s="133" t="n">
        <v>0</v>
      </c>
      <c r="O38" s="133" t="n">
        <f aca="false">SUM(K38:N38)</f>
        <v>154950</v>
      </c>
      <c r="Q38" s="96" t="n">
        <v>0</v>
      </c>
      <c r="S38" s="96" t="n">
        <v>0</v>
      </c>
      <c r="V38" s="136"/>
      <c r="AC38" s="96" t="n">
        <v>0</v>
      </c>
      <c r="AS38" s="95" t="n">
        <f aca="false">SUM(P38:AR38)</f>
        <v>0</v>
      </c>
      <c r="AW38" s="95" t="n">
        <v>0</v>
      </c>
      <c r="AX38" s="90"/>
      <c r="AY38" s="95" t="n">
        <f aca="false">+AW38+AS38</f>
        <v>0</v>
      </c>
      <c r="AZ38" s="90"/>
      <c r="BA38" s="95" t="n">
        <f aca="false">O38-AS38-AW38</f>
        <v>154950</v>
      </c>
      <c r="BB38" s="136"/>
      <c r="BC38" s="95"/>
      <c r="BE38" s="16" t="n">
        <f aca="false">+AY38+BD38</f>
        <v>0</v>
      </c>
    </row>
    <row r="39" customFormat="false" ht="12.75" hidden="false" customHeight="false" outlineLevel="0" collapsed="false">
      <c r="A39" s="260"/>
      <c r="B39" s="132" t="s">
        <v>193</v>
      </c>
      <c r="C39" s="221" t="s">
        <v>184</v>
      </c>
      <c r="E39" s="94" t="s">
        <v>173</v>
      </c>
      <c r="G39" s="94" t="s">
        <v>170</v>
      </c>
      <c r="I39" s="94" t="s">
        <v>174</v>
      </c>
      <c r="K39" s="133" t="n">
        <v>10000</v>
      </c>
      <c r="M39" s="133" t="n">
        <v>0</v>
      </c>
      <c r="O39" s="133" t="n">
        <f aca="false">SUM(K39:N39)</f>
        <v>10000</v>
      </c>
      <c r="Q39" s="96" t="n">
        <v>0</v>
      </c>
      <c r="S39" s="96" t="n">
        <v>0</v>
      </c>
      <c r="V39" s="136"/>
      <c r="AS39" s="95" t="n">
        <f aca="false">SUM(P39:AR39)</f>
        <v>0</v>
      </c>
      <c r="AW39" s="95" t="n">
        <v>0</v>
      </c>
      <c r="AX39" s="90"/>
      <c r="AY39" s="95" t="n">
        <f aca="false">+AW39+AS39</f>
        <v>0</v>
      </c>
      <c r="AZ39" s="90"/>
      <c r="BA39" s="95" t="n">
        <f aca="false">O39-AS39-AW39</f>
        <v>10000</v>
      </c>
      <c r="BB39" s="136"/>
      <c r="BC39" s="95"/>
      <c r="BE39" s="16" t="n">
        <f aca="false">+AY39+BD39</f>
        <v>0</v>
      </c>
    </row>
    <row r="40" customFormat="false" ht="12.75" hidden="false" customHeight="false" outlineLevel="0" collapsed="false">
      <c r="A40" s="225"/>
      <c r="B40" s="132" t="s">
        <v>194</v>
      </c>
      <c r="C40" s="218" t="s">
        <v>184</v>
      </c>
      <c r="E40" s="94" t="s">
        <v>173</v>
      </c>
      <c r="G40" s="94" t="s">
        <v>170</v>
      </c>
      <c r="I40" s="94" t="s">
        <v>174</v>
      </c>
      <c r="K40" s="138" t="n">
        <v>10000</v>
      </c>
      <c r="M40" s="138" t="n">
        <v>-10000</v>
      </c>
      <c r="O40" s="138" t="n">
        <f aca="false">SUM(K40:N40)</f>
        <v>0</v>
      </c>
      <c r="Q40" s="139" t="n">
        <v>0</v>
      </c>
      <c r="S40" s="139" t="n">
        <v>0</v>
      </c>
      <c r="U40" s="139"/>
      <c r="V40" s="136"/>
      <c r="W40" s="139"/>
      <c r="Y40" s="139"/>
      <c r="AA40" s="139"/>
      <c r="AC40" s="139" t="n">
        <f aca="false">54600+53300</f>
        <v>107900</v>
      </c>
      <c r="AE40" s="139"/>
      <c r="AG40" s="139"/>
      <c r="AI40" s="139" t="n">
        <v>6600</v>
      </c>
      <c r="AK40" s="139"/>
      <c r="AL40" s="139"/>
      <c r="AM40" s="139"/>
      <c r="AO40" s="139"/>
      <c r="AQ40" s="139"/>
      <c r="AS40" s="140" t="n">
        <f aca="false">SUM(P40:AR40)</f>
        <v>114500</v>
      </c>
      <c r="AU40" s="139"/>
      <c r="AW40" s="140" t="n">
        <v>0</v>
      </c>
      <c r="AX40" s="90"/>
      <c r="AY40" s="141" t="n">
        <f aca="false">+AW40+AS40</f>
        <v>114500</v>
      </c>
      <c r="AZ40" s="90"/>
      <c r="BA40" s="140" t="n">
        <f aca="false">O40-AS40-AW40</f>
        <v>-114500</v>
      </c>
      <c r="BB40" s="136"/>
      <c r="BC40" s="95"/>
      <c r="BE40" s="16" t="n">
        <f aca="false">+AY40+BD40</f>
        <v>114500</v>
      </c>
    </row>
    <row r="41" customFormat="false" ht="12.75" hidden="false" customHeight="false" outlineLevel="0" collapsed="false">
      <c r="A41" s="225"/>
      <c r="B41" s="132" t="s">
        <v>455</v>
      </c>
      <c r="C41" s="218"/>
      <c r="K41" s="133" t="n">
        <f aca="false">SUM(K27:K40)</f>
        <v>10869220</v>
      </c>
      <c r="M41" s="133" t="n">
        <f aca="false">SUM(M27:M40)</f>
        <v>5383626</v>
      </c>
      <c r="O41" s="133" t="n">
        <f aca="false">SUBTOTAL(9,O30:O40)</f>
        <v>10887746</v>
      </c>
      <c r="Q41" s="133" t="n">
        <f aca="false">SUBTOTAL(9,Q30:Q40)</f>
        <v>2041028.07</v>
      </c>
      <c r="S41" s="133" t="n">
        <f aca="false">SUBTOTAL(9,S30:S40)</f>
        <v>0</v>
      </c>
      <c r="U41" s="133" t="n">
        <f aca="false">SUBTOTAL(9,U30:U40)</f>
        <v>985050</v>
      </c>
      <c r="V41" s="136"/>
      <c r="W41" s="133" t="n">
        <f aca="false">SUBTOTAL(9,W30:W40)</f>
        <v>293814.5</v>
      </c>
      <c r="Y41" s="133" t="n">
        <f aca="false">SUBTOTAL(9,Y30:Y40)</f>
        <v>1817629</v>
      </c>
      <c r="AA41" s="133" t="n">
        <f aca="false">SUBTOTAL(9,AA30:AA40)</f>
        <v>783550.2</v>
      </c>
      <c r="AC41" s="133" t="n">
        <f aca="false">SUBTOTAL(9,AC30:AC40)</f>
        <v>3531431</v>
      </c>
      <c r="AE41" s="133" t="n">
        <f aca="false">SUBTOTAL(9,AE30:AE40)</f>
        <v>853258.65</v>
      </c>
      <c r="AF41" s="133"/>
      <c r="AG41" s="133" t="n">
        <f aca="false">SUBTOTAL(9,AG30:AG40)</f>
        <v>300000</v>
      </c>
      <c r="AH41" s="133"/>
      <c r="AI41" s="133" t="n">
        <f aca="false">SUBTOTAL(9,AI30:AI40)</f>
        <v>6600</v>
      </c>
      <c r="AJ41" s="133"/>
      <c r="AK41" s="133" t="n">
        <f aca="false">SUBTOTAL(9,AK30:AK40)</f>
        <v>724514.49</v>
      </c>
      <c r="AL41" s="133"/>
      <c r="AM41" s="133" t="n">
        <f aca="false">SUBTOTAL(9,AM30:AM40)</f>
        <v>0</v>
      </c>
      <c r="AN41" s="133"/>
      <c r="AO41" s="133" t="n">
        <f aca="false">SUBTOTAL(9,AO30:AO40)</f>
        <v>0</v>
      </c>
      <c r="AP41" s="133"/>
      <c r="AQ41" s="133" t="n">
        <f aca="false">SUBTOTAL(9,AQ30:AQ40)</f>
        <v>0</v>
      </c>
      <c r="AS41" s="133" t="n">
        <f aca="false">SUBTOTAL(9,AS30:AS40)</f>
        <v>11336875.91</v>
      </c>
      <c r="AU41" s="133" t="n">
        <f aca="false">SUM(AU27:AU40)</f>
        <v>0</v>
      </c>
      <c r="AW41" s="133" t="n">
        <f aca="false">SUM(AW30:AW40)</f>
        <v>0</v>
      </c>
      <c r="AX41" s="90"/>
      <c r="AY41" s="133" t="n">
        <f aca="false">SUM(AY30:AY40)</f>
        <v>11336875.91</v>
      </c>
      <c r="AZ41" s="90"/>
      <c r="BA41" s="133" t="n">
        <f aca="false">SUM(BA30:BA40)</f>
        <v>-449129.91</v>
      </c>
      <c r="BB41" s="136"/>
      <c r="BC41" s="95"/>
      <c r="BE41" s="16"/>
    </row>
    <row r="42" customFormat="false" ht="12.75" hidden="false" customHeight="false" outlineLevel="0" collapsed="false">
      <c r="A42" s="225"/>
      <c r="B42" s="132"/>
      <c r="C42" s="218"/>
      <c r="K42" s="138"/>
      <c r="M42" s="138"/>
      <c r="O42" s="138"/>
      <c r="Q42" s="138"/>
      <c r="S42" s="138"/>
      <c r="U42" s="138"/>
      <c r="V42" s="136"/>
      <c r="W42" s="138"/>
      <c r="Y42" s="138"/>
      <c r="AA42" s="138"/>
      <c r="AC42" s="138"/>
      <c r="AE42" s="138"/>
      <c r="AF42" s="133"/>
      <c r="AG42" s="138"/>
      <c r="AH42" s="133"/>
      <c r="AI42" s="138"/>
      <c r="AJ42" s="133"/>
      <c r="AK42" s="138"/>
      <c r="AL42" s="138"/>
      <c r="AM42" s="138"/>
      <c r="AN42" s="133"/>
      <c r="AO42" s="138"/>
      <c r="AP42" s="133"/>
      <c r="AQ42" s="138"/>
      <c r="AS42" s="138"/>
      <c r="AU42" s="138"/>
      <c r="AW42" s="138"/>
      <c r="AX42" s="90"/>
      <c r="AY42" s="138"/>
      <c r="AZ42" s="90"/>
      <c r="BA42" s="138"/>
      <c r="BB42" s="136"/>
      <c r="BC42" s="95"/>
      <c r="BE42" s="16"/>
    </row>
    <row r="43" customFormat="false" ht="12.75" hidden="false" customHeight="false" outlineLevel="0" collapsed="false">
      <c r="A43" s="224"/>
      <c r="B43" s="132" t="s">
        <v>196</v>
      </c>
      <c r="C43" s="218"/>
      <c r="K43" s="24" t="n">
        <f aca="false">K25+K27+K28+K41</f>
        <v>70833550</v>
      </c>
      <c r="M43" s="24" t="n">
        <f aca="false">M25+M27+M28+M41</f>
        <v>19699859</v>
      </c>
      <c r="O43" s="24" t="n">
        <f aca="false">O25+O27+O28+O41</f>
        <v>85168309</v>
      </c>
      <c r="Q43" s="24" t="n">
        <f aca="false">Q25+Q27+Q28+Q41</f>
        <v>62222604.66</v>
      </c>
      <c r="R43" s="244"/>
      <c r="S43" s="24" t="n">
        <f aca="false">S25+S27+S28+S41</f>
        <v>1.21999999973923</v>
      </c>
      <c r="T43" s="244"/>
      <c r="U43" s="24" t="n">
        <f aca="false">U25+U27+U28+U41</f>
        <v>17723971.57</v>
      </c>
      <c r="V43" s="136"/>
      <c r="W43" s="24" t="n">
        <f aca="false">W25+W27+W28+W41</f>
        <v>-706685.5</v>
      </c>
      <c r="X43" s="24"/>
      <c r="Y43" s="24" t="n">
        <f aca="false">Y25+Y27+Y28+Y41</f>
        <v>-2383396.54</v>
      </c>
      <c r="Z43" s="24"/>
      <c r="AA43" s="24" t="n">
        <f aca="false">AA25+AA27+AA28+AA41</f>
        <v>6974738.54</v>
      </c>
      <c r="AB43" s="24"/>
      <c r="AC43" s="24" t="n">
        <f aca="false">AC25+AC27+AC28+AC41</f>
        <v>10505810.49</v>
      </c>
      <c r="AD43" s="24"/>
      <c r="AE43" s="24" t="n">
        <f aca="false">AE25+AE27+AE28+AE41</f>
        <v>1463745.92</v>
      </c>
      <c r="AF43" s="24"/>
      <c r="AG43" s="24" t="n">
        <f aca="false">AG25+AG27+AG28+AG41</f>
        <v>1075432.56</v>
      </c>
      <c r="AH43" s="24"/>
      <c r="AI43" s="24" t="n">
        <f aca="false">AI25+AI27+AI28+AI41</f>
        <v>834320.16</v>
      </c>
      <c r="AJ43" s="24"/>
      <c r="AK43" s="24" t="n">
        <f aca="false">AK25+AK27+AK28+AK41</f>
        <v>2056140.49</v>
      </c>
      <c r="AL43" s="24"/>
      <c r="AM43" s="24" t="n">
        <f aca="false">AM25+AM27+AM28+AM41</f>
        <v>135736.53</v>
      </c>
      <c r="AN43" s="24"/>
      <c r="AO43" s="24" t="n">
        <f aca="false">AO25+AO27+AO28+AO41</f>
        <v>56819</v>
      </c>
      <c r="AP43" s="24"/>
      <c r="AQ43" s="24" t="n">
        <f aca="false">AQ25+AQ27+AQ28+AQ41</f>
        <v>0</v>
      </c>
      <c r="AS43" s="24" t="n">
        <f aca="false">AS25+AS27+AS28+AS41</f>
        <v>99959239.1</v>
      </c>
      <c r="AU43" s="24" t="n">
        <f aca="false">+AU41+AU25</f>
        <v>3754002</v>
      </c>
      <c r="AW43" s="24" t="n">
        <f aca="false">AW25+AW27+AW28+AW41</f>
        <v>2023482.07</v>
      </c>
      <c r="AX43" s="90"/>
      <c r="AY43" s="24" t="n">
        <f aca="false">AY25+AY27+AY28+AY41</f>
        <v>101982721.17</v>
      </c>
      <c r="AZ43" s="90"/>
      <c r="BA43" s="24" t="n">
        <f aca="false">BA25+BA27+BA28+BA41</f>
        <v>-16814412.17</v>
      </c>
      <c r="BB43" s="136"/>
      <c r="BC43" s="24"/>
      <c r="BD43" s="95" t="n">
        <f aca="false">SUM(BD25:BD40)</f>
        <v>-3730928</v>
      </c>
      <c r="BE43" s="16" t="n">
        <f aca="false">+AY43+BD43</f>
        <v>98251793.17</v>
      </c>
    </row>
    <row r="44" customFormat="false" ht="12.75" hidden="false" customHeight="false" outlineLevel="0" collapsed="false">
      <c r="A44" s="225"/>
      <c r="B44" s="261"/>
      <c r="C44" s="218"/>
      <c r="V44" s="136"/>
      <c r="AX44" s="90"/>
      <c r="AZ44" s="90"/>
      <c r="BB44" s="95"/>
      <c r="BC44" s="95"/>
    </row>
    <row r="45" customFormat="false" ht="12.75" hidden="false" customHeight="false" outlineLevel="0" collapsed="false">
      <c r="A45" s="152" t="s">
        <v>197</v>
      </c>
      <c r="B45" s="219"/>
      <c r="C45" s="218"/>
      <c r="V45" s="136"/>
      <c r="AX45" s="90"/>
      <c r="AZ45" s="90"/>
      <c r="BB45" s="95"/>
      <c r="BC45" s="95"/>
    </row>
    <row r="46" customFormat="false" ht="12.75" hidden="false" customHeight="false" outlineLevel="0" collapsed="false">
      <c r="A46" s="145"/>
      <c r="B46" s="132" t="s">
        <v>198</v>
      </c>
      <c r="C46" s="218" t="s">
        <v>199</v>
      </c>
      <c r="E46" s="94" t="s">
        <v>173</v>
      </c>
      <c r="G46" s="94" t="s">
        <v>170</v>
      </c>
      <c r="I46" s="94" t="s">
        <v>174</v>
      </c>
      <c r="K46" s="95" t="n">
        <v>251225</v>
      </c>
      <c r="M46" s="95" t="n">
        <f aca="false">397500-251225</f>
        <v>146275</v>
      </c>
      <c r="O46" s="95" t="n">
        <f aca="false">SUM(K46:N46)</f>
        <v>397500</v>
      </c>
      <c r="S46" s="96" t="n">
        <f aca="false">9814.21+29565.13</f>
        <v>39379.34</v>
      </c>
      <c r="U46" s="96" t="n">
        <v>31484.89</v>
      </c>
      <c r="V46" s="136"/>
      <c r="AA46" s="96" t="n">
        <f aca="false">8446+7462</f>
        <v>15908</v>
      </c>
      <c r="AE46" s="96" t="n">
        <f aca="false">47333.27+67041.23+53481.29+19477.97+33866.18+38218.02+71208.95-4304.31-1664.69</f>
        <v>324657.91</v>
      </c>
      <c r="AG46" s="96" t="n">
        <f aca="false">84659.24+52858.29</f>
        <v>137517.53</v>
      </c>
      <c r="AI46" s="96" t="n">
        <f aca="false">56944.36+17928+103320</f>
        <v>178192.36</v>
      </c>
      <c r="AM46" s="96" t="n">
        <v>23268.37</v>
      </c>
      <c r="AO46" s="96" t="n">
        <v>7845.45</v>
      </c>
      <c r="AQ46" s="96" t="n">
        <v>51444.89</v>
      </c>
      <c r="AS46" s="95" t="n">
        <f aca="false">SUM(P46:AR46)</f>
        <v>809698.74</v>
      </c>
      <c r="AU46" s="96" t="n">
        <f aca="false">570000-397500+72200+189000+34800</f>
        <v>468500</v>
      </c>
      <c r="AW46" s="95" t="n">
        <f aca="false">IF(+O46-AS46+AU46&gt;0,O46-AS46+AU46,0)</f>
        <v>56301.26</v>
      </c>
      <c r="AX46" s="90"/>
      <c r="AY46" s="95" t="n">
        <f aca="false">+AW46+AS46</f>
        <v>866000</v>
      </c>
      <c r="AZ46" s="90"/>
      <c r="BA46" s="95" t="n">
        <f aca="false">O46-AS46-AW46</f>
        <v>-468500</v>
      </c>
      <c r="BB46" s="136"/>
      <c r="BC46" s="96"/>
    </row>
    <row r="47" customFormat="false" ht="12.75" hidden="false" customHeight="false" outlineLevel="0" collapsed="false">
      <c r="A47" s="145"/>
      <c r="B47" s="132" t="s">
        <v>200</v>
      </c>
      <c r="C47" s="218" t="s">
        <v>199</v>
      </c>
      <c r="E47" s="94" t="s">
        <v>173</v>
      </c>
      <c r="G47" s="94" t="s">
        <v>170</v>
      </c>
      <c r="I47" s="94" t="s">
        <v>174</v>
      </c>
      <c r="K47" s="95" t="n">
        <v>6500</v>
      </c>
      <c r="M47" s="95" t="n">
        <v>5700</v>
      </c>
      <c r="O47" s="95" t="n">
        <f aca="false">SUM(K47:N47)</f>
        <v>12200</v>
      </c>
      <c r="S47" s="96" t="n">
        <v>0</v>
      </c>
      <c r="V47" s="136"/>
      <c r="AS47" s="95" t="n">
        <f aca="false">SUM(P47:AR47)</f>
        <v>0</v>
      </c>
      <c r="AU47" s="96" t="n">
        <v>-12200</v>
      </c>
      <c r="AW47" s="95" t="n">
        <f aca="false">IF(+O47-AS47+AU47&gt;0,O47-AS47+AU47,0)</f>
        <v>0</v>
      </c>
      <c r="AX47" s="90"/>
      <c r="AY47" s="95" t="n">
        <f aca="false">+AW47+AS47</f>
        <v>0</v>
      </c>
      <c r="AZ47" s="90"/>
      <c r="BA47" s="95" t="n">
        <f aca="false">O47-AS47-AW47</f>
        <v>12200</v>
      </c>
      <c r="BB47" s="136"/>
      <c r="BC47" s="95"/>
    </row>
    <row r="48" customFormat="false" ht="12.75" hidden="false" customHeight="false" outlineLevel="0" collapsed="false">
      <c r="A48" s="145"/>
      <c r="B48" s="132" t="s">
        <v>201</v>
      </c>
      <c r="C48" s="218" t="s">
        <v>199</v>
      </c>
      <c r="E48" s="94" t="s">
        <v>173</v>
      </c>
      <c r="G48" s="94" t="s">
        <v>170</v>
      </c>
      <c r="I48" s="94" t="s">
        <v>174</v>
      </c>
      <c r="K48" s="95" t="n">
        <v>24500</v>
      </c>
      <c r="M48" s="95" t="n">
        <v>0</v>
      </c>
      <c r="O48" s="95" t="n">
        <f aca="false">SUM(K48:N48)</f>
        <v>24500</v>
      </c>
      <c r="S48" s="96" t="n">
        <v>0</v>
      </c>
      <c r="V48" s="136"/>
      <c r="AE48" s="96" t="n">
        <f aca="false">12545.77+1664.69+9495.51</f>
        <v>23705.97</v>
      </c>
      <c r="AG48" s="96" t="n">
        <f aca="false">1308.97+13891.31</f>
        <v>15200.28</v>
      </c>
      <c r="AI48" s="96" t="n">
        <v>157.27</v>
      </c>
      <c r="AS48" s="95" t="n">
        <f aca="false">SUM(P48:AR48)</f>
        <v>39063.52</v>
      </c>
      <c r="AU48" s="96" t="n">
        <f aca="false">47300-24500-7300</f>
        <v>15500</v>
      </c>
      <c r="AW48" s="95" t="n">
        <f aca="false">IF(+O48-AS48+AU48&gt;0,O48-AS48+AU48,0)</f>
        <v>936.480000000003</v>
      </c>
      <c r="AX48" s="90"/>
      <c r="AY48" s="95" t="n">
        <f aca="false">+AW48+AS48</f>
        <v>40000</v>
      </c>
      <c r="AZ48" s="90"/>
      <c r="BA48" s="95" t="n">
        <f aca="false">O48-AS48-AW48</f>
        <v>-15500</v>
      </c>
      <c r="BB48" s="136"/>
      <c r="BC48" s="95"/>
    </row>
    <row r="49" customFormat="false" ht="12.75" hidden="false" customHeight="false" outlineLevel="0" collapsed="false">
      <c r="A49" s="145"/>
      <c r="B49" s="132" t="s">
        <v>202</v>
      </c>
      <c r="C49" s="218" t="s">
        <v>199</v>
      </c>
      <c r="E49" s="94" t="s">
        <v>173</v>
      </c>
      <c r="G49" s="94" t="s">
        <v>170</v>
      </c>
      <c r="I49" s="94" t="s">
        <v>174</v>
      </c>
      <c r="K49" s="95" t="n">
        <v>113050</v>
      </c>
      <c r="L49" s="219"/>
      <c r="M49" s="95" t="n">
        <f aca="false">115300-113050</f>
        <v>2250</v>
      </c>
      <c r="N49" s="219"/>
      <c r="O49" s="95" t="n">
        <f aca="false">SUM(K49:N49)</f>
        <v>115300</v>
      </c>
      <c r="P49" s="219"/>
      <c r="S49" s="96" t="n">
        <f aca="false">970.36+2297.64</f>
        <v>3268</v>
      </c>
      <c r="U49" s="96" t="n">
        <f aca="false">5198.51</f>
        <v>5198.51</v>
      </c>
      <c r="V49" s="136"/>
      <c r="AE49" s="96" t="n">
        <f aca="false">11303.31+5026.39+6624.44+4304.31+23996.78+2091.18</f>
        <v>53346.41</v>
      </c>
      <c r="AG49" s="96" t="n">
        <f aca="false">14548.58+7054.59</f>
        <v>21603.17</v>
      </c>
      <c r="AI49" s="96" t="n">
        <f aca="false">9859.67-17928</f>
        <v>-8068.33</v>
      </c>
      <c r="AM49" s="96" t="n">
        <v>83826.31</v>
      </c>
      <c r="AO49" s="96" t="n">
        <v>731.68</v>
      </c>
      <c r="AR49" s="219"/>
      <c r="AS49" s="95" t="n">
        <f aca="false">SUM(P49:AR49)</f>
        <v>159905.75</v>
      </c>
      <c r="AU49" s="96" t="n">
        <f aca="false">160000-115300-60000-24652+89652</f>
        <v>49700</v>
      </c>
      <c r="AW49" s="95" t="n">
        <f aca="false">IF(+O49-AS49+AU49&gt;0,O49-AS49+AU49,0)</f>
        <v>5094.25</v>
      </c>
      <c r="AX49" s="219"/>
      <c r="AY49" s="135" t="n">
        <f aca="false">+AW49+AS49</f>
        <v>165000</v>
      </c>
      <c r="AZ49" s="219"/>
      <c r="BA49" s="95" t="n">
        <f aca="false">O49-AS49-AW49</f>
        <v>-49700</v>
      </c>
      <c r="BB49" s="136"/>
      <c r="BC49" s="95"/>
    </row>
    <row r="50" customFormat="false" ht="12.75" hidden="false" customHeight="false" outlineLevel="0" collapsed="false">
      <c r="A50" s="145"/>
      <c r="B50" s="132" t="s">
        <v>456</v>
      </c>
      <c r="C50" s="218" t="s">
        <v>199</v>
      </c>
      <c r="E50" s="94" t="s">
        <v>173</v>
      </c>
      <c r="G50" s="94" t="s">
        <v>170</v>
      </c>
      <c r="K50" s="140" t="n">
        <v>0</v>
      </c>
      <c r="L50" s="219"/>
      <c r="M50" s="140" t="n">
        <v>92331</v>
      </c>
      <c r="N50" s="219"/>
      <c r="O50" s="140" t="n">
        <f aca="false">SUM(K50:N50)</f>
        <v>92331</v>
      </c>
      <c r="P50" s="219"/>
      <c r="Q50" s="139"/>
      <c r="S50" s="139" t="n">
        <v>92330.74</v>
      </c>
      <c r="U50" s="139"/>
      <c r="V50" s="136"/>
      <c r="W50" s="139"/>
      <c r="Y50" s="139"/>
      <c r="AA50" s="139"/>
      <c r="AC50" s="139"/>
      <c r="AE50" s="139" t="n">
        <f aca="false">36347.92+103320.23</f>
        <v>139668.15</v>
      </c>
      <c r="AG50" s="139"/>
      <c r="AI50" s="139" t="n">
        <v>-103320</v>
      </c>
      <c r="AK50" s="139"/>
      <c r="AL50" s="139"/>
      <c r="AM50" s="139"/>
      <c r="AO50" s="139"/>
      <c r="AQ50" s="139"/>
      <c r="AR50" s="219"/>
      <c r="AS50" s="95" t="n">
        <f aca="false">SUM(P50:AR50)</f>
        <v>128678.89</v>
      </c>
      <c r="AU50" s="139" t="n">
        <f aca="false">128679-92331</f>
        <v>36348</v>
      </c>
      <c r="AW50" s="140" t="n">
        <f aca="false">IF(+O50-AS50+AU50&gt;0,O50-AS50+AU50,0)</f>
        <v>0.10999999998603</v>
      </c>
      <c r="AX50" s="219"/>
      <c r="AY50" s="160" t="n">
        <f aca="false">+AW50+AS50</f>
        <v>128679</v>
      </c>
      <c r="AZ50" s="219"/>
      <c r="BA50" s="95" t="n">
        <f aca="false">O50-AS50-AW50</f>
        <v>-36348</v>
      </c>
      <c r="BB50" s="136"/>
      <c r="BC50" s="95"/>
    </row>
    <row r="51" customFormat="false" ht="12.75" hidden="false" customHeight="false" outlineLevel="0" collapsed="false">
      <c r="A51" s="224"/>
      <c r="B51" s="132" t="s">
        <v>204</v>
      </c>
      <c r="C51" s="218"/>
      <c r="K51" s="24" t="n">
        <f aca="false">SUM(K46:K50)</f>
        <v>395275</v>
      </c>
      <c r="M51" s="24" t="n">
        <f aca="false">SUM(M46:M50)</f>
        <v>246556</v>
      </c>
      <c r="O51" s="24" t="n">
        <f aca="false">SUM(O46:O50)</f>
        <v>641831</v>
      </c>
      <c r="Q51" s="129" t="n">
        <f aca="false">SUM(Q46:Q50)</f>
        <v>0</v>
      </c>
      <c r="R51" s="244"/>
      <c r="S51" s="129" t="n">
        <f aca="false">SUM(S46:S50)</f>
        <v>134978.08</v>
      </c>
      <c r="T51" s="244"/>
      <c r="U51" s="129" t="n">
        <f aca="false">SUM(U46:U50)</f>
        <v>36683.4</v>
      </c>
      <c r="V51" s="136"/>
      <c r="W51" s="129" t="n">
        <f aca="false">SUM(W46:W50)</f>
        <v>0</v>
      </c>
      <c r="X51" s="24"/>
      <c r="Y51" s="129" t="n">
        <f aca="false">SUM(Y46:Y50)</f>
        <v>0</v>
      </c>
      <c r="Z51" s="24"/>
      <c r="AA51" s="129" t="n">
        <f aca="false">SUM(AA46:AA50)</f>
        <v>15908</v>
      </c>
      <c r="AB51" s="24"/>
      <c r="AC51" s="129" t="n">
        <f aca="false">SUM(AC46:AC50)</f>
        <v>0</v>
      </c>
      <c r="AD51" s="24"/>
      <c r="AE51" s="129" t="n">
        <f aca="false">SUM(AE46:AE50)</f>
        <v>541378.44</v>
      </c>
      <c r="AF51" s="129"/>
      <c r="AG51" s="129" t="n">
        <f aca="false">SUM(AG46:AG50)</f>
        <v>174320.98</v>
      </c>
      <c r="AH51" s="129"/>
      <c r="AI51" s="129" t="n">
        <f aca="false">SUM(AI46:AI50)</f>
        <v>66961.3</v>
      </c>
      <c r="AJ51" s="129"/>
      <c r="AK51" s="129" t="n">
        <f aca="false">SUM(AK46:AK50)</f>
        <v>0</v>
      </c>
      <c r="AL51" s="129"/>
      <c r="AM51" s="129" t="n">
        <f aca="false">SUM(AM46:AM50)</f>
        <v>107094.68</v>
      </c>
      <c r="AN51" s="129"/>
      <c r="AO51" s="129" t="n">
        <f aca="false">SUM(AO46:AO50)</f>
        <v>8577.13</v>
      </c>
      <c r="AP51" s="129"/>
      <c r="AQ51" s="129" t="n">
        <f aca="false">SUM(AQ46:AQ50)</f>
        <v>51444.89</v>
      </c>
      <c r="AS51" s="155" t="n">
        <f aca="false">SUM(AS46:AS50)</f>
        <v>1137346.9</v>
      </c>
      <c r="AU51" s="129" t="n">
        <f aca="false">SUM(AU46:AU50)</f>
        <v>557848</v>
      </c>
      <c r="AW51" s="24" t="n">
        <f aca="false">SUM(AW46:AW50)</f>
        <v>62332.1</v>
      </c>
      <c r="AX51" s="90"/>
      <c r="AY51" s="24" t="n">
        <f aca="false">SUM(AY46:AY50)</f>
        <v>1199679</v>
      </c>
      <c r="AZ51" s="90"/>
      <c r="BA51" s="155" t="n">
        <f aca="false">SUM(BA46:BA50)</f>
        <v>-557848</v>
      </c>
      <c r="BB51" s="136"/>
      <c r="BC51" s="24"/>
      <c r="BE51" s="16" t="n">
        <f aca="false">+AY51+BE43</f>
        <v>99451472.17</v>
      </c>
    </row>
    <row r="52" customFormat="false" ht="12.75" hidden="false" customHeight="false" outlineLevel="0" collapsed="false">
      <c r="A52" s="145"/>
      <c r="B52" s="132"/>
      <c r="C52" s="218"/>
      <c r="V52" s="136"/>
      <c r="AX52" s="90"/>
      <c r="AZ52" s="90"/>
      <c r="BB52" s="95"/>
      <c r="BC52" s="95"/>
    </row>
    <row r="53" customFormat="false" ht="12.75" hidden="false" customHeight="false" outlineLevel="0" collapsed="false">
      <c r="A53" s="225"/>
      <c r="B53" s="132"/>
      <c r="C53" s="218"/>
      <c r="G53" s="90"/>
      <c r="V53" s="136"/>
      <c r="AX53" s="90"/>
      <c r="AZ53" s="90"/>
      <c r="BB53" s="95"/>
      <c r="BC53" s="95"/>
    </row>
    <row r="54" customFormat="false" ht="12.75" hidden="false" customHeight="false" outlineLevel="0" collapsed="false">
      <c r="A54" s="152" t="s">
        <v>205</v>
      </c>
      <c r="B54" s="132"/>
      <c r="C54" s="218"/>
      <c r="G54" s="90"/>
      <c r="V54" s="136"/>
      <c r="AX54" s="90"/>
      <c r="AZ54" s="90"/>
      <c r="BB54" s="95"/>
      <c r="BC54" s="95"/>
    </row>
    <row r="55" customFormat="false" ht="12.75" hidden="false" customHeight="false" outlineLevel="0" collapsed="false">
      <c r="A55" s="225"/>
      <c r="B55" s="132" t="s">
        <v>457</v>
      </c>
      <c r="C55" s="218" t="s">
        <v>207</v>
      </c>
      <c r="E55" s="94" t="s">
        <v>173</v>
      </c>
      <c r="G55" s="94" t="s">
        <v>208</v>
      </c>
      <c r="I55" s="94" t="s">
        <v>174</v>
      </c>
      <c r="K55" s="133" t="n">
        <v>53649</v>
      </c>
      <c r="M55" s="133" t="n">
        <f aca="false">60105-53649</f>
        <v>6456</v>
      </c>
      <c r="O55" s="133" t="n">
        <f aca="false">SUM(K55:N55)</f>
        <v>60105</v>
      </c>
      <c r="Q55" s="96" t="n">
        <v>0</v>
      </c>
      <c r="S55" s="96" t="n">
        <v>0</v>
      </c>
      <c r="V55" s="136"/>
      <c r="AS55" s="95" t="n">
        <f aca="false">SUM(P55:AR55)</f>
        <v>0</v>
      </c>
      <c r="AU55" s="96" t="n">
        <f aca="false">22467+59781+8871-151224</f>
        <v>-60105</v>
      </c>
      <c r="AW55" s="95" t="n">
        <f aca="false">IF(+O55-AS55+AU55&gt;0,O55-AS55+AU55,0)</f>
        <v>0</v>
      </c>
      <c r="AX55" s="90"/>
      <c r="AY55" s="95" t="n">
        <f aca="false">+AW55+AS55</f>
        <v>0</v>
      </c>
      <c r="AZ55" s="90"/>
      <c r="BA55" s="95" t="n">
        <f aca="false">O55-AS55-AW55</f>
        <v>60105</v>
      </c>
      <c r="BB55" s="136"/>
      <c r="BC55" s="95"/>
    </row>
    <row r="56" customFormat="false" ht="12.75" hidden="false" customHeight="false" outlineLevel="0" collapsed="false">
      <c r="A56" s="225"/>
      <c r="B56" s="132" t="s">
        <v>209</v>
      </c>
      <c r="C56" s="218"/>
      <c r="K56" s="133"/>
      <c r="M56" s="133" t="n">
        <v>636961</v>
      </c>
      <c r="O56" s="133" t="n">
        <f aca="false">SUM(K56:N56)</f>
        <v>636961</v>
      </c>
      <c r="V56" s="136"/>
      <c r="AS56" s="95" t="n">
        <f aca="false">SUM(P56:AR56)</f>
        <v>0</v>
      </c>
      <c r="AU56" s="96" t="n">
        <f aca="false">-139681+2608-499888</f>
        <v>-636961</v>
      </c>
      <c r="AW56" s="95" t="n">
        <f aca="false">IF(+O56-AS56+AU56&gt;0,O56-AS56+AU56,0)</f>
        <v>0</v>
      </c>
      <c r="AX56" s="90"/>
      <c r="AY56" s="95" t="n">
        <f aca="false">+AW56+AS56</f>
        <v>0</v>
      </c>
      <c r="AZ56" s="90"/>
      <c r="BA56" s="95" t="n">
        <f aca="false">O56-AS56-AW56</f>
        <v>636961</v>
      </c>
      <c r="BB56" s="136"/>
      <c r="BC56" s="95"/>
    </row>
    <row r="57" customFormat="false" ht="12.75" hidden="false" customHeight="false" outlineLevel="0" collapsed="false">
      <c r="A57" s="225"/>
      <c r="B57" s="132" t="s">
        <v>458</v>
      </c>
      <c r="C57" s="218"/>
      <c r="K57" s="133"/>
      <c r="M57" s="133" t="n">
        <v>16500</v>
      </c>
      <c r="O57" s="133" t="n">
        <f aca="false">SUM(K57:N57)</f>
        <v>16500</v>
      </c>
      <c r="V57" s="136"/>
      <c r="AS57" s="95" t="n">
        <f aca="false">SUM(P57:AR57)</f>
        <v>0</v>
      </c>
      <c r="AU57" s="96" t="n">
        <f aca="false">10720-224-26996</f>
        <v>-16500</v>
      </c>
      <c r="AW57" s="95" t="n">
        <f aca="false">IF(+O57-AS57+AU57&gt;0,O57-AS57+AU57,0)</f>
        <v>0</v>
      </c>
      <c r="AX57" s="90"/>
      <c r="AY57" s="95" t="n">
        <f aca="false">+AW57+AS57</f>
        <v>0</v>
      </c>
      <c r="AZ57" s="90"/>
      <c r="BA57" s="95" t="n">
        <f aca="false">O57-AS57-AW57</f>
        <v>16500</v>
      </c>
      <c r="BB57" s="136"/>
      <c r="BC57" s="95"/>
    </row>
    <row r="58" customFormat="false" ht="12.75" hidden="false" customHeight="false" outlineLevel="0" collapsed="false">
      <c r="A58" s="225"/>
      <c r="B58" s="132" t="s">
        <v>459</v>
      </c>
      <c r="C58" s="218"/>
      <c r="K58" s="133"/>
      <c r="M58" s="133" t="n">
        <v>375110</v>
      </c>
      <c r="O58" s="133" t="n">
        <f aca="false">SUM(K58:N58)</f>
        <v>375110</v>
      </c>
      <c r="V58" s="136"/>
      <c r="W58" s="96" t="n">
        <f aca="false">137615+1665.8</f>
        <v>139280.8</v>
      </c>
      <c r="Y58" s="96" t="n">
        <v>0</v>
      </c>
      <c r="AG58" s="96" t="n">
        <v>-139281</v>
      </c>
      <c r="AS58" s="95" t="n">
        <f aca="false">SUM(P58:AR58)</f>
        <v>-0.200000000011642</v>
      </c>
      <c r="AU58" s="96" t="n">
        <f aca="false">376211-375110-152824-223387</f>
        <v>-375110</v>
      </c>
      <c r="AW58" s="95" t="n">
        <f aca="false">IF(+O58-AS58+AU58&gt;0,O58-AS58+AU58,0)</f>
        <v>0.200000000011642</v>
      </c>
      <c r="AX58" s="90"/>
      <c r="AY58" s="95" t="n">
        <f aca="false">+AW58+AS58</f>
        <v>0</v>
      </c>
      <c r="AZ58" s="90"/>
      <c r="BA58" s="95" t="n">
        <f aca="false">O58-AS58-AW58</f>
        <v>375110</v>
      </c>
      <c r="BB58" s="136"/>
      <c r="BC58" s="95"/>
    </row>
    <row r="59" customFormat="false" ht="12.75" hidden="false" customHeight="false" outlineLevel="0" collapsed="false">
      <c r="A59" s="225"/>
      <c r="B59" s="132" t="s">
        <v>212</v>
      </c>
      <c r="C59" s="218"/>
      <c r="K59" s="133"/>
      <c r="M59" s="133" t="n">
        <v>132000</v>
      </c>
      <c r="O59" s="133" t="n">
        <f aca="false">SUM(K59:N59)</f>
        <v>132000</v>
      </c>
      <c r="V59" s="136"/>
      <c r="AS59" s="95" t="n">
        <f aca="false">SUM(P59:AR59)</f>
        <v>0</v>
      </c>
      <c r="AU59" s="96" t="n">
        <f aca="false">-116457+943-16486</f>
        <v>-132000</v>
      </c>
      <c r="AW59" s="95" t="n">
        <f aca="false">IF(+O59-AS59+AU59&gt;0,O59-AS59+AU59,0)</f>
        <v>0</v>
      </c>
      <c r="AX59" s="90"/>
      <c r="AY59" s="95" t="n">
        <f aca="false">+AW59+AS59</f>
        <v>0</v>
      </c>
      <c r="AZ59" s="90"/>
      <c r="BA59" s="95" t="n">
        <f aca="false">O59-AS59-AW59</f>
        <v>132000</v>
      </c>
      <c r="BB59" s="136"/>
      <c r="BC59" s="95"/>
    </row>
    <row r="60" customFormat="false" ht="12.75" hidden="false" customHeight="false" outlineLevel="0" collapsed="false">
      <c r="A60" s="225"/>
      <c r="B60" s="132" t="s">
        <v>460</v>
      </c>
      <c r="C60" s="218"/>
      <c r="K60" s="133"/>
      <c r="M60" s="133" t="n">
        <v>586658</v>
      </c>
      <c r="O60" s="133" t="n">
        <f aca="false">SUM(K60:N60)</f>
        <v>586658</v>
      </c>
      <c r="Q60" s="96" t="n">
        <v>0</v>
      </c>
      <c r="S60" s="96" t="n">
        <v>0</v>
      </c>
      <c r="U60" s="96" t="n">
        <v>0</v>
      </c>
      <c r="V60" s="136"/>
      <c r="W60" s="96" t="n">
        <v>0</v>
      </c>
      <c r="AS60" s="95" t="n">
        <f aca="false">SUM(P60:AR60)</f>
        <v>0</v>
      </c>
      <c r="AU60" s="96" t="n">
        <f aca="false">161754-586658+27872-189626</f>
        <v>-586658</v>
      </c>
      <c r="AW60" s="95" t="n">
        <f aca="false">IF(+O60-AS60+AU60&gt;0,O60-AS60+AU60,0)</f>
        <v>0</v>
      </c>
      <c r="AX60" s="90"/>
      <c r="AY60" s="95" t="n">
        <f aca="false">+AW60+AS60</f>
        <v>0</v>
      </c>
      <c r="AZ60" s="90"/>
      <c r="BA60" s="95" t="n">
        <f aca="false">O60-AS60-AW60</f>
        <v>586658</v>
      </c>
      <c r="BB60" s="136"/>
      <c r="BC60" s="95"/>
    </row>
    <row r="61" customFormat="false" ht="12.75" hidden="false" customHeight="false" outlineLevel="0" collapsed="false">
      <c r="A61" s="225"/>
      <c r="B61" s="132" t="s">
        <v>386</v>
      </c>
      <c r="C61" s="218"/>
      <c r="K61" s="133"/>
      <c r="M61" s="133" t="n">
        <v>0</v>
      </c>
      <c r="O61" s="133" t="n">
        <f aca="false">SUM(K61:N61)</f>
        <v>0</v>
      </c>
      <c r="Q61" s="96" t="n">
        <v>0</v>
      </c>
      <c r="S61" s="96" t="n">
        <v>0</v>
      </c>
      <c r="U61" s="96" t="n">
        <v>0</v>
      </c>
      <c r="V61" s="136"/>
      <c r="W61" s="96" t="n">
        <v>0</v>
      </c>
      <c r="AS61" s="95" t="n">
        <f aca="false">SUM(P61:AR61)</f>
        <v>0</v>
      </c>
      <c r="AU61" s="96" t="n">
        <f aca="false">7900+12835+31765-14607-37893</f>
        <v>0</v>
      </c>
      <c r="AW61" s="95" t="n">
        <f aca="false">IF(+O61-AS61+AU61&gt;0,O61-AS61+AU61,0)</f>
        <v>0</v>
      </c>
      <c r="AX61" s="90"/>
      <c r="AY61" s="95" t="n">
        <f aca="false">+AW61+AS61</f>
        <v>0</v>
      </c>
      <c r="AZ61" s="90"/>
      <c r="BA61" s="95" t="n">
        <f aca="false">O61-AS61-AW61</f>
        <v>0</v>
      </c>
      <c r="BB61" s="136"/>
      <c r="BC61" s="95"/>
    </row>
    <row r="62" customFormat="false" ht="12.75" hidden="false" customHeight="false" outlineLevel="0" collapsed="false">
      <c r="A62" s="225"/>
      <c r="B62" s="132" t="s">
        <v>215</v>
      </c>
      <c r="C62" s="218"/>
      <c r="K62" s="133"/>
      <c r="M62" s="133" t="n">
        <v>202350</v>
      </c>
      <c r="O62" s="133" t="n">
        <f aca="false">SUM(K62:N62)</f>
        <v>202350</v>
      </c>
      <c r="V62" s="136"/>
      <c r="AS62" s="95" t="n">
        <f aca="false">SUM(P62:AR62)</f>
        <v>0</v>
      </c>
      <c r="AU62" s="96" t="n">
        <f aca="false">32701-235051</f>
        <v>-202350</v>
      </c>
      <c r="AW62" s="95" t="n">
        <f aca="false">IF(+O62-AS62+AU62&gt;0,O62-AS62+AU62,0)</f>
        <v>0</v>
      </c>
      <c r="AX62" s="90"/>
      <c r="AY62" s="95" t="n">
        <f aca="false">+AW62+AS62</f>
        <v>0</v>
      </c>
      <c r="AZ62" s="90"/>
      <c r="BA62" s="95" t="n">
        <f aca="false">O62-AS62-AW62</f>
        <v>202350</v>
      </c>
      <c r="BB62" s="136"/>
      <c r="BC62" s="95"/>
    </row>
    <row r="63" customFormat="false" ht="12.75" hidden="false" customHeight="false" outlineLevel="0" collapsed="false">
      <c r="A63" s="225"/>
      <c r="B63" s="132" t="s">
        <v>216</v>
      </c>
      <c r="C63" s="218"/>
      <c r="K63" s="133"/>
      <c r="M63" s="133" t="n">
        <v>46416</v>
      </c>
      <c r="O63" s="133" t="n">
        <f aca="false">SUM(K63:N63)</f>
        <v>46416</v>
      </c>
      <c r="V63" s="136"/>
      <c r="AS63" s="95" t="n">
        <f aca="false">SUM(P63:AR63)</f>
        <v>0</v>
      </c>
      <c r="AU63" s="96" t="n">
        <f aca="false">-5101-1292-40023</f>
        <v>-46416</v>
      </c>
      <c r="AW63" s="95" t="n">
        <f aca="false">IF(+O63-AS63+AU63&gt;0,O63-AS63+AU63,0)</f>
        <v>0</v>
      </c>
      <c r="AX63" s="90"/>
      <c r="AY63" s="95" t="n">
        <f aca="false">+AW63+AS63</f>
        <v>0</v>
      </c>
      <c r="AZ63" s="90"/>
      <c r="BA63" s="95" t="n">
        <f aca="false">O63-AS63-AW63</f>
        <v>46416</v>
      </c>
      <c r="BB63" s="136"/>
      <c r="BC63" s="95"/>
    </row>
    <row r="64" customFormat="false" ht="12.75" hidden="false" customHeight="false" outlineLevel="0" collapsed="false">
      <c r="A64" s="225"/>
      <c r="B64" s="132" t="s">
        <v>217</v>
      </c>
      <c r="C64" s="218"/>
      <c r="K64" s="133"/>
      <c r="M64" s="133" t="n">
        <v>99000</v>
      </c>
      <c r="O64" s="133" t="n">
        <f aca="false">SUM(K64:N64)</f>
        <v>99000</v>
      </c>
      <c r="V64" s="136"/>
      <c r="AS64" s="95" t="n">
        <f aca="false">SUM(P64:AR64)</f>
        <v>0</v>
      </c>
      <c r="AU64" s="96" t="n">
        <f aca="false">-45768+1297-54529</f>
        <v>-99000</v>
      </c>
      <c r="AW64" s="95" t="n">
        <f aca="false">IF(+O64-AS64+AU64&gt;0,O64-AS64+AU64,0)</f>
        <v>0</v>
      </c>
      <c r="AX64" s="90"/>
      <c r="AY64" s="95" t="n">
        <f aca="false">+AW64+AS64</f>
        <v>0</v>
      </c>
      <c r="AZ64" s="90"/>
      <c r="BA64" s="95" t="n">
        <f aca="false">O64-AS64-AW64</f>
        <v>99000</v>
      </c>
      <c r="BB64" s="136"/>
      <c r="BC64" s="95"/>
    </row>
    <row r="65" customFormat="false" ht="12.75" hidden="false" customHeight="false" outlineLevel="0" collapsed="false">
      <c r="A65" s="225"/>
      <c r="B65" s="132" t="s">
        <v>218</v>
      </c>
      <c r="C65" s="218"/>
      <c r="K65" s="133"/>
      <c r="M65" s="133" t="n">
        <v>57202</v>
      </c>
      <c r="O65" s="133" t="n">
        <f aca="false">SUM(K65:N65)</f>
        <v>57202</v>
      </c>
      <c r="U65" s="96" t="n">
        <f aca="false">1000+10290.7</f>
        <v>11290.7</v>
      </c>
      <c r="V65" s="136"/>
      <c r="AG65" s="96" t="n">
        <v>-11291</v>
      </c>
      <c r="AS65" s="95" t="n">
        <f aca="false">SUM(P65:AR65)</f>
        <v>-0.299999999999272</v>
      </c>
      <c r="AU65" s="96" t="n">
        <f aca="false">-32332-1535-23335</f>
        <v>-57202</v>
      </c>
      <c r="AW65" s="95" t="n">
        <f aca="false">IF(+O65-AS65+AU65&gt;0,O65-AS65+AU65,0)</f>
        <v>0.30000000000291</v>
      </c>
      <c r="AX65" s="90"/>
      <c r="AY65" s="95" t="n">
        <f aca="false">+AW65+AS65</f>
        <v>3.63797880709171E-012</v>
      </c>
      <c r="AZ65" s="90"/>
      <c r="BA65" s="95" t="n">
        <f aca="false">O65-AS65-AW65</f>
        <v>57202</v>
      </c>
      <c r="BB65" s="136"/>
      <c r="BC65" s="95"/>
    </row>
    <row r="66" customFormat="false" ht="12.75" hidden="false" customHeight="false" outlineLevel="0" collapsed="false">
      <c r="A66" s="225"/>
      <c r="B66" s="132" t="s">
        <v>219</v>
      </c>
      <c r="C66" s="218"/>
      <c r="K66" s="133"/>
      <c r="M66" s="133" t="n">
        <v>420261</v>
      </c>
      <c r="O66" s="133" t="n">
        <f aca="false">SUM(K66:N66)</f>
        <v>420261</v>
      </c>
      <c r="V66" s="136"/>
      <c r="AS66" s="95" t="n">
        <f aca="false">SUM(P66:AR66)</f>
        <v>0</v>
      </c>
      <c r="AU66" s="96" t="n">
        <f aca="false">-70261-39138-310862</f>
        <v>-420261</v>
      </c>
      <c r="AW66" s="95" t="n">
        <f aca="false">IF(+O66-AS66+AU66&gt;0,O66-AS66+AU66,0)</f>
        <v>0</v>
      </c>
      <c r="AX66" s="90"/>
      <c r="AY66" s="95" t="n">
        <f aca="false">+AW66+AS66</f>
        <v>0</v>
      </c>
      <c r="AZ66" s="90"/>
      <c r="BA66" s="95" t="n">
        <f aca="false">O66-AS66-AW66</f>
        <v>420261</v>
      </c>
      <c r="BB66" s="136"/>
      <c r="BC66" s="95"/>
    </row>
    <row r="67" customFormat="false" ht="12.75" hidden="false" customHeight="false" outlineLevel="0" collapsed="false">
      <c r="A67" s="225"/>
      <c r="B67" s="132" t="s">
        <v>220</v>
      </c>
      <c r="C67" s="218"/>
      <c r="K67" s="133"/>
      <c r="M67" s="133" t="n">
        <v>69600</v>
      </c>
      <c r="O67" s="133" t="n">
        <f aca="false">SUM(K67:N67)</f>
        <v>69600</v>
      </c>
      <c r="V67" s="136"/>
      <c r="AS67" s="95" t="n">
        <f aca="false">SUM(P67:AR67)</f>
        <v>0</v>
      </c>
      <c r="AU67" s="96" t="n">
        <f aca="false">-67871+315-2044</f>
        <v>-69600</v>
      </c>
      <c r="AW67" s="95" t="n">
        <f aca="false">IF(+O67-AS67+AU67&gt;0,O67-AS67+AU67,0)</f>
        <v>0</v>
      </c>
      <c r="AX67" s="90"/>
      <c r="AY67" s="95" t="n">
        <f aca="false">+AW67+AS67</f>
        <v>0</v>
      </c>
      <c r="AZ67" s="90"/>
      <c r="BA67" s="95" t="n">
        <f aca="false">O67-AS67-AW67</f>
        <v>69600</v>
      </c>
      <c r="BB67" s="136"/>
      <c r="BC67" s="95"/>
    </row>
    <row r="68" customFormat="false" ht="12.75" hidden="false" customHeight="false" outlineLevel="0" collapsed="false">
      <c r="A68" s="225"/>
      <c r="B68" s="132" t="s">
        <v>461</v>
      </c>
      <c r="C68" s="218"/>
      <c r="G68" s="94" t="s">
        <v>208</v>
      </c>
      <c r="K68" s="133" t="n">
        <v>8800</v>
      </c>
      <c r="M68" s="133" t="n">
        <f aca="false">30800-8800</f>
        <v>22000</v>
      </c>
      <c r="O68" s="133" t="n">
        <f aca="false">SUM(K68:N68)</f>
        <v>30800</v>
      </c>
      <c r="Q68" s="96" t="n">
        <v>0</v>
      </c>
      <c r="S68" s="96" t="n">
        <v>0</v>
      </c>
      <c r="V68" s="136"/>
      <c r="AS68" s="95" t="n">
        <f aca="false">SUM(P68:AR68)</f>
        <v>0</v>
      </c>
      <c r="AU68" s="96" t="n">
        <f aca="false">8800-30800+1382-10182</f>
        <v>-30800</v>
      </c>
      <c r="AW68" s="95" t="n">
        <f aca="false">IF(+O68-AS68+AU68&gt;0,O68-AS68+AU68,0)</f>
        <v>0</v>
      </c>
      <c r="AX68" s="90"/>
      <c r="AY68" s="95" t="n">
        <f aca="false">+AW68+AS68</f>
        <v>0</v>
      </c>
      <c r="AZ68" s="90"/>
      <c r="BA68" s="95" t="n">
        <f aca="false">O68-AS68-AW68</f>
        <v>30800</v>
      </c>
      <c r="BB68" s="136"/>
      <c r="BC68" s="95"/>
    </row>
    <row r="69" customFormat="false" ht="12.75" hidden="false" customHeight="false" outlineLevel="0" collapsed="false">
      <c r="A69" s="225"/>
      <c r="B69" s="132" t="s">
        <v>223</v>
      </c>
      <c r="C69" s="218"/>
      <c r="K69" s="133"/>
      <c r="M69" s="133"/>
      <c r="O69" s="133" t="n">
        <f aca="false">SUM(K69:N69)</f>
        <v>0</v>
      </c>
      <c r="V69" s="136"/>
      <c r="AS69" s="95" t="n">
        <f aca="false">SUM(P69:AR69)</f>
        <v>0</v>
      </c>
      <c r="AW69" s="95" t="n">
        <f aca="false">IF(+O69-AS69+AU69&gt;0,O69-AS69+AU69,0)</f>
        <v>0</v>
      </c>
      <c r="AX69" s="90"/>
      <c r="AY69" s="95" t="n">
        <f aca="false">+AW69+AS69</f>
        <v>0</v>
      </c>
      <c r="AZ69" s="90"/>
      <c r="BA69" s="95" t="n">
        <f aca="false">O69-AS69-AW69</f>
        <v>0</v>
      </c>
      <c r="BB69" s="136"/>
      <c r="BC69" s="95"/>
    </row>
    <row r="70" customFormat="false" ht="12.75" hidden="false" customHeight="false" outlineLevel="0" collapsed="false">
      <c r="A70" s="225"/>
      <c r="B70" s="132" t="s">
        <v>462</v>
      </c>
      <c r="C70" s="218"/>
      <c r="K70" s="133"/>
      <c r="M70" s="133" t="n">
        <v>945000</v>
      </c>
      <c r="O70" s="133" t="n">
        <f aca="false">SUM(K70:N70)</f>
        <v>945000</v>
      </c>
      <c r="V70" s="136"/>
      <c r="AS70" s="95" t="n">
        <f aca="false">SUM(P70:AR70)</f>
        <v>0</v>
      </c>
      <c r="AU70" s="96" t="n">
        <f aca="false">16606-945000+8394+65000-5040-84960</f>
        <v>-945000</v>
      </c>
      <c r="AW70" s="95" t="n">
        <f aca="false">IF(+O70-AS70+AU70&gt;0,O70-AS70+AU70,0)</f>
        <v>0</v>
      </c>
      <c r="AX70" s="90"/>
      <c r="AY70" s="95" t="n">
        <f aca="false">+AW70+AS70</f>
        <v>0</v>
      </c>
      <c r="AZ70" s="90"/>
      <c r="BA70" s="95" t="n">
        <f aca="false">O70-AS70-AW70</f>
        <v>945000</v>
      </c>
      <c r="BB70" s="136"/>
      <c r="BC70" s="95"/>
    </row>
    <row r="71" customFormat="false" ht="12.75" hidden="false" customHeight="false" outlineLevel="0" collapsed="false">
      <c r="A71" s="225"/>
      <c r="B71" s="132" t="s">
        <v>463</v>
      </c>
      <c r="C71" s="218"/>
      <c r="K71" s="133"/>
      <c r="M71" s="133"/>
      <c r="O71" s="133" t="n">
        <f aca="false">SUM(K71:N71)</f>
        <v>0</v>
      </c>
      <c r="V71" s="136"/>
      <c r="AS71" s="95" t="n">
        <f aca="false">SUM(P71:AR71)</f>
        <v>0</v>
      </c>
      <c r="AU71" s="96" t="n">
        <f aca="false">142000-120000+2581-24581</f>
        <v>0</v>
      </c>
      <c r="AW71" s="95" t="n">
        <f aca="false">IF(+O71-AS71+AU71&gt;0,O71-AS71+AU71,0)</f>
        <v>0</v>
      </c>
      <c r="AX71" s="90"/>
      <c r="AY71" s="95" t="n">
        <f aca="false">+AW71+AS71</f>
        <v>0</v>
      </c>
      <c r="AZ71" s="90"/>
      <c r="BA71" s="95" t="n">
        <f aca="false">O71-AS71-AW71</f>
        <v>0</v>
      </c>
      <c r="BB71" s="136"/>
      <c r="BC71" s="95"/>
    </row>
    <row r="72" customFormat="false" ht="12.75" hidden="false" customHeight="false" outlineLevel="0" collapsed="false">
      <c r="A72" s="225"/>
      <c r="B72" s="132" t="s">
        <v>464</v>
      </c>
      <c r="C72" s="218"/>
      <c r="K72" s="133"/>
      <c r="M72" s="133" t="n">
        <v>549000</v>
      </c>
      <c r="O72" s="133" t="n">
        <f aca="false">SUM(K72:N72)</f>
        <v>549000</v>
      </c>
      <c r="V72" s="136"/>
      <c r="W72" s="96" t="n">
        <v>38094</v>
      </c>
      <c r="AG72" s="96" t="n">
        <v>-38094</v>
      </c>
      <c r="AS72" s="95" t="n">
        <f aca="false">SUM(P72:AR72)</f>
        <v>0</v>
      </c>
      <c r="AU72" s="96" t="n">
        <f aca="false">-139624-409376</f>
        <v>-549000</v>
      </c>
      <c r="AW72" s="95" t="n">
        <f aca="false">IF(+O72-AS72+AU72&gt;0,O72-AS72+AU72,0)</f>
        <v>0</v>
      </c>
      <c r="AX72" s="90"/>
      <c r="AY72" s="95" t="n">
        <f aca="false">+AW72+AS72</f>
        <v>0</v>
      </c>
      <c r="AZ72" s="90"/>
      <c r="BA72" s="95" t="n">
        <f aca="false">O72-AS72-AW72</f>
        <v>549000</v>
      </c>
      <c r="BB72" s="136"/>
      <c r="BC72" s="95"/>
    </row>
    <row r="73" customFormat="false" ht="12.75" hidden="false" customHeight="false" outlineLevel="0" collapsed="false">
      <c r="A73" s="225"/>
      <c r="B73" s="132" t="s">
        <v>465</v>
      </c>
      <c r="C73" s="218"/>
      <c r="K73" s="133"/>
      <c r="M73" s="133" t="n">
        <v>120000</v>
      </c>
      <c r="O73" s="133" t="n">
        <f aca="false">SUM(K73:N73)</f>
        <v>120000</v>
      </c>
      <c r="U73" s="96" t="n">
        <v>0</v>
      </c>
      <c r="V73" s="136"/>
      <c r="AS73" s="95" t="n">
        <f aca="false">SUM(P73:AR73)</f>
        <v>0</v>
      </c>
      <c r="AU73" s="96" t="n">
        <v>-120000</v>
      </c>
      <c r="AW73" s="95" t="n">
        <f aca="false">IF(+O73-AS73+AU73&gt;0,O73-AS73+AU73,0)</f>
        <v>0</v>
      </c>
      <c r="AX73" s="90"/>
      <c r="AY73" s="95" t="n">
        <f aca="false">+AW73+AS73</f>
        <v>0</v>
      </c>
      <c r="AZ73" s="90"/>
      <c r="BA73" s="95" t="n">
        <f aca="false">O73-AS73-AW73</f>
        <v>120000</v>
      </c>
      <c r="BB73" s="136"/>
      <c r="BC73" s="95"/>
    </row>
    <row r="74" customFormat="false" ht="12.75" hidden="false" customHeight="false" outlineLevel="0" collapsed="false">
      <c r="A74" s="225"/>
      <c r="B74" s="132" t="s">
        <v>228</v>
      </c>
      <c r="C74" s="218"/>
      <c r="K74" s="133"/>
      <c r="M74" s="133" t="n">
        <v>6000</v>
      </c>
      <c r="O74" s="133" t="n">
        <f aca="false">SUM(K74:N74)</f>
        <v>6000</v>
      </c>
      <c r="Q74" s="142"/>
      <c r="S74" s="142" t="n">
        <f aca="false">11760.8+4410.3</f>
        <v>16171.1</v>
      </c>
      <c r="V74" s="136"/>
      <c r="AG74" s="96" t="n">
        <v>-16171</v>
      </c>
      <c r="AS74" s="95" t="n">
        <f aca="false">SUM(P74:AR74)</f>
        <v>0.0999999999985448</v>
      </c>
      <c r="AU74" s="96" t="n">
        <f aca="false">110718-6000-54528-56190</f>
        <v>-6000</v>
      </c>
      <c r="AW74" s="95" t="n">
        <f aca="false">IF(+O74-AS74+AU74&gt;0,O74-AS74+AU74,0)</f>
        <v>0</v>
      </c>
      <c r="AX74" s="90"/>
      <c r="AY74" s="95" t="n">
        <f aca="false">+AW74+AS74</f>
        <v>0.0999999999985448</v>
      </c>
      <c r="AZ74" s="90"/>
      <c r="BA74" s="95" t="n">
        <f aca="false">O74-AS74-AW74</f>
        <v>5999.9</v>
      </c>
      <c r="BB74" s="136"/>
      <c r="BC74" s="95"/>
    </row>
    <row r="75" customFormat="false" ht="12.75" hidden="false" customHeight="false" outlineLevel="0" collapsed="false">
      <c r="A75" s="225"/>
      <c r="B75" s="132" t="s">
        <v>466</v>
      </c>
      <c r="C75" s="218"/>
      <c r="K75" s="133" t="n">
        <v>4206853</v>
      </c>
      <c r="M75" s="133" t="n">
        <v>-4206853</v>
      </c>
      <c r="O75" s="133"/>
      <c r="Q75" s="96" t="n">
        <f aca="false">15305+11761+4410+167</f>
        <v>31643</v>
      </c>
      <c r="S75" s="96" t="n">
        <v>-31643</v>
      </c>
      <c r="V75" s="136"/>
      <c r="AS75" s="95" t="n">
        <f aca="false">SUM(P75:AR75)</f>
        <v>0</v>
      </c>
      <c r="AW75" s="95" t="n">
        <f aca="false">IF(+O75-AS75+AU75&gt;0,O75-AS75+AU75,0)</f>
        <v>0</v>
      </c>
      <c r="AX75" s="90"/>
      <c r="AY75" s="95" t="n">
        <f aca="false">+AW75+AS75</f>
        <v>0</v>
      </c>
      <c r="AZ75" s="90"/>
      <c r="BA75" s="95" t="n">
        <f aca="false">O75-AS75-AW75</f>
        <v>0</v>
      </c>
      <c r="BB75" s="136"/>
      <c r="BC75" s="95"/>
    </row>
    <row r="76" customFormat="false" ht="12.75" hidden="false" customHeight="false" outlineLevel="0" collapsed="false">
      <c r="A76" s="225"/>
      <c r="B76" s="132" t="s">
        <v>252</v>
      </c>
      <c r="C76" s="218"/>
      <c r="K76" s="133" t="n">
        <v>1500000</v>
      </c>
      <c r="M76" s="133" t="n">
        <v>-1500000</v>
      </c>
      <c r="O76" s="133"/>
      <c r="V76" s="136"/>
      <c r="Y76" s="96" t="n">
        <v>0</v>
      </c>
      <c r="AS76" s="95" t="n">
        <f aca="false">SUM(P76:AR76)</f>
        <v>0</v>
      </c>
      <c r="AU76" s="96" t="n">
        <v>0</v>
      </c>
      <c r="AW76" s="95" t="n">
        <f aca="false">IF(+O76-AS76+AU76&gt;0,O76-AS76+AU76,0)</f>
        <v>0</v>
      </c>
      <c r="AX76" s="90"/>
      <c r="AY76" s="95" t="n">
        <f aca="false">+AW76+AS76</f>
        <v>0</v>
      </c>
      <c r="AZ76" s="90"/>
      <c r="BA76" s="95" t="n">
        <f aca="false">O76-AS76-AW76</f>
        <v>0</v>
      </c>
      <c r="BB76" s="136"/>
      <c r="BC76" s="95"/>
    </row>
    <row r="77" customFormat="false" ht="12.75" hidden="false" customHeight="false" outlineLevel="0" collapsed="false">
      <c r="A77" s="225"/>
      <c r="B77" s="132" t="s">
        <v>246</v>
      </c>
      <c r="C77" s="218"/>
      <c r="K77" s="133" t="n">
        <v>547063</v>
      </c>
      <c r="M77" s="133" t="n">
        <v>-547063</v>
      </c>
      <c r="O77" s="133"/>
      <c r="V77" s="136"/>
      <c r="AS77" s="95" t="n">
        <f aca="false">SUM(P77:AR77)</f>
        <v>0</v>
      </c>
      <c r="AW77" s="95" t="n">
        <f aca="false">IF(+O77-AS77+AU77&gt;0,O77-AS77+AU77,0)</f>
        <v>0</v>
      </c>
      <c r="AX77" s="90"/>
      <c r="AY77" s="95" t="n">
        <f aca="false">+AW77+AS77</f>
        <v>0</v>
      </c>
      <c r="AZ77" s="90"/>
      <c r="BA77" s="95" t="n">
        <f aca="false">O77-AS77-AW77</f>
        <v>0</v>
      </c>
      <c r="BB77" s="136"/>
      <c r="BC77" s="95"/>
    </row>
    <row r="78" customFormat="false" ht="12.75" hidden="false" customHeight="false" outlineLevel="0" collapsed="false">
      <c r="A78" s="225"/>
      <c r="B78" s="132" t="s">
        <v>442</v>
      </c>
      <c r="C78" s="218"/>
      <c r="K78" s="133" t="n">
        <v>113880</v>
      </c>
      <c r="M78" s="133" t="n">
        <v>-113880</v>
      </c>
      <c r="O78" s="133"/>
      <c r="V78" s="136"/>
      <c r="AS78" s="95" t="n">
        <f aca="false">SUM(P78:AR78)</f>
        <v>0</v>
      </c>
      <c r="AW78" s="95" t="n">
        <f aca="false">IF(+O78-AS78+AU78&gt;0,O78-AS78+AU78,0)</f>
        <v>0</v>
      </c>
      <c r="AX78" s="90"/>
      <c r="AY78" s="95" t="n">
        <f aca="false">+AW78+AS78</f>
        <v>0</v>
      </c>
      <c r="AZ78" s="90"/>
      <c r="BA78" s="95" t="n">
        <f aca="false">O78-AS78-AW78</f>
        <v>0</v>
      </c>
      <c r="BB78" s="136"/>
      <c r="BC78" s="95"/>
    </row>
    <row r="79" customFormat="false" ht="12.75" hidden="false" customHeight="false" outlineLevel="0" collapsed="false">
      <c r="A79" s="225"/>
      <c r="B79" s="132" t="s">
        <v>467</v>
      </c>
      <c r="C79" s="218"/>
      <c r="E79" s="94" t="s">
        <v>173</v>
      </c>
      <c r="G79" s="94" t="s">
        <v>208</v>
      </c>
      <c r="I79" s="94" t="s">
        <v>174</v>
      </c>
      <c r="K79" s="138" t="n">
        <v>142000</v>
      </c>
      <c r="M79" s="138" t="n">
        <v>-142000</v>
      </c>
      <c r="O79" s="138" t="n">
        <v>0</v>
      </c>
      <c r="Q79" s="139" t="n">
        <v>0</v>
      </c>
      <c r="S79" s="139" t="n">
        <v>0</v>
      </c>
      <c r="U79" s="139"/>
      <c r="V79" s="136"/>
      <c r="AC79" s="139"/>
      <c r="AD79" s="140"/>
      <c r="AE79" s="139"/>
      <c r="AG79" s="139"/>
      <c r="AI79" s="139"/>
      <c r="AK79" s="139"/>
      <c r="AL79" s="139"/>
      <c r="AM79" s="139"/>
      <c r="AO79" s="139"/>
      <c r="AQ79" s="139"/>
      <c r="AS79" s="95" t="n">
        <f aca="false">SUM(P79:AR79)</f>
        <v>0</v>
      </c>
      <c r="AU79" s="139"/>
      <c r="AW79" s="140" t="n">
        <f aca="false">IF(+O79-AS79+AU79&gt;0,O79-AS79+AU79,0)</f>
        <v>0</v>
      </c>
      <c r="AX79" s="90"/>
      <c r="AY79" s="140" t="n">
        <f aca="false">+AW79+AS79</f>
        <v>0</v>
      </c>
      <c r="AZ79" s="90"/>
      <c r="BA79" s="140" t="n">
        <f aca="false">O79-AS79-AW79</f>
        <v>0</v>
      </c>
      <c r="BB79" s="136"/>
      <c r="BC79" s="95"/>
    </row>
    <row r="80" customFormat="false" ht="12.75" hidden="false" customHeight="false" outlineLevel="0" collapsed="false">
      <c r="A80" s="224"/>
      <c r="B80" s="226" t="s">
        <v>230</v>
      </c>
      <c r="C80" s="218"/>
      <c r="K80" s="24" t="n">
        <f aca="false">SUM(K55:K79)</f>
        <v>6572245</v>
      </c>
      <c r="L80" s="174"/>
      <c r="M80" s="24" t="n">
        <f aca="false">SUM(M55:M79)</f>
        <v>-2219282</v>
      </c>
      <c r="N80" s="174"/>
      <c r="O80" s="24" t="n">
        <f aca="false">SUM(O55:O79)</f>
        <v>4352963</v>
      </c>
      <c r="Q80" s="129" t="n">
        <f aca="false">SUM(Q55:Q79)</f>
        <v>31643</v>
      </c>
      <c r="R80" s="244"/>
      <c r="S80" s="129" t="n">
        <f aca="false">SUM(S55:S79)</f>
        <v>-15471.9</v>
      </c>
      <c r="T80" s="244"/>
      <c r="U80" s="129" t="n">
        <f aca="false">SUM(U55:U79)</f>
        <v>11290.7</v>
      </c>
      <c r="V80" s="136"/>
      <c r="W80" s="154" t="n">
        <f aca="false">SUM(W55:W79)</f>
        <v>177374.8</v>
      </c>
      <c r="X80" s="24"/>
      <c r="Y80" s="154" t="n">
        <f aca="false">SUM(Y55:Y79)</f>
        <v>0</v>
      </c>
      <c r="Z80" s="24"/>
      <c r="AA80" s="154" t="n">
        <f aca="false">SUM(AA55:AA79)</f>
        <v>0</v>
      </c>
      <c r="AB80" s="24"/>
      <c r="AC80" s="129" t="n">
        <f aca="false">SUM(AC55:AC79)</f>
        <v>0</v>
      </c>
      <c r="AD80" s="24"/>
      <c r="AE80" s="129" t="n">
        <f aca="false">SUM(AE55:AE79)</f>
        <v>0</v>
      </c>
      <c r="AF80" s="129"/>
      <c r="AG80" s="129" t="n">
        <f aca="false">SUM(AG55:AG79)</f>
        <v>-204837</v>
      </c>
      <c r="AH80" s="129"/>
      <c r="AI80" s="129" t="n">
        <f aca="false">SUM(AI55:AI79)</f>
        <v>0</v>
      </c>
      <c r="AJ80" s="129"/>
      <c r="AK80" s="129" t="n">
        <f aca="false">SUM(AK55:AK79)</f>
        <v>0</v>
      </c>
      <c r="AL80" s="129"/>
      <c r="AM80" s="129" t="n">
        <f aca="false">SUM(AM55:AM79)</f>
        <v>0</v>
      </c>
      <c r="AN80" s="129"/>
      <c r="AO80" s="129" t="n">
        <f aca="false">SUM(AO55:AO79)</f>
        <v>0</v>
      </c>
      <c r="AP80" s="129"/>
      <c r="AQ80" s="129" t="n">
        <f aca="false">SUM(AQ55:AQ79)</f>
        <v>0</v>
      </c>
      <c r="AS80" s="155" t="n">
        <f aca="false">SUM(AS55:AS79)</f>
        <v>-0.400000000012369</v>
      </c>
      <c r="AU80" s="129" t="n">
        <f aca="false">SUM(AU55:AU79)</f>
        <v>-4352963</v>
      </c>
      <c r="AW80" s="24" t="n">
        <f aca="false">SUM(AW55:AW79)</f>
        <v>0.500000000014552</v>
      </c>
      <c r="AX80" s="90"/>
      <c r="AY80" s="24" t="n">
        <f aca="false">SUM(AY55:AY79)</f>
        <v>0.100000000002183</v>
      </c>
      <c r="AZ80" s="90"/>
      <c r="BA80" s="24" t="n">
        <f aca="false">SUM(BA55:BA79)</f>
        <v>4352962.9</v>
      </c>
      <c r="BB80" s="136"/>
      <c r="BC80" s="24"/>
    </row>
    <row r="81" customFormat="false" ht="12.75" hidden="false" customHeight="false" outlineLevel="0" collapsed="false">
      <c r="A81" s="225"/>
      <c r="B81" s="132"/>
      <c r="C81" s="218"/>
      <c r="G81" s="90"/>
      <c r="V81" s="136"/>
      <c r="AX81" s="90"/>
      <c r="AZ81" s="90"/>
      <c r="BB81" s="95"/>
      <c r="BC81" s="95"/>
    </row>
    <row r="82" customFormat="false" ht="12.75" hidden="false" customHeight="false" outlineLevel="0" collapsed="false">
      <c r="A82" s="227" t="s">
        <v>468</v>
      </c>
      <c r="B82" s="132"/>
      <c r="C82" s="218"/>
      <c r="D82" s="174"/>
      <c r="E82" s="229"/>
      <c r="F82" s="174"/>
      <c r="G82" s="174"/>
      <c r="H82" s="174"/>
      <c r="I82" s="229"/>
      <c r="J82" s="174"/>
      <c r="L82" s="174"/>
      <c r="N82" s="174"/>
      <c r="P82" s="174"/>
      <c r="V82" s="136"/>
      <c r="AR82" s="174"/>
      <c r="AT82" s="174"/>
      <c r="AV82" s="174"/>
      <c r="AX82" s="174"/>
      <c r="AZ82" s="174"/>
      <c r="BB82" s="95"/>
      <c r="BC82" s="95"/>
      <c r="BE82" s="174"/>
      <c r="BF82" s="174"/>
      <c r="BG82" s="174"/>
      <c r="BH82" s="174"/>
      <c r="BI82" s="174"/>
      <c r="BJ82" s="174"/>
      <c r="BK82" s="174"/>
      <c r="BL82" s="174"/>
      <c r="BM82" s="174"/>
      <c r="BN82" s="174"/>
      <c r="BO82" s="174"/>
      <c r="BP82" s="174"/>
      <c r="BQ82" s="174"/>
      <c r="BR82" s="174"/>
      <c r="BS82" s="174"/>
      <c r="BT82" s="174"/>
      <c r="BU82" s="174"/>
      <c r="BV82" s="174"/>
      <c r="BW82" s="174"/>
      <c r="BX82" s="174"/>
      <c r="BY82" s="174"/>
      <c r="BZ82" s="174"/>
      <c r="CA82" s="174"/>
      <c r="CB82" s="174"/>
      <c r="CC82" s="174"/>
      <c r="CD82" s="174"/>
      <c r="CE82" s="174"/>
      <c r="CF82" s="174"/>
      <c r="CG82" s="174"/>
      <c r="CH82" s="174"/>
      <c r="CI82" s="174"/>
      <c r="CJ82" s="174"/>
      <c r="CK82" s="174"/>
      <c r="CL82" s="174"/>
      <c r="CM82" s="174"/>
      <c r="CN82" s="174"/>
      <c r="CO82" s="174"/>
      <c r="CP82" s="174"/>
      <c r="CQ82" s="174"/>
      <c r="CR82" s="174"/>
      <c r="CS82" s="174"/>
      <c r="CT82" s="174"/>
      <c r="CU82" s="174"/>
      <c r="CV82" s="174"/>
      <c r="CW82" s="174"/>
      <c r="CX82" s="174"/>
      <c r="CY82" s="174"/>
      <c r="CZ82" s="174"/>
      <c r="DA82" s="174"/>
      <c r="DB82" s="174"/>
      <c r="DC82" s="174"/>
      <c r="DD82" s="174"/>
      <c r="DE82" s="174"/>
      <c r="DF82" s="174"/>
      <c r="DG82" s="174"/>
      <c r="DH82" s="174"/>
      <c r="DI82" s="174"/>
      <c r="DJ82" s="174"/>
      <c r="DK82" s="174"/>
      <c r="DL82" s="174"/>
      <c r="DM82" s="174"/>
      <c r="DN82" s="174"/>
      <c r="DO82" s="174"/>
      <c r="DP82" s="174"/>
      <c r="DQ82" s="174"/>
      <c r="DR82" s="174"/>
      <c r="DS82" s="174"/>
      <c r="DT82" s="174"/>
      <c r="DU82" s="174"/>
      <c r="DV82" s="174"/>
      <c r="DW82" s="174"/>
      <c r="DX82" s="174"/>
      <c r="DY82" s="174"/>
      <c r="DZ82" s="174"/>
      <c r="EA82" s="174"/>
      <c r="EB82" s="174"/>
      <c r="EC82" s="174"/>
      <c r="ED82" s="174"/>
      <c r="EE82" s="174"/>
      <c r="EF82" s="174"/>
      <c r="EG82" s="174"/>
      <c r="EH82" s="174"/>
      <c r="EI82" s="174"/>
      <c r="EJ82" s="174"/>
      <c r="EK82" s="174"/>
      <c r="EL82" s="174"/>
      <c r="EM82" s="174"/>
      <c r="EN82" s="174"/>
      <c r="EO82" s="174"/>
      <c r="EP82" s="174"/>
      <c r="EQ82" s="174"/>
      <c r="ER82" s="174"/>
      <c r="ES82" s="174"/>
      <c r="ET82" s="174"/>
      <c r="EU82" s="174"/>
      <c r="EV82" s="174"/>
      <c r="EW82" s="174"/>
      <c r="EX82" s="174"/>
      <c r="EY82" s="174"/>
      <c r="EZ82" s="174"/>
      <c r="FA82" s="174"/>
      <c r="FB82" s="174"/>
      <c r="FC82" s="174"/>
      <c r="FD82" s="174"/>
      <c r="FE82" s="174"/>
      <c r="FF82" s="174"/>
      <c r="FG82" s="174"/>
      <c r="FH82" s="174"/>
      <c r="FI82" s="174"/>
      <c r="FJ82" s="174"/>
      <c r="FK82" s="174"/>
      <c r="FL82" s="174"/>
      <c r="FM82" s="174"/>
      <c r="FN82" s="174"/>
      <c r="FO82" s="174"/>
      <c r="FP82" s="174"/>
      <c r="FQ82" s="174"/>
      <c r="FR82" s="174"/>
      <c r="FS82" s="174"/>
      <c r="FT82" s="174"/>
      <c r="FU82" s="174"/>
      <c r="FV82" s="174"/>
      <c r="FW82" s="174"/>
      <c r="FX82" s="174"/>
      <c r="FY82" s="174"/>
      <c r="FZ82" s="174"/>
      <c r="GA82" s="174"/>
      <c r="GB82" s="174"/>
      <c r="GC82" s="174"/>
      <c r="GD82" s="174"/>
      <c r="GE82" s="174"/>
      <c r="GF82" s="174"/>
      <c r="GG82" s="174"/>
      <c r="GH82" s="174"/>
      <c r="GI82" s="174"/>
      <c r="GJ82" s="174"/>
      <c r="GK82" s="174"/>
      <c r="GL82" s="174"/>
      <c r="GM82" s="174"/>
      <c r="GN82" s="174"/>
      <c r="GO82" s="174"/>
      <c r="GP82" s="174"/>
      <c r="GQ82" s="174"/>
      <c r="GR82" s="174"/>
      <c r="GS82" s="174"/>
      <c r="GT82" s="174"/>
      <c r="GU82" s="174"/>
      <c r="GV82" s="174"/>
      <c r="GW82" s="174"/>
      <c r="GX82" s="174"/>
      <c r="GY82" s="174"/>
      <c r="GZ82" s="174"/>
      <c r="HA82" s="174"/>
      <c r="HB82" s="174"/>
      <c r="HC82" s="174"/>
      <c r="HD82" s="174"/>
      <c r="HE82" s="174"/>
      <c r="HF82" s="174"/>
      <c r="HG82" s="174"/>
      <c r="HH82" s="174"/>
      <c r="HI82" s="174"/>
      <c r="HJ82" s="174"/>
      <c r="HK82" s="174"/>
      <c r="HL82" s="174"/>
      <c r="HM82" s="174"/>
      <c r="HN82" s="174"/>
      <c r="HO82" s="174"/>
      <c r="HP82" s="174"/>
      <c r="HQ82" s="174"/>
      <c r="HR82" s="174"/>
      <c r="HS82" s="174"/>
      <c r="HT82" s="174"/>
      <c r="HU82" s="174"/>
      <c r="HV82" s="174"/>
      <c r="HW82" s="174"/>
      <c r="HX82" s="174"/>
      <c r="HY82" s="174"/>
      <c r="HZ82" s="174"/>
      <c r="IA82" s="174"/>
      <c r="IB82" s="174"/>
      <c r="IC82" s="174"/>
      <c r="ID82" s="174"/>
      <c r="IE82" s="174"/>
      <c r="IF82" s="174"/>
      <c r="IG82" s="174"/>
      <c r="IH82" s="174"/>
      <c r="II82" s="174"/>
      <c r="IJ82" s="174"/>
      <c r="IK82" s="174"/>
      <c r="IL82" s="174"/>
      <c r="IM82" s="174"/>
      <c r="IN82" s="174"/>
      <c r="IO82" s="174"/>
      <c r="IP82" s="174"/>
      <c r="IQ82" s="174"/>
      <c r="IR82" s="174"/>
      <c r="IS82" s="174"/>
      <c r="IT82" s="174"/>
      <c r="IU82" s="174"/>
      <c r="IV82" s="174"/>
      <c r="IW82" s="174"/>
    </row>
    <row r="83" customFormat="false" ht="12.75" hidden="false" customHeight="false" outlineLevel="0" collapsed="false">
      <c r="A83" s="227"/>
      <c r="B83" s="132" t="s">
        <v>469</v>
      </c>
      <c r="C83" s="218" t="s">
        <v>207</v>
      </c>
      <c r="D83" s="174"/>
      <c r="E83" s="229" t="s">
        <v>173</v>
      </c>
      <c r="F83" s="174"/>
      <c r="G83" s="229" t="s">
        <v>208</v>
      </c>
      <c r="H83" s="174"/>
      <c r="I83" s="229" t="s">
        <v>174</v>
      </c>
      <c r="J83" s="174"/>
      <c r="K83" s="133" t="n">
        <v>248807</v>
      </c>
      <c r="L83" s="174"/>
      <c r="M83" s="133" t="n">
        <v>-248807</v>
      </c>
      <c r="N83" s="174"/>
      <c r="O83" s="133" t="n">
        <f aca="false">SUM(K83:N83)</f>
        <v>0</v>
      </c>
      <c r="P83" s="174"/>
      <c r="Q83" s="96" t="n">
        <v>0</v>
      </c>
      <c r="S83" s="96" t="n">
        <v>0</v>
      </c>
      <c r="V83" s="136"/>
      <c r="AR83" s="174"/>
      <c r="AS83" s="95" t="n">
        <f aca="false">SUM(P83:AR83)</f>
        <v>0</v>
      </c>
      <c r="AT83" s="174"/>
      <c r="AV83" s="174"/>
      <c r="AW83" s="95" t="n">
        <f aca="false">IF(+O83-AS83+AU83&gt;0,O83-AS83+AU83,0)</f>
        <v>0</v>
      </c>
      <c r="AX83" s="174"/>
      <c r="AY83" s="95" t="n">
        <f aca="false">+AW83+AS83</f>
        <v>0</v>
      </c>
      <c r="AZ83" s="174"/>
      <c r="BA83" s="95" t="n">
        <f aca="false">O83-AS83-AW83</f>
        <v>0</v>
      </c>
      <c r="BB83" s="136"/>
      <c r="BC83" s="95"/>
      <c r="BE83" s="174"/>
      <c r="BF83" s="174"/>
      <c r="BG83" s="174"/>
      <c r="BH83" s="174"/>
      <c r="BI83" s="174"/>
      <c r="BJ83" s="174"/>
      <c r="BK83" s="174"/>
      <c r="BL83" s="174"/>
      <c r="BM83" s="174"/>
      <c r="BN83" s="174"/>
      <c r="BO83" s="174"/>
      <c r="BP83" s="174"/>
      <c r="BQ83" s="174"/>
      <c r="BR83" s="174"/>
      <c r="BS83" s="174"/>
      <c r="BT83" s="174"/>
      <c r="BU83" s="174"/>
      <c r="BV83" s="174"/>
      <c r="BW83" s="174"/>
      <c r="BX83" s="174"/>
      <c r="BY83" s="174"/>
      <c r="BZ83" s="174"/>
      <c r="CA83" s="174"/>
      <c r="CB83" s="174"/>
      <c r="CC83" s="174"/>
      <c r="CD83" s="174"/>
      <c r="CE83" s="174"/>
      <c r="CF83" s="174"/>
      <c r="CG83" s="174"/>
      <c r="CH83" s="174"/>
      <c r="CI83" s="174"/>
      <c r="CJ83" s="174"/>
      <c r="CK83" s="174"/>
      <c r="CL83" s="174"/>
      <c r="CM83" s="174"/>
      <c r="CN83" s="174"/>
      <c r="CO83" s="174"/>
      <c r="CP83" s="174"/>
      <c r="CQ83" s="174"/>
      <c r="CR83" s="174"/>
      <c r="CS83" s="174"/>
      <c r="CT83" s="174"/>
      <c r="CU83" s="174"/>
      <c r="CV83" s="174"/>
      <c r="CW83" s="174"/>
      <c r="CX83" s="174"/>
      <c r="CY83" s="174"/>
      <c r="CZ83" s="174"/>
      <c r="DA83" s="174"/>
      <c r="DB83" s="174"/>
      <c r="DC83" s="174"/>
      <c r="DD83" s="174"/>
      <c r="DE83" s="174"/>
      <c r="DF83" s="174"/>
      <c r="DG83" s="174"/>
      <c r="DH83" s="174"/>
      <c r="DI83" s="174"/>
      <c r="DJ83" s="174"/>
      <c r="DK83" s="174"/>
      <c r="DL83" s="174"/>
      <c r="DM83" s="174"/>
      <c r="DN83" s="174"/>
      <c r="DO83" s="174"/>
      <c r="DP83" s="174"/>
      <c r="DQ83" s="174"/>
      <c r="DR83" s="174"/>
      <c r="DS83" s="174"/>
      <c r="DT83" s="174"/>
      <c r="DU83" s="174"/>
      <c r="DV83" s="174"/>
      <c r="DW83" s="174"/>
      <c r="DX83" s="174"/>
      <c r="DY83" s="174"/>
      <c r="DZ83" s="174"/>
      <c r="EA83" s="174"/>
      <c r="EB83" s="174"/>
      <c r="EC83" s="174"/>
      <c r="ED83" s="174"/>
      <c r="EE83" s="174"/>
      <c r="EF83" s="174"/>
      <c r="EG83" s="174"/>
      <c r="EH83" s="174"/>
      <c r="EI83" s="174"/>
      <c r="EJ83" s="174"/>
      <c r="EK83" s="174"/>
      <c r="EL83" s="174"/>
      <c r="EM83" s="174"/>
      <c r="EN83" s="174"/>
      <c r="EO83" s="174"/>
      <c r="EP83" s="174"/>
      <c r="EQ83" s="174"/>
      <c r="ER83" s="174"/>
      <c r="ES83" s="174"/>
      <c r="ET83" s="174"/>
      <c r="EU83" s="174"/>
      <c r="EV83" s="174"/>
      <c r="EW83" s="174"/>
      <c r="EX83" s="174"/>
      <c r="EY83" s="174"/>
      <c r="EZ83" s="174"/>
      <c r="FA83" s="174"/>
      <c r="FB83" s="174"/>
      <c r="FC83" s="174"/>
      <c r="FD83" s="174"/>
      <c r="FE83" s="174"/>
      <c r="FF83" s="174"/>
      <c r="FG83" s="174"/>
      <c r="FH83" s="174"/>
      <c r="FI83" s="174"/>
      <c r="FJ83" s="174"/>
      <c r="FK83" s="174"/>
      <c r="FL83" s="174"/>
      <c r="FM83" s="174"/>
      <c r="FN83" s="174"/>
      <c r="FO83" s="174"/>
      <c r="FP83" s="174"/>
      <c r="FQ83" s="174"/>
      <c r="FR83" s="174"/>
      <c r="FS83" s="174"/>
      <c r="FT83" s="174"/>
      <c r="FU83" s="174"/>
      <c r="FV83" s="174"/>
      <c r="FW83" s="174"/>
      <c r="FX83" s="174"/>
      <c r="FY83" s="174"/>
      <c r="FZ83" s="174"/>
      <c r="GA83" s="174"/>
      <c r="GB83" s="174"/>
      <c r="GC83" s="174"/>
      <c r="GD83" s="174"/>
      <c r="GE83" s="174"/>
      <c r="GF83" s="174"/>
      <c r="GG83" s="174"/>
      <c r="GH83" s="174"/>
      <c r="GI83" s="174"/>
      <c r="GJ83" s="174"/>
      <c r="GK83" s="174"/>
      <c r="GL83" s="174"/>
      <c r="GM83" s="174"/>
      <c r="GN83" s="174"/>
      <c r="GO83" s="174"/>
      <c r="GP83" s="174"/>
      <c r="GQ83" s="174"/>
      <c r="GR83" s="174"/>
      <c r="GS83" s="174"/>
      <c r="GT83" s="174"/>
      <c r="GU83" s="174"/>
      <c r="GV83" s="174"/>
      <c r="GW83" s="174"/>
      <c r="GX83" s="174"/>
      <c r="GY83" s="174"/>
      <c r="GZ83" s="174"/>
      <c r="HA83" s="174"/>
      <c r="HB83" s="174"/>
      <c r="HC83" s="174"/>
      <c r="HD83" s="174"/>
      <c r="HE83" s="174"/>
      <c r="HF83" s="174"/>
      <c r="HG83" s="174"/>
      <c r="HH83" s="174"/>
      <c r="HI83" s="174"/>
      <c r="HJ83" s="174"/>
      <c r="HK83" s="174"/>
      <c r="HL83" s="174"/>
      <c r="HM83" s="174"/>
      <c r="HN83" s="174"/>
      <c r="HO83" s="174"/>
      <c r="HP83" s="174"/>
      <c r="HQ83" s="174"/>
      <c r="HR83" s="174"/>
      <c r="HS83" s="174"/>
      <c r="HT83" s="174"/>
      <c r="HU83" s="174"/>
      <c r="HV83" s="174"/>
      <c r="HW83" s="174"/>
      <c r="HX83" s="174"/>
      <c r="HY83" s="174"/>
      <c r="HZ83" s="174"/>
      <c r="IA83" s="174"/>
      <c r="IB83" s="174"/>
      <c r="IC83" s="174"/>
      <c r="ID83" s="174"/>
      <c r="IE83" s="174"/>
      <c r="IF83" s="174"/>
      <c r="IG83" s="174"/>
      <c r="IH83" s="174"/>
      <c r="II83" s="174"/>
      <c r="IJ83" s="174"/>
      <c r="IK83" s="174"/>
      <c r="IL83" s="174"/>
      <c r="IM83" s="174"/>
      <c r="IN83" s="174"/>
      <c r="IO83" s="174"/>
      <c r="IP83" s="174"/>
      <c r="IQ83" s="174"/>
      <c r="IR83" s="174"/>
      <c r="IS83" s="174"/>
      <c r="IT83" s="174"/>
      <c r="IU83" s="174"/>
      <c r="IV83" s="174"/>
      <c r="IW83" s="174"/>
    </row>
    <row r="84" customFormat="false" ht="12.75" hidden="false" customHeight="false" outlineLevel="0" collapsed="false">
      <c r="A84" s="227"/>
      <c r="B84" s="132" t="s">
        <v>470</v>
      </c>
      <c r="C84" s="218"/>
      <c r="D84" s="174"/>
      <c r="E84" s="229" t="s">
        <v>173</v>
      </c>
      <c r="F84" s="174"/>
      <c r="G84" s="229" t="s">
        <v>208</v>
      </c>
      <c r="H84" s="174"/>
      <c r="I84" s="229" t="s">
        <v>174</v>
      </c>
      <c r="J84" s="174"/>
      <c r="K84" s="133" t="n">
        <v>1024801</v>
      </c>
      <c r="L84" s="174"/>
      <c r="M84" s="133" t="n">
        <v>-1024801</v>
      </c>
      <c r="N84" s="174"/>
      <c r="O84" s="133" t="n">
        <f aca="false">SUM(K84:N84)</f>
        <v>0</v>
      </c>
      <c r="P84" s="174"/>
      <c r="Q84" s="96" t="n">
        <v>0</v>
      </c>
      <c r="S84" s="96" t="n">
        <v>0</v>
      </c>
      <c r="V84" s="136"/>
      <c r="AR84" s="174"/>
      <c r="AS84" s="95" t="n">
        <f aca="false">SUM(P84:AR84)</f>
        <v>0</v>
      </c>
      <c r="AT84" s="174"/>
      <c r="AV84" s="174"/>
      <c r="AW84" s="95" t="n">
        <f aca="false">IF(+O84-AS84+AU84&gt;0,O84-AS84+AU84,0)</f>
        <v>0</v>
      </c>
      <c r="AX84" s="174"/>
      <c r="AY84" s="95" t="n">
        <f aca="false">+AW84+AS84</f>
        <v>0</v>
      </c>
      <c r="AZ84" s="174"/>
      <c r="BA84" s="95" t="n">
        <f aca="false">O84-AS84-AW84</f>
        <v>0</v>
      </c>
      <c r="BB84" s="136"/>
      <c r="BC84" s="95"/>
      <c r="BE84" s="174"/>
      <c r="BF84" s="174"/>
      <c r="BG84" s="174"/>
      <c r="BH84" s="174"/>
      <c r="BI84" s="174"/>
      <c r="BJ84" s="174"/>
      <c r="BK84" s="174"/>
      <c r="BL84" s="174"/>
      <c r="BM84" s="174"/>
      <c r="BN84" s="174"/>
      <c r="BO84" s="174"/>
      <c r="BP84" s="174"/>
      <c r="BQ84" s="174"/>
      <c r="BR84" s="174"/>
      <c r="BS84" s="174"/>
      <c r="BT84" s="174"/>
      <c r="BU84" s="174"/>
      <c r="BV84" s="174"/>
      <c r="BW84" s="174"/>
      <c r="BX84" s="174"/>
      <c r="BY84" s="174"/>
      <c r="BZ84" s="174"/>
      <c r="CA84" s="174"/>
      <c r="CB84" s="174"/>
      <c r="CC84" s="174"/>
      <c r="CD84" s="174"/>
      <c r="CE84" s="174"/>
      <c r="CF84" s="174"/>
      <c r="CG84" s="174"/>
      <c r="CH84" s="174"/>
      <c r="CI84" s="174"/>
      <c r="CJ84" s="174"/>
      <c r="CK84" s="174"/>
      <c r="CL84" s="174"/>
      <c r="CM84" s="174"/>
      <c r="CN84" s="174"/>
      <c r="CO84" s="174"/>
      <c r="CP84" s="174"/>
      <c r="CQ84" s="174"/>
      <c r="CR84" s="174"/>
      <c r="CS84" s="174"/>
      <c r="CT84" s="174"/>
      <c r="CU84" s="174"/>
      <c r="CV84" s="174"/>
      <c r="CW84" s="174"/>
      <c r="CX84" s="174"/>
      <c r="CY84" s="174"/>
      <c r="CZ84" s="174"/>
      <c r="DA84" s="174"/>
      <c r="DB84" s="174"/>
      <c r="DC84" s="174"/>
      <c r="DD84" s="174"/>
      <c r="DE84" s="174"/>
      <c r="DF84" s="174"/>
      <c r="DG84" s="174"/>
      <c r="DH84" s="174"/>
      <c r="DI84" s="174"/>
      <c r="DJ84" s="174"/>
      <c r="DK84" s="174"/>
      <c r="DL84" s="174"/>
      <c r="DM84" s="174"/>
      <c r="DN84" s="174"/>
      <c r="DO84" s="174"/>
      <c r="DP84" s="174"/>
      <c r="DQ84" s="174"/>
      <c r="DR84" s="174"/>
      <c r="DS84" s="174"/>
      <c r="DT84" s="174"/>
      <c r="DU84" s="174"/>
      <c r="DV84" s="174"/>
      <c r="DW84" s="174"/>
      <c r="DX84" s="174"/>
      <c r="DY84" s="174"/>
      <c r="DZ84" s="174"/>
      <c r="EA84" s="174"/>
      <c r="EB84" s="174"/>
      <c r="EC84" s="174"/>
      <c r="ED84" s="174"/>
      <c r="EE84" s="174"/>
      <c r="EF84" s="174"/>
      <c r="EG84" s="174"/>
      <c r="EH84" s="174"/>
      <c r="EI84" s="174"/>
      <c r="EJ84" s="174"/>
      <c r="EK84" s="174"/>
      <c r="EL84" s="174"/>
      <c r="EM84" s="174"/>
      <c r="EN84" s="174"/>
      <c r="EO84" s="174"/>
      <c r="EP84" s="174"/>
      <c r="EQ84" s="174"/>
      <c r="ER84" s="174"/>
      <c r="ES84" s="174"/>
      <c r="ET84" s="174"/>
      <c r="EU84" s="174"/>
      <c r="EV84" s="174"/>
      <c r="EW84" s="174"/>
      <c r="EX84" s="174"/>
      <c r="EY84" s="174"/>
      <c r="EZ84" s="174"/>
      <c r="FA84" s="174"/>
      <c r="FB84" s="174"/>
      <c r="FC84" s="174"/>
      <c r="FD84" s="174"/>
      <c r="FE84" s="174"/>
      <c r="FF84" s="174"/>
      <c r="FG84" s="174"/>
      <c r="FH84" s="174"/>
      <c r="FI84" s="174"/>
      <c r="FJ84" s="174"/>
      <c r="FK84" s="174"/>
      <c r="FL84" s="174"/>
      <c r="FM84" s="174"/>
      <c r="FN84" s="174"/>
      <c r="FO84" s="174"/>
      <c r="FP84" s="174"/>
      <c r="FQ84" s="174"/>
      <c r="FR84" s="174"/>
      <c r="FS84" s="174"/>
      <c r="FT84" s="174"/>
      <c r="FU84" s="174"/>
      <c r="FV84" s="174"/>
      <c r="FW84" s="174"/>
      <c r="FX84" s="174"/>
      <c r="FY84" s="174"/>
      <c r="FZ84" s="174"/>
      <c r="GA84" s="174"/>
      <c r="GB84" s="174"/>
      <c r="GC84" s="174"/>
      <c r="GD84" s="174"/>
      <c r="GE84" s="174"/>
      <c r="GF84" s="174"/>
      <c r="GG84" s="174"/>
      <c r="GH84" s="174"/>
      <c r="GI84" s="174"/>
      <c r="GJ84" s="174"/>
      <c r="GK84" s="174"/>
      <c r="GL84" s="174"/>
      <c r="GM84" s="174"/>
      <c r="GN84" s="174"/>
      <c r="GO84" s="174"/>
      <c r="GP84" s="174"/>
      <c r="GQ84" s="174"/>
      <c r="GR84" s="174"/>
      <c r="GS84" s="174"/>
      <c r="GT84" s="174"/>
      <c r="GU84" s="174"/>
      <c r="GV84" s="174"/>
      <c r="GW84" s="174"/>
      <c r="GX84" s="174"/>
      <c r="GY84" s="174"/>
      <c r="GZ84" s="174"/>
      <c r="HA84" s="174"/>
      <c r="HB84" s="174"/>
      <c r="HC84" s="174"/>
      <c r="HD84" s="174"/>
      <c r="HE84" s="174"/>
      <c r="HF84" s="174"/>
      <c r="HG84" s="174"/>
      <c r="HH84" s="174"/>
      <c r="HI84" s="174"/>
      <c r="HJ84" s="174"/>
      <c r="HK84" s="174"/>
      <c r="HL84" s="174"/>
      <c r="HM84" s="174"/>
      <c r="HN84" s="174"/>
      <c r="HO84" s="174"/>
      <c r="HP84" s="174"/>
      <c r="HQ84" s="174"/>
      <c r="HR84" s="174"/>
      <c r="HS84" s="174"/>
      <c r="HT84" s="174"/>
      <c r="HU84" s="174"/>
      <c r="HV84" s="174"/>
      <c r="HW84" s="174"/>
      <c r="HX84" s="174"/>
      <c r="HY84" s="174"/>
      <c r="HZ84" s="174"/>
      <c r="IA84" s="174"/>
      <c r="IB84" s="174"/>
      <c r="IC84" s="174"/>
      <c r="ID84" s="174"/>
      <c r="IE84" s="174"/>
      <c r="IF84" s="174"/>
      <c r="IG84" s="174"/>
      <c r="IH84" s="174"/>
      <c r="II84" s="174"/>
      <c r="IJ84" s="174"/>
      <c r="IK84" s="174"/>
      <c r="IL84" s="174"/>
      <c r="IM84" s="174"/>
      <c r="IN84" s="174"/>
      <c r="IO84" s="174"/>
      <c r="IP84" s="174"/>
      <c r="IQ84" s="174"/>
      <c r="IR84" s="174"/>
      <c r="IS84" s="174"/>
      <c r="IT84" s="174"/>
      <c r="IU84" s="174"/>
      <c r="IV84" s="174"/>
      <c r="IW84" s="174"/>
    </row>
    <row r="85" customFormat="false" ht="12.75" hidden="false" customHeight="false" outlineLevel="0" collapsed="false">
      <c r="A85" s="225"/>
      <c r="B85" s="132" t="s">
        <v>471</v>
      </c>
      <c r="C85" s="218"/>
      <c r="D85" s="174"/>
      <c r="E85" s="229" t="s">
        <v>173</v>
      </c>
      <c r="F85" s="174"/>
      <c r="G85" s="229" t="s">
        <v>208</v>
      </c>
      <c r="H85" s="174"/>
      <c r="I85" s="229" t="s">
        <v>174</v>
      </c>
      <c r="J85" s="174"/>
      <c r="K85" s="133" t="n">
        <v>811714</v>
      </c>
      <c r="L85" s="174"/>
      <c r="M85" s="133" t="n">
        <v>-811714</v>
      </c>
      <c r="N85" s="174"/>
      <c r="O85" s="133" t="n">
        <f aca="false">SUM(K85:N85)</f>
        <v>0</v>
      </c>
      <c r="P85" s="174"/>
      <c r="Q85" s="96" t="n">
        <v>0</v>
      </c>
      <c r="S85" s="96" t="n">
        <v>0</v>
      </c>
      <c r="V85" s="136"/>
      <c r="AR85" s="174"/>
      <c r="AS85" s="95" t="n">
        <f aca="false">SUM(P85:AR85)</f>
        <v>0</v>
      </c>
      <c r="AT85" s="174"/>
      <c r="AV85" s="174"/>
      <c r="AW85" s="95" t="n">
        <f aca="false">IF(+O85-AS85+AU85&gt;0,O85-AS85+AU85,0)</f>
        <v>0</v>
      </c>
      <c r="AX85" s="174"/>
      <c r="AY85" s="95" t="n">
        <f aca="false">+AW85+AS85</f>
        <v>0</v>
      </c>
      <c r="AZ85" s="174"/>
      <c r="BA85" s="95" t="n">
        <f aca="false">O85-AS85-AW85</f>
        <v>0</v>
      </c>
      <c r="BB85" s="136"/>
      <c r="BC85" s="95"/>
      <c r="BE85" s="174"/>
      <c r="BF85" s="174"/>
      <c r="BG85" s="174"/>
      <c r="BH85" s="174"/>
      <c r="BI85" s="174"/>
      <c r="BJ85" s="174"/>
      <c r="BK85" s="174"/>
      <c r="BL85" s="174"/>
      <c r="BM85" s="174"/>
      <c r="BN85" s="174"/>
      <c r="BO85" s="174"/>
      <c r="BP85" s="174"/>
      <c r="BQ85" s="174"/>
      <c r="BR85" s="174"/>
      <c r="BS85" s="174"/>
      <c r="BT85" s="174"/>
      <c r="BU85" s="174"/>
      <c r="BV85" s="174"/>
      <c r="BW85" s="174"/>
      <c r="BX85" s="174"/>
      <c r="BY85" s="174"/>
      <c r="BZ85" s="174"/>
      <c r="CA85" s="174"/>
      <c r="CB85" s="174"/>
      <c r="CC85" s="174"/>
      <c r="CD85" s="174"/>
      <c r="CE85" s="174"/>
      <c r="CF85" s="174"/>
      <c r="CG85" s="174"/>
      <c r="CH85" s="174"/>
      <c r="CI85" s="174"/>
      <c r="CJ85" s="174"/>
      <c r="CK85" s="174"/>
      <c r="CL85" s="174"/>
      <c r="CM85" s="174"/>
      <c r="CN85" s="174"/>
      <c r="CO85" s="174"/>
      <c r="CP85" s="174"/>
      <c r="CQ85" s="174"/>
      <c r="CR85" s="174"/>
      <c r="CS85" s="174"/>
      <c r="CT85" s="174"/>
      <c r="CU85" s="174"/>
      <c r="CV85" s="174"/>
      <c r="CW85" s="174"/>
      <c r="CX85" s="174"/>
      <c r="CY85" s="174"/>
      <c r="CZ85" s="174"/>
      <c r="DA85" s="174"/>
      <c r="DB85" s="174"/>
      <c r="DC85" s="174"/>
      <c r="DD85" s="174"/>
      <c r="DE85" s="174"/>
      <c r="DF85" s="174"/>
      <c r="DG85" s="174"/>
      <c r="DH85" s="174"/>
      <c r="DI85" s="174"/>
      <c r="DJ85" s="174"/>
      <c r="DK85" s="174"/>
      <c r="DL85" s="174"/>
      <c r="DM85" s="174"/>
      <c r="DN85" s="174"/>
      <c r="DO85" s="174"/>
      <c r="DP85" s="174"/>
      <c r="DQ85" s="174"/>
      <c r="DR85" s="174"/>
      <c r="DS85" s="174"/>
      <c r="DT85" s="174"/>
      <c r="DU85" s="174"/>
      <c r="DV85" s="174"/>
      <c r="DW85" s="174"/>
      <c r="DX85" s="174"/>
      <c r="DY85" s="174"/>
      <c r="DZ85" s="174"/>
      <c r="EA85" s="174"/>
      <c r="EB85" s="174"/>
      <c r="EC85" s="174"/>
      <c r="ED85" s="174"/>
      <c r="EE85" s="174"/>
      <c r="EF85" s="174"/>
      <c r="EG85" s="174"/>
      <c r="EH85" s="174"/>
      <c r="EI85" s="174"/>
      <c r="EJ85" s="174"/>
      <c r="EK85" s="174"/>
      <c r="EL85" s="174"/>
      <c r="EM85" s="174"/>
      <c r="EN85" s="174"/>
      <c r="EO85" s="174"/>
      <c r="EP85" s="174"/>
      <c r="EQ85" s="174"/>
      <c r="ER85" s="174"/>
      <c r="ES85" s="174"/>
      <c r="ET85" s="174"/>
      <c r="EU85" s="174"/>
      <c r="EV85" s="174"/>
      <c r="EW85" s="174"/>
      <c r="EX85" s="174"/>
      <c r="EY85" s="174"/>
      <c r="EZ85" s="174"/>
      <c r="FA85" s="174"/>
      <c r="FB85" s="174"/>
      <c r="FC85" s="174"/>
      <c r="FD85" s="174"/>
      <c r="FE85" s="174"/>
      <c r="FF85" s="174"/>
      <c r="FG85" s="174"/>
      <c r="FH85" s="174"/>
      <c r="FI85" s="174"/>
      <c r="FJ85" s="174"/>
      <c r="FK85" s="174"/>
      <c r="FL85" s="174"/>
      <c r="FM85" s="174"/>
      <c r="FN85" s="174"/>
      <c r="FO85" s="174"/>
      <c r="FP85" s="174"/>
      <c r="FQ85" s="174"/>
      <c r="FR85" s="174"/>
      <c r="FS85" s="174"/>
      <c r="FT85" s="174"/>
      <c r="FU85" s="174"/>
      <c r="FV85" s="174"/>
      <c r="FW85" s="174"/>
      <c r="FX85" s="174"/>
      <c r="FY85" s="174"/>
      <c r="FZ85" s="174"/>
      <c r="GA85" s="174"/>
      <c r="GB85" s="174"/>
      <c r="GC85" s="174"/>
      <c r="GD85" s="174"/>
      <c r="GE85" s="174"/>
      <c r="GF85" s="174"/>
      <c r="GG85" s="174"/>
      <c r="GH85" s="174"/>
      <c r="GI85" s="174"/>
      <c r="GJ85" s="174"/>
      <c r="GK85" s="174"/>
      <c r="GL85" s="174"/>
      <c r="GM85" s="174"/>
      <c r="GN85" s="174"/>
      <c r="GO85" s="174"/>
      <c r="GP85" s="174"/>
      <c r="GQ85" s="174"/>
      <c r="GR85" s="174"/>
      <c r="GS85" s="174"/>
      <c r="GT85" s="174"/>
      <c r="GU85" s="174"/>
      <c r="GV85" s="174"/>
      <c r="GW85" s="174"/>
      <c r="GX85" s="174"/>
      <c r="GY85" s="174"/>
      <c r="GZ85" s="174"/>
      <c r="HA85" s="174"/>
      <c r="HB85" s="174"/>
      <c r="HC85" s="174"/>
      <c r="HD85" s="174"/>
      <c r="HE85" s="174"/>
      <c r="HF85" s="174"/>
      <c r="HG85" s="174"/>
      <c r="HH85" s="174"/>
      <c r="HI85" s="174"/>
      <c r="HJ85" s="174"/>
      <c r="HK85" s="174"/>
      <c r="HL85" s="174"/>
      <c r="HM85" s="174"/>
      <c r="HN85" s="174"/>
      <c r="HO85" s="174"/>
      <c r="HP85" s="174"/>
      <c r="HQ85" s="174"/>
      <c r="HR85" s="174"/>
      <c r="HS85" s="174"/>
      <c r="HT85" s="174"/>
      <c r="HU85" s="174"/>
      <c r="HV85" s="174"/>
      <c r="HW85" s="174"/>
      <c r="HX85" s="174"/>
      <c r="HY85" s="174"/>
      <c r="HZ85" s="174"/>
      <c r="IA85" s="174"/>
      <c r="IB85" s="174"/>
      <c r="IC85" s="174"/>
      <c r="ID85" s="174"/>
      <c r="IE85" s="174"/>
      <c r="IF85" s="174"/>
      <c r="IG85" s="174"/>
      <c r="IH85" s="174"/>
      <c r="II85" s="174"/>
      <c r="IJ85" s="174"/>
      <c r="IK85" s="174"/>
      <c r="IL85" s="174"/>
      <c r="IM85" s="174"/>
      <c r="IN85" s="174"/>
      <c r="IO85" s="174"/>
      <c r="IP85" s="174"/>
      <c r="IQ85" s="174"/>
      <c r="IR85" s="174"/>
      <c r="IS85" s="174"/>
      <c r="IT85" s="174"/>
      <c r="IU85" s="174"/>
      <c r="IV85" s="174"/>
      <c r="IW85" s="174"/>
    </row>
    <row r="86" customFormat="false" ht="12.75" hidden="false" customHeight="false" outlineLevel="0" collapsed="false">
      <c r="A86" s="225"/>
      <c r="B86" s="132" t="s">
        <v>246</v>
      </c>
      <c r="C86" s="218"/>
      <c r="D86" s="174"/>
      <c r="E86" s="229" t="s">
        <v>173</v>
      </c>
      <c r="F86" s="174"/>
      <c r="G86" s="229" t="s">
        <v>208</v>
      </c>
      <c r="H86" s="174"/>
      <c r="I86" s="229" t="s">
        <v>174</v>
      </c>
      <c r="J86" s="174"/>
      <c r="K86" s="138" t="n">
        <v>12470</v>
      </c>
      <c r="L86" s="174"/>
      <c r="M86" s="138" t="n">
        <v>-12470</v>
      </c>
      <c r="N86" s="174"/>
      <c r="O86" s="138" t="n">
        <f aca="false">SUM(K86:N86)</f>
        <v>0</v>
      </c>
      <c r="P86" s="174"/>
      <c r="Q86" s="139" t="n">
        <v>0</v>
      </c>
      <c r="S86" s="139" t="n">
        <v>0</v>
      </c>
      <c r="U86" s="139"/>
      <c r="V86" s="136"/>
      <c r="W86" s="139"/>
      <c r="Y86" s="139"/>
      <c r="AA86" s="139"/>
      <c r="AC86" s="139"/>
      <c r="AE86" s="139"/>
      <c r="AG86" s="139"/>
      <c r="AI86" s="139"/>
      <c r="AK86" s="139"/>
      <c r="AL86" s="139"/>
      <c r="AM86" s="139"/>
      <c r="AO86" s="139"/>
      <c r="AQ86" s="139"/>
      <c r="AR86" s="174"/>
      <c r="AS86" s="95" t="n">
        <f aca="false">SUM(P86:AR86)</f>
        <v>0</v>
      </c>
      <c r="AT86" s="174"/>
      <c r="AU86" s="139"/>
      <c r="AV86" s="174"/>
      <c r="AW86" s="140" t="n">
        <f aca="false">IF(+O86-AS86+AU86&gt;0,O86-AS86+AU86,0)</f>
        <v>0</v>
      </c>
      <c r="AX86" s="174"/>
      <c r="AY86" s="140" t="n">
        <f aca="false">+AW86+AS86</f>
        <v>0</v>
      </c>
      <c r="AZ86" s="174"/>
      <c r="BA86" s="140" t="n">
        <f aca="false">O86-AS86-AW86</f>
        <v>0</v>
      </c>
      <c r="BB86" s="136"/>
      <c r="BC86" s="95"/>
      <c r="BE86" s="174"/>
      <c r="BF86" s="174"/>
      <c r="BG86" s="174"/>
      <c r="BH86" s="174"/>
      <c r="BI86" s="174"/>
      <c r="BJ86" s="174"/>
      <c r="BK86" s="174"/>
      <c r="BL86" s="174"/>
      <c r="BM86" s="174"/>
      <c r="BN86" s="174"/>
      <c r="BO86" s="174"/>
      <c r="BP86" s="174"/>
      <c r="BQ86" s="174"/>
      <c r="BR86" s="174"/>
      <c r="BS86" s="174"/>
      <c r="BT86" s="174"/>
      <c r="BU86" s="174"/>
      <c r="BV86" s="174"/>
      <c r="BW86" s="174"/>
      <c r="BX86" s="174"/>
      <c r="BY86" s="174"/>
      <c r="BZ86" s="174"/>
      <c r="CA86" s="174"/>
      <c r="CB86" s="174"/>
      <c r="CC86" s="174"/>
      <c r="CD86" s="174"/>
      <c r="CE86" s="174"/>
      <c r="CF86" s="174"/>
      <c r="CG86" s="174"/>
      <c r="CH86" s="174"/>
      <c r="CI86" s="174"/>
      <c r="CJ86" s="174"/>
      <c r="CK86" s="174"/>
      <c r="CL86" s="174"/>
      <c r="CM86" s="174"/>
      <c r="CN86" s="174"/>
      <c r="CO86" s="174"/>
      <c r="CP86" s="174"/>
      <c r="CQ86" s="174"/>
      <c r="CR86" s="174"/>
      <c r="CS86" s="174"/>
      <c r="CT86" s="174"/>
      <c r="CU86" s="174"/>
      <c r="CV86" s="174"/>
      <c r="CW86" s="174"/>
      <c r="CX86" s="174"/>
      <c r="CY86" s="174"/>
      <c r="CZ86" s="174"/>
      <c r="DA86" s="174"/>
      <c r="DB86" s="174"/>
      <c r="DC86" s="174"/>
      <c r="DD86" s="174"/>
      <c r="DE86" s="174"/>
      <c r="DF86" s="174"/>
      <c r="DG86" s="174"/>
      <c r="DH86" s="174"/>
      <c r="DI86" s="174"/>
      <c r="DJ86" s="174"/>
      <c r="DK86" s="174"/>
      <c r="DL86" s="174"/>
      <c r="DM86" s="174"/>
      <c r="DN86" s="174"/>
      <c r="DO86" s="174"/>
      <c r="DP86" s="174"/>
      <c r="DQ86" s="174"/>
      <c r="DR86" s="174"/>
      <c r="DS86" s="174"/>
      <c r="DT86" s="174"/>
      <c r="DU86" s="174"/>
      <c r="DV86" s="174"/>
      <c r="DW86" s="174"/>
      <c r="DX86" s="174"/>
      <c r="DY86" s="174"/>
      <c r="DZ86" s="174"/>
      <c r="EA86" s="174"/>
      <c r="EB86" s="174"/>
      <c r="EC86" s="174"/>
      <c r="ED86" s="174"/>
      <c r="EE86" s="174"/>
      <c r="EF86" s="174"/>
      <c r="EG86" s="174"/>
      <c r="EH86" s="174"/>
      <c r="EI86" s="174"/>
      <c r="EJ86" s="174"/>
      <c r="EK86" s="174"/>
      <c r="EL86" s="174"/>
      <c r="EM86" s="174"/>
      <c r="EN86" s="174"/>
      <c r="EO86" s="174"/>
      <c r="EP86" s="174"/>
      <c r="EQ86" s="174"/>
      <c r="ER86" s="174"/>
      <c r="ES86" s="174"/>
      <c r="ET86" s="174"/>
      <c r="EU86" s="174"/>
      <c r="EV86" s="174"/>
      <c r="EW86" s="174"/>
      <c r="EX86" s="174"/>
      <c r="EY86" s="174"/>
      <c r="EZ86" s="174"/>
      <c r="FA86" s="174"/>
      <c r="FB86" s="174"/>
      <c r="FC86" s="174"/>
      <c r="FD86" s="174"/>
      <c r="FE86" s="174"/>
      <c r="FF86" s="174"/>
      <c r="FG86" s="174"/>
      <c r="FH86" s="174"/>
      <c r="FI86" s="174"/>
      <c r="FJ86" s="174"/>
      <c r="FK86" s="174"/>
      <c r="FL86" s="174"/>
      <c r="FM86" s="174"/>
      <c r="FN86" s="174"/>
      <c r="FO86" s="174"/>
      <c r="FP86" s="174"/>
      <c r="FQ86" s="174"/>
      <c r="FR86" s="174"/>
      <c r="FS86" s="174"/>
      <c r="FT86" s="174"/>
      <c r="FU86" s="174"/>
      <c r="FV86" s="174"/>
      <c r="FW86" s="174"/>
      <c r="FX86" s="174"/>
      <c r="FY86" s="174"/>
      <c r="FZ86" s="174"/>
      <c r="GA86" s="174"/>
      <c r="GB86" s="174"/>
      <c r="GC86" s="174"/>
      <c r="GD86" s="174"/>
      <c r="GE86" s="174"/>
      <c r="GF86" s="174"/>
      <c r="GG86" s="174"/>
      <c r="GH86" s="174"/>
      <c r="GI86" s="174"/>
      <c r="GJ86" s="174"/>
      <c r="GK86" s="174"/>
      <c r="GL86" s="174"/>
      <c r="GM86" s="174"/>
      <c r="GN86" s="174"/>
      <c r="GO86" s="174"/>
      <c r="GP86" s="174"/>
      <c r="GQ86" s="174"/>
      <c r="GR86" s="174"/>
      <c r="GS86" s="174"/>
      <c r="GT86" s="174"/>
      <c r="GU86" s="174"/>
      <c r="GV86" s="174"/>
      <c r="GW86" s="174"/>
      <c r="GX86" s="174"/>
      <c r="GY86" s="174"/>
      <c r="GZ86" s="174"/>
      <c r="HA86" s="174"/>
      <c r="HB86" s="174"/>
      <c r="HC86" s="174"/>
      <c r="HD86" s="174"/>
      <c r="HE86" s="174"/>
      <c r="HF86" s="174"/>
      <c r="HG86" s="174"/>
      <c r="HH86" s="174"/>
      <c r="HI86" s="174"/>
      <c r="HJ86" s="174"/>
      <c r="HK86" s="174"/>
      <c r="HL86" s="174"/>
      <c r="HM86" s="174"/>
      <c r="HN86" s="174"/>
      <c r="HO86" s="174"/>
      <c r="HP86" s="174"/>
      <c r="HQ86" s="174"/>
      <c r="HR86" s="174"/>
      <c r="HS86" s="174"/>
      <c r="HT86" s="174"/>
      <c r="HU86" s="174"/>
      <c r="HV86" s="174"/>
      <c r="HW86" s="174"/>
      <c r="HX86" s="174"/>
      <c r="HY86" s="174"/>
      <c r="HZ86" s="174"/>
      <c r="IA86" s="174"/>
      <c r="IB86" s="174"/>
      <c r="IC86" s="174"/>
      <c r="ID86" s="174"/>
      <c r="IE86" s="174"/>
      <c r="IF86" s="174"/>
      <c r="IG86" s="174"/>
      <c r="IH86" s="174"/>
      <c r="II86" s="174"/>
      <c r="IJ86" s="174"/>
      <c r="IK86" s="174"/>
      <c r="IL86" s="174"/>
      <c r="IM86" s="174"/>
      <c r="IN86" s="174"/>
      <c r="IO86" s="174"/>
      <c r="IP86" s="174"/>
      <c r="IQ86" s="174"/>
      <c r="IR86" s="174"/>
      <c r="IS86" s="174"/>
      <c r="IT86" s="174"/>
      <c r="IU86" s="174"/>
      <c r="IV86" s="174"/>
      <c r="IW86" s="174"/>
    </row>
    <row r="87" customFormat="false" ht="12.75" hidden="false" customHeight="false" outlineLevel="0" collapsed="false">
      <c r="A87" s="262"/>
      <c r="B87" s="226" t="s">
        <v>472</v>
      </c>
      <c r="C87" s="218"/>
      <c r="D87" s="174"/>
      <c r="E87" s="229"/>
      <c r="F87" s="174"/>
      <c r="G87" s="229"/>
      <c r="H87" s="174"/>
      <c r="I87" s="229"/>
      <c r="J87" s="174"/>
      <c r="K87" s="24" t="n">
        <f aca="false">SUM(K83:K86)</f>
        <v>2097792</v>
      </c>
      <c r="L87" s="174"/>
      <c r="M87" s="24" t="n">
        <f aca="false">SUM(M83:M86)</f>
        <v>-2097792</v>
      </c>
      <c r="N87" s="174"/>
      <c r="O87" s="24" t="n">
        <f aca="false">SUM(O83:O86)</f>
        <v>0</v>
      </c>
      <c r="P87" s="174"/>
      <c r="Q87" s="129" t="n">
        <f aca="false">SUM(Q83:Q86)</f>
        <v>0</v>
      </c>
      <c r="R87" s="244"/>
      <c r="S87" s="129" t="n">
        <f aca="false">SUM(S83:S86)</f>
        <v>0</v>
      </c>
      <c r="T87" s="244"/>
      <c r="U87" s="129" t="n">
        <f aca="false">SUM(U83:U86)</f>
        <v>0</v>
      </c>
      <c r="V87" s="136"/>
      <c r="W87" s="129" t="n">
        <f aca="false">SUM(W83:W86)</f>
        <v>0</v>
      </c>
      <c r="X87" s="24"/>
      <c r="Y87" s="129" t="n">
        <f aca="false">SUM(Y83:Y86)</f>
        <v>0</v>
      </c>
      <c r="Z87" s="24"/>
      <c r="AA87" s="129" t="n">
        <f aca="false">SUM(AA83:AA86)</f>
        <v>0</v>
      </c>
      <c r="AB87" s="24"/>
      <c r="AC87" s="129" t="n">
        <f aca="false">SUM(AC83:AC86)</f>
        <v>0</v>
      </c>
      <c r="AD87" s="24"/>
      <c r="AE87" s="129" t="n">
        <f aca="false">SUM(AE83:AE86)</f>
        <v>0</v>
      </c>
      <c r="AF87" s="129"/>
      <c r="AG87" s="129" t="n">
        <f aca="false">SUM(AG83:AG86)</f>
        <v>0</v>
      </c>
      <c r="AH87" s="129"/>
      <c r="AI87" s="129" t="n">
        <f aca="false">SUM(AI83:AI86)</f>
        <v>0</v>
      </c>
      <c r="AJ87" s="129"/>
      <c r="AK87" s="129" t="n">
        <f aca="false">SUM(AK83:AK86)</f>
        <v>0</v>
      </c>
      <c r="AL87" s="129"/>
      <c r="AM87" s="129" t="n">
        <f aca="false">SUM(AM83:AM86)</f>
        <v>0</v>
      </c>
      <c r="AN87" s="129"/>
      <c r="AO87" s="129" t="n">
        <f aca="false">SUM(AO83:AO86)</f>
        <v>0</v>
      </c>
      <c r="AP87" s="129"/>
      <c r="AQ87" s="129" t="n">
        <f aca="false">SUM(AQ83:AQ86)</f>
        <v>0</v>
      </c>
      <c r="AR87" s="174"/>
      <c r="AS87" s="155" t="n">
        <f aca="false">SUM(AS83:AS86)</f>
        <v>0</v>
      </c>
      <c r="AT87" s="174"/>
      <c r="AU87" s="129" t="n">
        <f aca="false">SUM(AU83:AU86)</f>
        <v>0</v>
      </c>
      <c r="AV87" s="174"/>
      <c r="AW87" s="24" t="n">
        <f aca="false">SUM(AW83:AW86)</f>
        <v>0</v>
      </c>
      <c r="AX87" s="174"/>
      <c r="AY87" s="24" t="n">
        <f aca="false">SUM(AY83:AY86)</f>
        <v>0</v>
      </c>
      <c r="AZ87" s="174"/>
      <c r="BA87" s="24" t="n">
        <f aca="false">SUM(BA83:BA86)</f>
        <v>0</v>
      </c>
      <c r="BB87" s="136"/>
      <c r="BC87" s="24"/>
      <c r="BE87" s="174"/>
      <c r="BF87" s="174"/>
      <c r="BG87" s="174"/>
      <c r="BH87" s="174"/>
      <c r="BI87" s="174"/>
      <c r="BJ87" s="174"/>
      <c r="BK87" s="174"/>
      <c r="BL87" s="174"/>
      <c r="BM87" s="174"/>
      <c r="BN87" s="174"/>
      <c r="BO87" s="174"/>
      <c r="BP87" s="174"/>
      <c r="BQ87" s="174"/>
      <c r="BR87" s="174"/>
      <c r="BS87" s="174"/>
      <c r="BT87" s="174"/>
      <c r="BU87" s="174"/>
      <c r="BV87" s="174"/>
      <c r="BW87" s="174"/>
      <c r="BX87" s="174"/>
      <c r="BY87" s="174"/>
      <c r="BZ87" s="174"/>
      <c r="CA87" s="174"/>
      <c r="CB87" s="174"/>
      <c r="CC87" s="174"/>
      <c r="CD87" s="174"/>
      <c r="CE87" s="174"/>
      <c r="CF87" s="174"/>
      <c r="CG87" s="174"/>
      <c r="CH87" s="174"/>
      <c r="CI87" s="174"/>
      <c r="CJ87" s="174"/>
      <c r="CK87" s="174"/>
      <c r="CL87" s="174"/>
      <c r="CM87" s="174"/>
      <c r="CN87" s="174"/>
      <c r="CO87" s="174"/>
      <c r="CP87" s="174"/>
      <c r="CQ87" s="174"/>
      <c r="CR87" s="174"/>
      <c r="CS87" s="174"/>
      <c r="CT87" s="174"/>
      <c r="CU87" s="174"/>
      <c r="CV87" s="174"/>
      <c r="CW87" s="174"/>
      <c r="CX87" s="174"/>
      <c r="CY87" s="174"/>
      <c r="CZ87" s="174"/>
      <c r="DA87" s="174"/>
      <c r="DB87" s="174"/>
      <c r="DC87" s="174"/>
      <c r="DD87" s="174"/>
      <c r="DE87" s="174"/>
      <c r="DF87" s="174"/>
      <c r="DG87" s="174"/>
      <c r="DH87" s="174"/>
      <c r="DI87" s="174"/>
      <c r="DJ87" s="174"/>
      <c r="DK87" s="174"/>
      <c r="DL87" s="174"/>
      <c r="DM87" s="174"/>
      <c r="DN87" s="174"/>
      <c r="DO87" s="174"/>
      <c r="DP87" s="174"/>
      <c r="DQ87" s="174"/>
      <c r="DR87" s="174"/>
      <c r="DS87" s="174"/>
      <c r="DT87" s="174"/>
      <c r="DU87" s="174"/>
      <c r="DV87" s="174"/>
      <c r="DW87" s="174"/>
      <c r="DX87" s="174"/>
      <c r="DY87" s="174"/>
      <c r="DZ87" s="174"/>
      <c r="EA87" s="174"/>
      <c r="EB87" s="174"/>
      <c r="EC87" s="174"/>
      <c r="ED87" s="174"/>
      <c r="EE87" s="174"/>
      <c r="EF87" s="174"/>
      <c r="EG87" s="174"/>
      <c r="EH87" s="174"/>
      <c r="EI87" s="174"/>
      <c r="EJ87" s="174"/>
      <c r="EK87" s="174"/>
      <c r="EL87" s="174"/>
      <c r="EM87" s="174"/>
      <c r="EN87" s="174"/>
      <c r="EO87" s="174"/>
      <c r="EP87" s="174"/>
      <c r="EQ87" s="174"/>
      <c r="ER87" s="174"/>
      <c r="ES87" s="174"/>
      <c r="ET87" s="174"/>
      <c r="EU87" s="174"/>
      <c r="EV87" s="174"/>
      <c r="EW87" s="174"/>
      <c r="EX87" s="174"/>
      <c r="EY87" s="174"/>
      <c r="EZ87" s="174"/>
      <c r="FA87" s="174"/>
      <c r="FB87" s="174"/>
      <c r="FC87" s="174"/>
      <c r="FD87" s="174"/>
      <c r="FE87" s="174"/>
      <c r="FF87" s="174"/>
      <c r="FG87" s="174"/>
      <c r="FH87" s="174"/>
      <c r="FI87" s="174"/>
      <c r="FJ87" s="174"/>
      <c r="FK87" s="174"/>
      <c r="FL87" s="174"/>
      <c r="FM87" s="174"/>
      <c r="FN87" s="174"/>
      <c r="FO87" s="174"/>
      <c r="FP87" s="174"/>
      <c r="FQ87" s="174"/>
      <c r="FR87" s="174"/>
      <c r="FS87" s="174"/>
      <c r="FT87" s="174"/>
      <c r="FU87" s="174"/>
      <c r="FV87" s="174"/>
      <c r="FW87" s="174"/>
      <c r="FX87" s="174"/>
      <c r="FY87" s="174"/>
      <c r="FZ87" s="174"/>
      <c r="GA87" s="174"/>
      <c r="GB87" s="174"/>
      <c r="GC87" s="174"/>
      <c r="GD87" s="174"/>
      <c r="GE87" s="174"/>
      <c r="GF87" s="174"/>
      <c r="GG87" s="174"/>
      <c r="GH87" s="174"/>
      <c r="GI87" s="174"/>
      <c r="GJ87" s="174"/>
      <c r="GK87" s="174"/>
      <c r="GL87" s="174"/>
      <c r="GM87" s="174"/>
      <c r="GN87" s="174"/>
      <c r="GO87" s="174"/>
      <c r="GP87" s="174"/>
      <c r="GQ87" s="174"/>
      <c r="GR87" s="174"/>
      <c r="GS87" s="174"/>
      <c r="GT87" s="174"/>
      <c r="GU87" s="174"/>
      <c r="GV87" s="174"/>
      <c r="GW87" s="174"/>
      <c r="GX87" s="174"/>
      <c r="GY87" s="174"/>
      <c r="GZ87" s="174"/>
      <c r="HA87" s="174"/>
      <c r="HB87" s="174"/>
      <c r="HC87" s="174"/>
      <c r="HD87" s="174"/>
      <c r="HE87" s="174"/>
      <c r="HF87" s="174"/>
      <c r="HG87" s="174"/>
      <c r="HH87" s="174"/>
      <c r="HI87" s="174"/>
      <c r="HJ87" s="174"/>
      <c r="HK87" s="174"/>
      <c r="HL87" s="174"/>
      <c r="HM87" s="174"/>
      <c r="HN87" s="174"/>
      <c r="HO87" s="174"/>
      <c r="HP87" s="174"/>
      <c r="HQ87" s="174"/>
      <c r="HR87" s="174"/>
      <c r="HS87" s="174"/>
      <c r="HT87" s="174"/>
      <c r="HU87" s="174"/>
      <c r="HV87" s="174"/>
      <c r="HW87" s="174"/>
      <c r="HX87" s="174"/>
      <c r="HY87" s="174"/>
      <c r="HZ87" s="174"/>
      <c r="IA87" s="174"/>
      <c r="IB87" s="174"/>
      <c r="IC87" s="174"/>
      <c r="ID87" s="174"/>
      <c r="IE87" s="174"/>
      <c r="IF87" s="174"/>
      <c r="IG87" s="174"/>
      <c r="IH87" s="174"/>
      <c r="II87" s="174"/>
      <c r="IJ87" s="174"/>
      <c r="IK87" s="174"/>
      <c r="IL87" s="174"/>
      <c r="IM87" s="174"/>
      <c r="IN87" s="174"/>
      <c r="IO87" s="174"/>
      <c r="IP87" s="174"/>
      <c r="IQ87" s="174"/>
      <c r="IR87" s="174"/>
      <c r="IS87" s="174"/>
      <c r="IT87" s="174"/>
      <c r="IU87" s="174"/>
      <c r="IV87" s="174"/>
      <c r="IW87" s="174"/>
    </row>
    <row r="88" customFormat="false" ht="12.75" hidden="false" customHeight="false" outlineLevel="0" collapsed="false">
      <c r="A88" s="225"/>
      <c r="B88" s="132"/>
      <c r="C88" s="218"/>
      <c r="D88" s="174"/>
      <c r="E88" s="229"/>
      <c r="F88" s="174"/>
      <c r="G88" s="174"/>
      <c r="H88" s="174"/>
      <c r="I88" s="229"/>
      <c r="J88" s="174"/>
      <c r="L88" s="174"/>
      <c r="N88" s="174"/>
      <c r="P88" s="174"/>
      <c r="V88" s="136"/>
      <c r="AR88" s="174"/>
      <c r="AT88" s="174"/>
      <c r="AV88" s="174"/>
      <c r="AX88" s="174"/>
      <c r="AZ88" s="174"/>
      <c r="BB88" s="95"/>
      <c r="BC88" s="95"/>
      <c r="BE88" s="174"/>
      <c r="BF88" s="174"/>
      <c r="BG88" s="174"/>
      <c r="BH88" s="174"/>
      <c r="BI88" s="174"/>
      <c r="BJ88" s="174"/>
      <c r="BK88" s="174"/>
      <c r="BL88" s="174"/>
      <c r="BM88" s="174"/>
      <c r="BN88" s="174"/>
      <c r="BO88" s="174"/>
      <c r="BP88" s="174"/>
      <c r="BQ88" s="174"/>
      <c r="BR88" s="174"/>
      <c r="BS88" s="174"/>
      <c r="BT88" s="174"/>
      <c r="BU88" s="174"/>
      <c r="BV88" s="174"/>
      <c r="BW88" s="174"/>
      <c r="BX88" s="174"/>
      <c r="BY88" s="174"/>
      <c r="BZ88" s="174"/>
      <c r="CA88" s="174"/>
      <c r="CB88" s="174"/>
      <c r="CC88" s="174"/>
      <c r="CD88" s="174"/>
      <c r="CE88" s="174"/>
      <c r="CF88" s="174"/>
      <c r="CG88" s="174"/>
      <c r="CH88" s="174"/>
      <c r="CI88" s="174"/>
      <c r="CJ88" s="174"/>
      <c r="CK88" s="174"/>
      <c r="CL88" s="174"/>
      <c r="CM88" s="174"/>
      <c r="CN88" s="174"/>
      <c r="CO88" s="174"/>
      <c r="CP88" s="174"/>
      <c r="CQ88" s="174"/>
      <c r="CR88" s="174"/>
      <c r="CS88" s="174"/>
      <c r="CT88" s="174"/>
      <c r="CU88" s="174"/>
      <c r="CV88" s="174"/>
      <c r="CW88" s="174"/>
      <c r="CX88" s="174"/>
      <c r="CY88" s="174"/>
      <c r="CZ88" s="174"/>
      <c r="DA88" s="174"/>
      <c r="DB88" s="174"/>
      <c r="DC88" s="174"/>
      <c r="DD88" s="174"/>
      <c r="DE88" s="174"/>
      <c r="DF88" s="174"/>
      <c r="DG88" s="174"/>
      <c r="DH88" s="174"/>
      <c r="DI88" s="174"/>
      <c r="DJ88" s="174"/>
      <c r="DK88" s="174"/>
      <c r="DL88" s="174"/>
      <c r="DM88" s="174"/>
      <c r="DN88" s="174"/>
      <c r="DO88" s="174"/>
      <c r="DP88" s="174"/>
      <c r="DQ88" s="174"/>
      <c r="DR88" s="174"/>
      <c r="DS88" s="174"/>
      <c r="DT88" s="174"/>
      <c r="DU88" s="174"/>
      <c r="DV88" s="174"/>
      <c r="DW88" s="174"/>
      <c r="DX88" s="174"/>
      <c r="DY88" s="174"/>
      <c r="DZ88" s="174"/>
      <c r="EA88" s="174"/>
      <c r="EB88" s="174"/>
      <c r="EC88" s="174"/>
      <c r="ED88" s="174"/>
      <c r="EE88" s="174"/>
      <c r="EF88" s="174"/>
      <c r="EG88" s="174"/>
      <c r="EH88" s="174"/>
      <c r="EI88" s="174"/>
      <c r="EJ88" s="174"/>
      <c r="EK88" s="174"/>
      <c r="EL88" s="174"/>
      <c r="EM88" s="174"/>
      <c r="EN88" s="174"/>
      <c r="EO88" s="174"/>
      <c r="EP88" s="174"/>
      <c r="EQ88" s="174"/>
      <c r="ER88" s="174"/>
      <c r="ES88" s="174"/>
      <c r="ET88" s="174"/>
      <c r="EU88" s="174"/>
      <c r="EV88" s="174"/>
      <c r="EW88" s="174"/>
      <c r="EX88" s="174"/>
      <c r="EY88" s="174"/>
      <c r="EZ88" s="174"/>
      <c r="FA88" s="174"/>
      <c r="FB88" s="174"/>
      <c r="FC88" s="174"/>
      <c r="FD88" s="174"/>
      <c r="FE88" s="174"/>
      <c r="FF88" s="174"/>
      <c r="FG88" s="174"/>
      <c r="FH88" s="174"/>
      <c r="FI88" s="174"/>
      <c r="FJ88" s="174"/>
      <c r="FK88" s="174"/>
      <c r="FL88" s="174"/>
      <c r="FM88" s="174"/>
      <c r="FN88" s="174"/>
      <c r="FO88" s="174"/>
      <c r="FP88" s="174"/>
      <c r="FQ88" s="174"/>
      <c r="FR88" s="174"/>
      <c r="FS88" s="174"/>
      <c r="FT88" s="174"/>
      <c r="FU88" s="174"/>
      <c r="FV88" s="174"/>
      <c r="FW88" s="174"/>
      <c r="FX88" s="174"/>
      <c r="FY88" s="174"/>
      <c r="FZ88" s="174"/>
      <c r="GA88" s="174"/>
      <c r="GB88" s="174"/>
      <c r="GC88" s="174"/>
      <c r="GD88" s="174"/>
      <c r="GE88" s="174"/>
      <c r="GF88" s="174"/>
      <c r="GG88" s="174"/>
      <c r="GH88" s="174"/>
      <c r="GI88" s="174"/>
      <c r="GJ88" s="174"/>
      <c r="GK88" s="174"/>
      <c r="GL88" s="174"/>
      <c r="GM88" s="174"/>
      <c r="GN88" s="174"/>
      <c r="GO88" s="174"/>
      <c r="GP88" s="174"/>
      <c r="GQ88" s="174"/>
      <c r="GR88" s="174"/>
      <c r="GS88" s="174"/>
      <c r="GT88" s="174"/>
      <c r="GU88" s="174"/>
      <c r="GV88" s="174"/>
      <c r="GW88" s="174"/>
      <c r="GX88" s="174"/>
      <c r="GY88" s="174"/>
      <c r="GZ88" s="174"/>
      <c r="HA88" s="174"/>
      <c r="HB88" s="174"/>
      <c r="HC88" s="174"/>
      <c r="HD88" s="174"/>
      <c r="HE88" s="174"/>
      <c r="HF88" s="174"/>
      <c r="HG88" s="174"/>
      <c r="HH88" s="174"/>
      <c r="HI88" s="174"/>
      <c r="HJ88" s="174"/>
      <c r="HK88" s="174"/>
      <c r="HL88" s="174"/>
      <c r="HM88" s="174"/>
      <c r="HN88" s="174"/>
      <c r="HO88" s="174"/>
      <c r="HP88" s="174"/>
      <c r="HQ88" s="174"/>
      <c r="HR88" s="174"/>
      <c r="HS88" s="174"/>
      <c r="HT88" s="174"/>
      <c r="HU88" s="174"/>
      <c r="HV88" s="174"/>
      <c r="HW88" s="174"/>
      <c r="HX88" s="174"/>
      <c r="HY88" s="174"/>
      <c r="HZ88" s="174"/>
      <c r="IA88" s="174"/>
      <c r="IB88" s="174"/>
      <c r="IC88" s="174"/>
      <c r="ID88" s="174"/>
      <c r="IE88" s="174"/>
      <c r="IF88" s="174"/>
      <c r="IG88" s="174"/>
      <c r="IH88" s="174"/>
      <c r="II88" s="174"/>
      <c r="IJ88" s="174"/>
      <c r="IK88" s="174"/>
      <c r="IL88" s="174"/>
      <c r="IM88" s="174"/>
      <c r="IN88" s="174"/>
      <c r="IO88" s="174"/>
      <c r="IP88" s="174"/>
      <c r="IQ88" s="174"/>
      <c r="IR88" s="174"/>
      <c r="IS88" s="174"/>
      <c r="IT88" s="174"/>
      <c r="IU88" s="174"/>
      <c r="IV88" s="174"/>
      <c r="IW88" s="174"/>
    </row>
    <row r="89" customFormat="false" ht="12.75" hidden="false" customHeight="false" outlineLevel="0" collapsed="false">
      <c r="A89" s="227" t="s">
        <v>231</v>
      </c>
      <c r="B89" s="132"/>
      <c r="C89" s="218"/>
      <c r="D89" s="174"/>
      <c r="E89" s="229"/>
      <c r="F89" s="174"/>
      <c r="G89" s="174"/>
      <c r="H89" s="174"/>
      <c r="I89" s="229"/>
      <c r="J89" s="174"/>
      <c r="L89" s="174"/>
      <c r="N89" s="174"/>
      <c r="P89" s="174"/>
      <c r="V89" s="136"/>
      <c r="AR89" s="174"/>
      <c r="AT89" s="174"/>
      <c r="AV89" s="174"/>
      <c r="AX89" s="174"/>
      <c r="AZ89" s="174"/>
      <c r="BB89" s="95"/>
      <c r="BC89" s="95"/>
      <c r="BE89" s="174"/>
      <c r="BF89" s="174"/>
      <c r="BG89" s="174"/>
      <c r="BH89" s="174"/>
      <c r="BI89" s="174"/>
      <c r="BJ89" s="174"/>
      <c r="BK89" s="174"/>
      <c r="BL89" s="174"/>
      <c r="BM89" s="174"/>
      <c r="BN89" s="174"/>
      <c r="BO89" s="174"/>
      <c r="BP89" s="174"/>
      <c r="BQ89" s="174"/>
      <c r="BR89" s="174"/>
      <c r="BS89" s="174"/>
      <c r="BT89" s="174"/>
      <c r="BU89" s="174"/>
      <c r="BV89" s="174"/>
      <c r="BW89" s="174"/>
      <c r="BX89" s="174"/>
      <c r="BY89" s="174"/>
      <c r="BZ89" s="174"/>
      <c r="CA89" s="174"/>
      <c r="CB89" s="174"/>
      <c r="CC89" s="174"/>
      <c r="CD89" s="174"/>
      <c r="CE89" s="174"/>
      <c r="CF89" s="174"/>
      <c r="CG89" s="174"/>
      <c r="CH89" s="174"/>
      <c r="CI89" s="174"/>
      <c r="CJ89" s="174"/>
      <c r="CK89" s="174"/>
      <c r="CL89" s="174"/>
      <c r="CM89" s="174"/>
      <c r="CN89" s="174"/>
      <c r="CO89" s="174"/>
      <c r="CP89" s="174"/>
      <c r="CQ89" s="174"/>
      <c r="CR89" s="174"/>
      <c r="CS89" s="174"/>
      <c r="CT89" s="174"/>
      <c r="CU89" s="174"/>
      <c r="CV89" s="174"/>
      <c r="CW89" s="174"/>
      <c r="CX89" s="174"/>
      <c r="CY89" s="174"/>
      <c r="CZ89" s="174"/>
      <c r="DA89" s="174"/>
      <c r="DB89" s="174"/>
      <c r="DC89" s="174"/>
      <c r="DD89" s="174"/>
      <c r="DE89" s="174"/>
      <c r="DF89" s="174"/>
      <c r="DG89" s="174"/>
      <c r="DH89" s="174"/>
      <c r="DI89" s="174"/>
      <c r="DJ89" s="174"/>
      <c r="DK89" s="174"/>
      <c r="DL89" s="174"/>
      <c r="DM89" s="174"/>
      <c r="DN89" s="174"/>
      <c r="DO89" s="174"/>
      <c r="DP89" s="174"/>
      <c r="DQ89" s="174"/>
      <c r="DR89" s="174"/>
      <c r="DS89" s="174"/>
      <c r="DT89" s="174"/>
      <c r="DU89" s="174"/>
      <c r="DV89" s="174"/>
      <c r="DW89" s="174"/>
      <c r="DX89" s="174"/>
      <c r="DY89" s="174"/>
      <c r="DZ89" s="174"/>
      <c r="EA89" s="174"/>
      <c r="EB89" s="174"/>
      <c r="EC89" s="174"/>
      <c r="ED89" s="174"/>
      <c r="EE89" s="174"/>
      <c r="EF89" s="174"/>
      <c r="EG89" s="174"/>
      <c r="EH89" s="174"/>
      <c r="EI89" s="174"/>
      <c r="EJ89" s="174"/>
      <c r="EK89" s="174"/>
      <c r="EL89" s="174"/>
      <c r="EM89" s="174"/>
      <c r="EN89" s="174"/>
      <c r="EO89" s="174"/>
      <c r="EP89" s="174"/>
      <c r="EQ89" s="174"/>
      <c r="ER89" s="174"/>
      <c r="ES89" s="174"/>
      <c r="ET89" s="174"/>
      <c r="EU89" s="174"/>
      <c r="EV89" s="174"/>
      <c r="EW89" s="174"/>
      <c r="EX89" s="174"/>
      <c r="EY89" s="174"/>
      <c r="EZ89" s="174"/>
      <c r="FA89" s="174"/>
      <c r="FB89" s="174"/>
      <c r="FC89" s="174"/>
      <c r="FD89" s="174"/>
      <c r="FE89" s="174"/>
      <c r="FF89" s="174"/>
      <c r="FG89" s="174"/>
      <c r="FH89" s="174"/>
      <c r="FI89" s="174"/>
      <c r="FJ89" s="174"/>
      <c r="FK89" s="174"/>
      <c r="FL89" s="174"/>
      <c r="FM89" s="174"/>
      <c r="FN89" s="174"/>
      <c r="FO89" s="174"/>
      <c r="FP89" s="174"/>
      <c r="FQ89" s="174"/>
      <c r="FR89" s="174"/>
      <c r="FS89" s="174"/>
      <c r="FT89" s="174"/>
      <c r="FU89" s="174"/>
      <c r="FV89" s="174"/>
      <c r="FW89" s="174"/>
      <c r="FX89" s="174"/>
      <c r="FY89" s="174"/>
      <c r="FZ89" s="174"/>
      <c r="GA89" s="174"/>
      <c r="GB89" s="174"/>
      <c r="GC89" s="174"/>
      <c r="GD89" s="174"/>
      <c r="GE89" s="174"/>
      <c r="GF89" s="174"/>
      <c r="GG89" s="174"/>
      <c r="GH89" s="174"/>
      <c r="GI89" s="174"/>
      <c r="GJ89" s="174"/>
      <c r="GK89" s="174"/>
      <c r="GL89" s="174"/>
      <c r="GM89" s="174"/>
      <c r="GN89" s="174"/>
      <c r="GO89" s="174"/>
      <c r="GP89" s="174"/>
      <c r="GQ89" s="174"/>
      <c r="GR89" s="174"/>
      <c r="GS89" s="174"/>
      <c r="GT89" s="174"/>
      <c r="GU89" s="174"/>
      <c r="GV89" s="174"/>
      <c r="GW89" s="174"/>
      <c r="GX89" s="174"/>
      <c r="GY89" s="174"/>
      <c r="GZ89" s="174"/>
      <c r="HA89" s="174"/>
      <c r="HB89" s="174"/>
      <c r="HC89" s="174"/>
      <c r="HD89" s="174"/>
      <c r="HE89" s="174"/>
      <c r="HF89" s="174"/>
      <c r="HG89" s="174"/>
      <c r="HH89" s="174"/>
      <c r="HI89" s="174"/>
      <c r="HJ89" s="174"/>
      <c r="HK89" s="174"/>
      <c r="HL89" s="174"/>
      <c r="HM89" s="174"/>
      <c r="HN89" s="174"/>
      <c r="HO89" s="174"/>
      <c r="HP89" s="174"/>
      <c r="HQ89" s="174"/>
      <c r="HR89" s="174"/>
      <c r="HS89" s="174"/>
      <c r="HT89" s="174"/>
      <c r="HU89" s="174"/>
      <c r="HV89" s="174"/>
      <c r="HW89" s="174"/>
      <c r="HX89" s="174"/>
      <c r="HY89" s="174"/>
      <c r="HZ89" s="174"/>
      <c r="IA89" s="174"/>
      <c r="IB89" s="174"/>
      <c r="IC89" s="174"/>
      <c r="ID89" s="174"/>
      <c r="IE89" s="174"/>
      <c r="IF89" s="174"/>
      <c r="IG89" s="174"/>
      <c r="IH89" s="174"/>
      <c r="II89" s="174"/>
      <c r="IJ89" s="174"/>
      <c r="IK89" s="174"/>
      <c r="IL89" s="174"/>
      <c r="IM89" s="174"/>
      <c r="IN89" s="174"/>
      <c r="IO89" s="174"/>
      <c r="IP89" s="174"/>
      <c r="IQ89" s="174"/>
      <c r="IR89" s="174"/>
      <c r="IS89" s="174"/>
      <c r="IT89" s="174"/>
      <c r="IU89" s="174"/>
      <c r="IV89" s="174"/>
      <c r="IW89" s="174"/>
    </row>
    <row r="90" customFormat="false" ht="12.75" hidden="false" customHeight="false" outlineLevel="0" collapsed="false">
      <c r="A90" s="227"/>
      <c r="B90" s="132" t="s">
        <v>232</v>
      </c>
      <c r="C90" s="218"/>
      <c r="D90" s="174"/>
      <c r="E90" s="229"/>
      <c r="F90" s="174"/>
      <c r="G90" s="174"/>
      <c r="H90" s="174"/>
      <c r="I90" s="229"/>
      <c r="J90" s="174"/>
      <c r="L90" s="174"/>
      <c r="M90" s="95" t="n">
        <v>462972</v>
      </c>
      <c r="N90" s="174"/>
      <c r="O90" s="133" t="n">
        <f aca="false">SUM(K90:N90)</f>
        <v>462972</v>
      </c>
      <c r="P90" s="174"/>
      <c r="V90" s="136"/>
      <c r="Y90" s="96" t="n">
        <v>386650</v>
      </c>
      <c r="AC90" s="96" t="n">
        <v>107869</v>
      </c>
      <c r="AE90" s="96" t="n">
        <v>-17093</v>
      </c>
      <c r="AG90" s="96" t="n">
        <f aca="false">99949+60366</f>
        <v>160315</v>
      </c>
      <c r="AI90" s="96" t="n">
        <v>63657</v>
      </c>
      <c r="AK90" s="96" t="n">
        <v>110496</v>
      </c>
      <c r="AM90" s="96" t="n">
        <v>7566</v>
      </c>
      <c r="AO90" s="96" t="n">
        <v>91598</v>
      </c>
      <c r="AR90" s="174"/>
      <c r="AS90" s="95" t="n">
        <f aca="false">SUM(P90:AR90)</f>
        <v>911058</v>
      </c>
      <c r="AT90" s="174"/>
      <c r="AU90" s="96" t="n">
        <f aca="false">503700-491386+28414+651300-255000+23957-104497+91598</f>
        <v>448086</v>
      </c>
      <c r="AV90" s="174"/>
      <c r="AW90" s="95" t="n">
        <f aca="false">IF(+O90-AS90+AU90&gt;0,O90-AS90+AU90,0)</f>
        <v>0</v>
      </c>
      <c r="AX90" s="174"/>
      <c r="AY90" s="95" t="n">
        <f aca="false">+AW90+AS90</f>
        <v>911058</v>
      </c>
      <c r="AZ90" s="174"/>
      <c r="BA90" s="95" t="n">
        <f aca="false">O90-AS90-AW90</f>
        <v>-448086</v>
      </c>
      <c r="BB90" s="95"/>
      <c r="BC90" s="95"/>
      <c r="BE90" s="174"/>
      <c r="BF90" s="174"/>
      <c r="BG90" s="174"/>
      <c r="BH90" s="174"/>
      <c r="BI90" s="174"/>
      <c r="BJ90" s="174"/>
      <c r="BK90" s="174"/>
      <c r="BL90" s="174"/>
      <c r="BM90" s="174"/>
      <c r="BN90" s="174"/>
      <c r="BO90" s="174"/>
      <c r="BP90" s="174"/>
      <c r="BQ90" s="174"/>
      <c r="BR90" s="174"/>
      <c r="BS90" s="174"/>
      <c r="BT90" s="174"/>
      <c r="BU90" s="174"/>
      <c r="BV90" s="174"/>
      <c r="BW90" s="174"/>
      <c r="BX90" s="174"/>
      <c r="BY90" s="174"/>
      <c r="BZ90" s="174"/>
      <c r="CA90" s="174"/>
      <c r="CB90" s="174"/>
      <c r="CC90" s="174"/>
      <c r="CD90" s="174"/>
      <c r="CE90" s="174"/>
      <c r="CF90" s="174"/>
      <c r="CG90" s="174"/>
      <c r="CH90" s="174"/>
      <c r="CI90" s="174"/>
      <c r="CJ90" s="174"/>
      <c r="CK90" s="174"/>
      <c r="CL90" s="174"/>
      <c r="CM90" s="174"/>
      <c r="CN90" s="174"/>
      <c r="CO90" s="174"/>
      <c r="CP90" s="174"/>
      <c r="CQ90" s="174"/>
      <c r="CR90" s="174"/>
      <c r="CS90" s="174"/>
      <c r="CT90" s="174"/>
      <c r="CU90" s="174"/>
      <c r="CV90" s="174"/>
      <c r="CW90" s="174"/>
      <c r="CX90" s="174"/>
      <c r="CY90" s="174"/>
      <c r="CZ90" s="174"/>
      <c r="DA90" s="174"/>
      <c r="DB90" s="174"/>
      <c r="DC90" s="174"/>
      <c r="DD90" s="174"/>
      <c r="DE90" s="174"/>
      <c r="DF90" s="174"/>
      <c r="DG90" s="174"/>
      <c r="DH90" s="174"/>
      <c r="DI90" s="174"/>
      <c r="DJ90" s="174"/>
      <c r="DK90" s="174"/>
      <c r="DL90" s="174"/>
      <c r="DM90" s="174"/>
      <c r="DN90" s="174"/>
      <c r="DO90" s="174"/>
      <c r="DP90" s="174"/>
      <c r="DQ90" s="174"/>
      <c r="DR90" s="174"/>
      <c r="DS90" s="174"/>
      <c r="DT90" s="174"/>
      <c r="DU90" s="174"/>
      <c r="DV90" s="174"/>
      <c r="DW90" s="174"/>
      <c r="DX90" s="174"/>
      <c r="DY90" s="174"/>
      <c r="DZ90" s="174"/>
      <c r="EA90" s="174"/>
      <c r="EB90" s="174"/>
      <c r="EC90" s="174"/>
      <c r="ED90" s="174"/>
      <c r="EE90" s="174"/>
      <c r="EF90" s="174"/>
      <c r="EG90" s="174"/>
      <c r="EH90" s="174"/>
      <c r="EI90" s="174"/>
      <c r="EJ90" s="174"/>
      <c r="EK90" s="174"/>
      <c r="EL90" s="174"/>
      <c r="EM90" s="174"/>
      <c r="EN90" s="174"/>
      <c r="EO90" s="174"/>
      <c r="EP90" s="174"/>
      <c r="EQ90" s="174"/>
      <c r="ER90" s="174"/>
      <c r="ES90" s="174"/>
      <c r="ET90" s="174"/>
      <c r="EU90" s="174"/>
      <c r="EV90" s="174"/>
      <c r="EW90" s="174"/>
      <c r="EX90" s="174"/>
      <c r="EY90" s="174"/>
      <c r="EZ90" s="174"/>
      <c r="FA90" s="174"/>
      <c r="FB90" s="174"/>
      <c r="FC90" s="174"/>
      <c r="FD90" s="174"/>
      <c r="FE90" s="174"/>
      <c r="FF90" s="174"/>
      <c r="FG90" s="174"/>
      <c r="FH90" s="174"/>
      <c r="FI90" s="174"/>
      <c r="FJ90" s="174"/>
      <c r="FK90" s="174"/>
      <c r="FL90" s="174"/>
      <c r="FM90" s="174"/>
      <c r="FN90" s="174"/>
      <c r="FO90" s="174"/>
      <c r="FP90" s="174"/>
      <c r="FQ90" s="174"/>
      <c r="FR90" s="174"/>
      <c r="FS90" s="174"/>
      <c r="FT90" s="174"/>
      <c r="FU90" s="174"/>
      <c r="FV90" s="174"/>
      <c r="FW90" s="174"/>
      <c r="FX90" s="174"/>
      <c r="FY90" s="174"/>
      <c r="FZ90" s="174"/>
      <c r="GA90" s="174"/>
      <c r="GB90" s="174"/>
      <c r="GC90" s="174"/>
      <c r="GD90" s="174"/>
      <c r="GE90" s="174"/>
      <c r="GF90" s="174"/>
      <c r="GG90" s="174"/>
      <c r="GH90" s="174"/>
      <c r="GI90" s="174"/>
      <c r="GJ90" s="174"/>
      <c r="GK90" s="174"/>
      <c r="GL90" s="174"/>
      <c r="GM90" s="174"/>
      <c r="GN90" s="174"/>
      <c r="GO90" s="174"/>
      <c r="GP90" s="174"/>
      <c r="GQ90" s="174"/>
      <c r="GR90" s="174"/>
      <c r="GS90" s="174"/>
      <c r="GT90" s="174"/>
      <c r="GU90" s="174"/>
      <c r="GV90" s="174"/>
      <c r="GW90" s="174"/>
      <c r="GX90" s="174"/>
      <c r="GY90" s="174"/>
      <c r="GZ90" s="174"/>
      <c r="HA90" s="174"/>
      <c r="HB90" s="174"/>
      <c r="HC90" s="174"/>
      <c r="HD90" s="174"/>
      <c r="HE90" s="174"/>
      <c r="HF90" s="174"/>
      <c r="HG90" s="174"/>
      <c r="HH90" s="174"/>
      <c r="HI90" s="174"/>
      <c r="HJ90" s="174"/>
      <c r="HK90" s="174"/>
      <c r="HL90" s="174"/>
      <c r="HM90" s="174"/>
      <c r="HN90" s="174"/>
      <c r="HO90" s="174"/>
      <c r="HP90" s="174"/>
      <c r="HQ90" s="174"/>
      <c r="HR90" s="174"/>
      <c r="HS90" s="174"/>
      <c r="HT90" s="174"/>
      <c r="HU90" s="174"/>
      <c r="HV90" s="174"/>
      <c r="HW90" s="174"/>
      <c r="HX90" s="174"/>
      <c r="HY90" s="174"/>
      <c r="HZ90" s="174"/>
      <c r="IA90" s="174"/>
      <c r="IB90" s="174"/>
      <c r="IC90" s="174"/>
      <c r="ID90" s="174"/>
      <c r="IE90" s="174"/>
      <c r="IF90" s="174"/>
      <c r="IG90" s="174"/>
      <c r="IH90" s="174"/>
      <c r="II90" s="174"/>
      <c r="IJ90" s="174"/>
      <c r="IK90" s="174"/>
      <c r="IL90" s="174"/>
      <c r="IM90" s="174"/>
      <c r="IN90" s="174"/>
      <c r="IO90" s="174"/>
      <c r="IP90" s="174"/>
      <c r="IQ90" s="174"/>
      <c r="IR90" s="174"/>
      <c r="IS90" s="174"/>
      <c r="IT90" s="174"/>
      <c r="IU90" s="174"/>
      <c r="IV90" s="174"/>
      <c r="IW90" s="174"/>
    </row>
    <row r="91" customFormat="false" ht="12.75" hidden="false" customHeight="false" outlineLevel="0" collapsed="false">
      <c r="A91" s="227"/>
      <c r="B91" s="132" t="s">
        <v>233</v>
      </c>
      <c r="C91" s="218"/>
      <c r="D91" s="174"/>
      <c r="E91" s="229"/>
      <c r="F91" s="174"/>
      <c r="G91" s="174"/>
      <c r="H91" s="174"/>
      <c r="I91" s="229"/>
      <c r="J91" s="174"/>
      <c r="L91" s="174"/>
      <c r="M91" s="95" t="n">
        <v>532399</v>
      </c>
      <c r="N91" s="174"/>
      <c r="O91" s="133" t="n">
        <f aca="false">SUM(K91:N91)</f>
        <v>532399</v>
      </c>
      <c r="P91" s="174"/>
      <c r="V91" s="136"/>
      <c r="AG91" s="96" t="n">
        <f aca="false">1400+16559</f>
        <v>17959</v>
      </c>
      <c r="AI91" s="96" t="n">
        <v>3946</v>
      </c>
      <c r="AK91" s="96" t="n">
        <v>45942</v>
      </c>
      <c r="AM91" s="96" t="n">
        <v>317486</v>
      </c>
      <c r="AO91" s="96" t="n">
        <v>-139173</v>
      </c>
      <c r="AR91" s="174"/>
      <c r="AS91" s="95" t="n">
        <f aca="false">SUM(P91:AR91)</f>
        <v>246160</v>
      </c>
      <c r="AT91" s="174"/>
      <c r="AU91" s="96" t="n">
        <f aca="false">479771-532399-100027-142782+8830-139173</f>
        <v>-425780</v>
      </c>
      <c r="AV91" s="174"/>
      <c r="AW91" s="136" t="n">
        <f aca="false">IF(+O91-AS91+AU91&gt;0,O91-AS91+AU91,0)</f>
        <v>0</v>
      </c>
      <c r="AX91" s="174"/>
      <c r="AY91" s="95" t="n">
        <f aca="false">+AW91+AS91</f>
        <v>246160</v>
      </c>
      <c r="AZ91" s="174"/>
      <c r="BA91" s="95" t="n">
        <f aca="false">O91-AS91-AW91</f>
        <v>286239</v>
      </c>
      <c r="BB91" s="95"/>
      <c r="BC91" s="95"/>
      <c r="BE91" s="174"/>
      <c r="BF91" s="174"/>
      <c r="BG91" s="174"/>
      <c r="BH91" s="174"/>
      <c r="BI91" s="174"/>
      <c r="BJ91" s="174"/>
      <c r="BK91" s="174"/>
      <c r="BL91" s="174"/>
      <c r="BM91" s="174"/>
      <c r="BN91" s="174"/>
      <c r="BO91" s="174"/>
      <c r="BP91" s="174"/>
      <c r="BQ91" s="174"/>
      <c r="BR91" s="174"/>
      <c r="BS91" s="174"/>
      <c r="BT91" s="174"/>
      <c r="BU91" s="174"/>
      <c r="BV91" s="174"/>
      <c r="BW91" s="174"/>
      <c r="BX91" s="174"/>
      <c r="BY91" s="174"/>
      <c r="BZ91" s="174"/>
      <c r="CA91" s="174"/>
      <c r="CB91" s="174"/>
      <c r="CC91" s="174"/>
      <c r="CD91" s="174"/>
      <c r="CE91" s="174"/>
      <c r="CF91" s="174"/>
      <c r="CG91" s="174"/>
      <c r="CH91" s="174"/>
      <c r="CI91" s="174"/>
      <c r="CJ91" s="174"/>
      <c r="CK91" s="174"/>
      <c r="CL91" s="174"/>
      <c r="CM91" s="174"/>
      <c r="CN91" s="174"/>
      <c r="CO91" s="174"/>
      <c r="CP91" s="174"/>
      <c r="CQ91" s="174"/>
      <c r="CR91" s="174"/>
      <c r="CS91" s="174"/>
      <c r="CT91" s="174"/>
      <c r="CU91" s="174"/>
      <c r="CV91" s="174"/>
      <c r="CW91" s="174"/>
      <c r="CX91" s="174"/>
      <c r="CY91" s="174"/>
      <c r="CZ91" s="174"/>
      <c r="DA91" s="174"/>
      <c r="DB91" s="174"/>
      <c r="DC91" s="174"/>
      <c r="DD91" s="174"/>
      <c r="DE91" s="174"/>
      <c r="DF91" s="174"/>
      <c r="DG91" s="174"/>
      <c r="DH91" s="174"/>
      <c r="DI91" s="174"/>
      <c r="DJ91" s="174"/>
      <c r="DK91" s="174"/>
      <c r="DL91" s="174"/>
      <c r="DM91" s="174"/>
      <c r="DN91" s="174"/>
      <c r="DO91" s="174"/>
      <c r="DP91" s="174"/>
      <c r="DQ91" s="174"/>
      <c r="DR91" s="174"/>
      <c r="DS91" s="174"/>
      <c r="DT91" s="174"/>
      <c r="DU91" s="174"/>
      <c r="DV91" s="174"/>
      <c r="DW91" s="174"/>
      <c r="DX91" s="174"/>
      <c r="DY91" s="174"/>
      <c r="DZ91" s="174"/>
      <c r="EA91" s="174"/>
      <c r="EB91" s="174"/>
      <c r="EC91" s="174"/>
      <c r="ED91" s="174"/>
      <c r="EE91" s="174"/>
      <c r="EF91" s="174"/>
      <c r="EG91" s="174"/>
      <c r="EH91" s="174"/>
      <c r="EI91" s="174"/>
      <c r="EJ91" s="174"/>
      <c r="EK91" s="174"/>
      <c r="EL91" s="174"/>
      <c r="EM91" s="174"/>
      <c r="EN91" s="174"/>
      <c r="EO91" s="174"/>
      <c r="EP91" s="174"/>
      <c r="EQ91" s="174"/>
      <c r="ER91" s="174"/>
      <c r="ES91" s="174"/>
      <c r="ET91" s="174"/>
      <c r="EU91" s="174"/>
      <c r="EV91" s="174"/>
      <c r="EW91" s="174"/>
      <c r="EX91" s="174"/>
      <c r="EY91" s="174"/>
      <c r="EZ91" s="174"/>
      <c r="FA91" s="174"/>
      <c r="FB91" s="174"/>
      <c r="FC91" s="174"/>
      <c r="FD91" s="174"/>
      <c r="FE91" s="174"/>
      <c r="FF91" s="174"/>
      <c r="FG91" s="174"/>
      <c r="FH91" s="174"/>
      <c r="FI91" s="174"/>
      <c r="FJ91" s="174"/>
      <c r="FK91" s="174"/>
      <c r="FL91" s="174"/>
      <c r="FM91" s="174"/>
      <c r="FN91" s="174"/>
      <c r="FO91" s="174"/>
      <c r="FP91" s="174"/>
      <c r="FQ91" s="174"/>
      <c r="FR91" s="174"/>
      <c r="FS91" s="174"/>
      <c r="FT91" s="174"/>
      <c r="FU91" s="174"/>
      <c r="FV91" s="174"/>
      <c r="FW91" s="174"/>
      <c r="FX91" s="174"/>
      <c r="FY91" s="174"/>
      <c r="FZ91" s="174"/>
      <c r="GA91" s="174"/>
      <c r="GB91" s="174"/>
      <c r="GC91" s="174"/>
      <c r="GD91" s="174"/>
      <c r="GE91" s="174"/>
      <c r="GF91" s="174"/>
      <c r="GG91" s="174"/>
      <c r="GH91" s="174"/>
      <c r="GI91" s="174"/>
      <c r="GJ91" s="174"/>
      <c r="GK91" s="174"/>
      <c r="GL91" s="174"/>
      <c r="GM91" s="174"/>
      <c r="GN91" s="174"/>
      <c r="GO91" s="174"/>
      <c r="GP91" s="174"/>
      <c r="GQ91" s="174"/>
      <c r="GR91" s="174"/>
      <c r="GS91" s="174"/>
      <c r="GT91" s="174"/>
      <c r="GU91" s="174"/>
      <c r="GV91" s="174"/>
      <c r="GW91" s="174"/>
      <c r="GX91" s="174"/>
      <c r="GY91" s="174"/>
      <c r="GZ91" s="174"/>
      <c r="HA91" s="174"/>
      <c r="HB91" s="174"/>
      <c r="HC91" s="174"/>
      <c r="HD91" s="174"/>
      <c r="HE91" s="174"/>
      <c r="HF91" s="174"/>
      <c r="HG91" s="174"/>
      <c r="HH91" s="174"/>
      <c r="HI91" s="174"/>
      <c r="HJ91" s="174"/>
      <c r="HK91" s="174"/>
      <c r="HL91" s="174"/>
      <c r="HM91" s="174"/>
      <c r="HN91" s="174"/>
      <c r="HO91" s="174"/>
      <c r="HP91" s="174"/>
      <c r="HQ91" s="174"/>
      <c r="HR91" s="174"/>
      <c r="HS91" s="174"/>
      <c r="HT91" s="174"/>
      <c r="HU91" s="174"/>
      <c r="HV91" s="174"/>
      <c r="HW91" s="174"/>
      <c r="HX91" s="174"/>
      <c r="HY91" s="174"/>
      <c r="HZ91" s="174"/>
      <c r="IA91" s="174"/>
      <c r="IB91" s="174"/>
      <c r="IC91" s="174"/>
      <c r="ID91" s="174"/>
      <c r="IE91" s="174"/>
      <c r="IF91" s="174"/>
      <c r="IG91" s="174"/>
      <c r="IH91" s="174"/>
      <c r="II91" s="174"/>
      <c r="IJ91" s="174"/>
      <c r="IK91" s="174"/>
      <c r="IL91" s="174"/>
      <c r="IM91" s="174"/>
      <c r="IN91" s="174"/>
      <c r="IO91" s="174"/>
      <c r="IP91" s="174"/>
      <c r="IQ91" s="174"/>
      <c r="IR91" s="174"/>
      <c r="IS91" s="174"/>
      <c r="IT91" s="174"/>
      <c r="IU91" s="174"/>
      <c r="IV91" s="174"/>
      <c r="IW91" s="174"/>
    </row>
    <row r="92" customFormat="false" ht="12.75" hidden="false" customHeight="false" outlineLevel="0" collapsed="false">
      <c r="A92" s="227"/>
      <c r="B92" s="132" t="s">
        <v>473</v>
      </c>
      <c r="C92" s="218"/>
      <c r="D92" s="174"/>
      <c r="E92" s="229"/>
      <c r="F92" s="174"/>
      <c r="G92" s="174"/>
      <c r="H92" s="174"/>
      <c r="I92" s="229"/>
      <c r="J92" s="174"/>
      <c r="L92" s="174"/>
      <c r="M92" s="95" t="n">
        <v>738930</v>
      </c>
      <c r="N92" s="174"/>
      <c r="O92" s="133" t="n">
        <f aca="false">SUM(K92:N92)</f>
        <v>738930</v>
      </c>
      <c r="P92" s="174"/>
      <c r="V92" s="136"/>
      <c r="Y92" s="96" t="n">
        <f aca="false">42454+34176</f>
        <v>76630</v>
      </c>
      <c r="AC92" s="96" t="n">
        <v>60189</v>
      </c>
      <c r="AE92" s="96" t="n">
        <v>138436</v>
      </c>
      <c r="AG92" s="96" t="n">
        <f aca="false">83234+56678</f>
        <v>139912</v>
      </c>
      <c r="AI92" s="96" t="n">
        <v>39882</v>
      </c>
      <c r="AK92" s="96" t="n">
        <v>14874</v>
      </c>
      <c r="AM92" s="96" t="n">
        <v>1468</v>
      </c>
      <c r="AR92" s="174"/>
      <c r="AS92" s="95" t="n">
        <f aca="false">SUM(P92:AR92)</f>
        <v>471391</v>
      </c>
      <c r="AT92" s="174"/>
      <c r="AU92" s="96" t="n">
        <f aca="false">-10000-83395-148747-2321+52164-75240</f>
        <v>-267539</v>
      </c>
      <c r="AV92" s="174"/>
      <c r="AW92" s="95" t="n">
        <f aca="false">IF(+O92-AS92+AU92&gt;0,O92-AS92+AU92,0)</f>
        <v>0</v>
      </c>
      <c r="AX92" s="174"/>
      <c r="AY92" s="95" t="n">
        <f aca="false">+AW92+AS92</f>
        <v>471391</v>
      </c>
      <c r="AZ92" s="174"/>
      <c r="BA92" s="95" t="n">
        <f aca="false">O92-AS92-AW92</f>
        <v>267539</v>
      </c>
      <c r="BB92" s="95"/>
      <c r="BC92" s="95"/>
      <c r="BE92" s="174"/>
      <c r="BF92" s="174"/>
      <c r="BG92" s="174"/>
      <c r="BH92" s="174"/>
      <c r="BI92" s="174"/>
      <c r="BJ92" s="174"/>
      <c r="BK92" s="174"/>
      <c r="BL92" s="174"/>
      <c r="BM92" s="174"/>
      <c r="BN92" s="174"/>
      <c r="BO92" s="174"/>
      <c r="BP92" s="174"/>
      <c r="BQ92" s="174"/>
      <c r="BR92" s="174"/>
      <c r="BS92" s="174"/>
      <c r="BT92" s="174"/>
      <c r="BU92" s="174"/>
      <c r="BV92" s="174"/>
      <c r="BW92" s="174"/>
      <c r="BX92" s="174"/>
      <c r="BY92" s="174"/>
      <c r="BZ92" s="174"/>
      <c r="CA92" s="174"/>
      <c r="CB92" s="174"/>
      <c r="CC92" s="174"/>
      <c r="CD92" s="174"/>
      <c r="CE92" s="174"/>
      <c r="CF92" s="174"/>
      <c r="CG92" s="174"/>
      <c r="CH92" s="174"/>
      <c r="CI92" s="174"/>
      <c r="CJ92" s="174"/>
      <c r="CK92" s="174"/>
      <c r="CL92" s="174"/>
      <c r="CM92" s="174"/>
      <c r="CN92" s="174"/>
      <c r="CO92" s="174"/>
      <c r="CP92" s="174"/>
      <c r="CQ92" s="174"/>
      <c r="CR92" s="174"/>
      <c r="CS92" s="174"/>
      <c r="CT92" s="174"/>
      <c r="CU92" s="174"/>
      <c r="CV92" s="174"/>
      <c r="CW92" s="174"/>
      <c r="CX92" s="174"/>
      <c r="CY92" s="174"/>
      <c r="CZ92" s="174"/>
      <c r="DA92" s="174"/>
      <c r="DB92" s="174"/>
      <c r="DC92" s="174"/>
      <c r="DD92" s="174"/>
      <c r="DE92" s="174"/>
      <c r="DF92" s="174"/>
      <c r="DG92" s="174"/>
      <c r="DH92" s="174"/>
      <c r="DI92" s="174"/>
      <c r="DJ92" s="174"/>
      <c r="DK92" s="174"/>
      <c r="DL92" s="174"/>
      <c r="DM92" s="174"/>
      <c r="DN92" s="174"/>
      <c r="DO92" s="174"/>
      <c r="DP92" s="174"/>
      <c r="DQ92" s="174"/>
      <c r="DR92" s="174"/>
      <c r="DS92" s="174"/>
      <c r="DT92" s="174"/>
      <c r="DU92" s="174"/>
      <c r="DV92" s="174"/>
      <c r="DW92" s="174"/>
      <c r="DX92" s="174"/>
      <c r="DY92" s="174"/>
      <c r="DZ92" s="174"/>
      <c r="EA92" s="174"/>
      <c r="EB92" s="174"/>
      <c r="EC92" s="174"/>
      <c r="ED92" s="174"/>
      <c r="EE92" s="174"/>
      <c r="EF92" s="174"/>
      <c r="EG92" s="174"/>
      <c r="EH92" s="174"/>
      <c r="EI92" s="174"/>
      <c r="EJ92" s="174"/>
      <c r="EK92" s="174"/>
      <c r="EL92" s="174"/>
      <c r="EM92" s="174"/>
      <c r="EN92" s="174"/>
      <c r="EO92" s="174"/>
      <c r="EP92" s="174"/>
      <c r="EQ92" s="174"/>
      <c r="ER92" s="174"/>
      <c r="ES92" s="174"/>
      <c r="ET92" s="174"/>
      <c r="EU92" s="174"/>
      <c r="EV92" s="174"/>
      <c r="EW92" s="174"/>
      <c r="EX92" s="174"/>
      <c r="EY92" s="174"/>
      <c r="EZ92" s="174"/>
      <c r="FA92" s="174"/>
      <c r="FB92" s="174"/>
      <c r="FC92" s="174"/>
      <c r="FD92" s="174"/>
      <c r="FE92" s="174"/>
      <c r="FF92" s="174"/>
      <c r="FG92" s="174"/>
      <c r="FH92" s="174"/>
      <c r="FI92" s="174"/>
      <c r="FJ92" s="174"/>
      <c r="FK92" s="174"/>
      <c r="FL92" s="174"/>
      <c r="FM92" s="174"/>
      <c r="FN92" s="174"/>
      <c r="FO92" s="174"/>
      <c r="FP92" s="174"/>
      <c r="FQ92" s="174"/>
      <c r="FR92" s="174"/>
      <c r="FS92" s="174"/>
      <c r="FT92" s="174"/>
      <c r="FU92" s="174"/>
      <c r="FV92" s="174"/>
      <c r="FW92" s="174"/>
      <c r="FX92" s="174"/>
      <c r="FY92" s="174"/>
      <c r="FZ92" s="174"/>
      <c r="GA92" s="174"/>
      <c r="GB92" s="174"/>
      <c r="GC92" s="174"/>
      <c r="GD92" s="174"/>
      <c r="GE92" s="174"/>
      <c r="GF92" s="174"/>
      <c r="GG92" s="174"/>
      <c r="GH92" s="174"/>
      <c r="GI92" s="174"/>
      <c r="GJ92" s="174"/>
      <c r="GK92" s="174"/>
      <c r="GL92" s="174"/>
      <c r="GM92" s="174"/>
      <c r="GN92" s="174"/>
      <c r="GO92" s="174"/>
      <c r="GP92" s="174"/>
      <c r="GQ92" s="174"/>
      <c r="GR92" s="174"/>
      <c r="GS92" s="174"/>
      <c r="GT92" s="174"/>
      <c r="GU92" s="174"/>
      <c r="GV92" s="174"/>
      <c r="GW92" s="174"/>
      <c r="GX92" s="174"/>
      <c r="GY92" s="174"/>
      <c r="GZ92" s="174"/>
      <c r="HA92" s="174"/>
      <c r="HB92" s="174"/>
      <c r="HC92" s="174"/>
      <c r="HD92" s="174"/>
      <c r="HE92" s="174"/>
      <c r="HF92" s="174"/>
      <c r="HG92" s="174"/>
      <c r="HH92" s="174"/>
      <c r="HI92" s="174"/>
      <c r="HJ92" s="174"/>
      <c r="HK92" s="174"/>
      <c r="HL92" s="174"/>
      <c r="HM92" s="174"/>
      <c r="HN92" s="174"/>
      <c r="HO92" s="174"/>
      <c r="HP92" s="174"/>
      <c r="HQ92" s="174"/>
      <c r="HR92" s="174"/>
      <c r="HS92" s="174"/>
      <c r="HT92" s="174"/>
      <c r="HU92" s="174"/>
      <c r="HV92" s="174"/>
      <c r="HW92" s="174"/>
      <c r="HX92" s="174"/>
      <c r="HY92" s="174"/>
      <c r="HZ92" s="174"/>
      <c r="IA92" s="174"/>
      <c r="IB92" s="174"/>
      <c r="IC92" s="174"/>
      <c r="ID92" s="174"/>
      <c r="IE92" s="174"/>
      <c r="IF92" s="174"/>
      <c r="IG92" s="174"/>
      <c r="IH92" s="174"/>
      <c r="II92" s="174"/>
      <c r="IJ92" s="174"/>
      <c r="IK92" s="174"/>
      <c r="IL92" s="174"/>
      <c r="IM92" s="174"/>
      <c r="IN92" s="174"/>
      <c r="IO92" s="174"/>
      <c r="IP92" s="174"/>
      <c r="IQ92" s="174"/>
      <c r="IR92" s="174"/>
      <c r="IS92" s="174"/>
      <c r="IT92" s="174"/>
      <c r="IU92" s="174"/>
      <c r="IV92" s="174"/>
      <c r="IW92" s="174"/>
    </row>
    <row r="93" customFormat="false" ht="12.75" hidden="false" customHeight="false" outlineLevel="0" collapsed="false">
      <c r="A93" s="227"/>
      <c r="B93" s="132" t="s">
        <v>474</v>
      </c>
      <c r="C93" s="218"/>
      <c r="D93" s="174"/>
      <c r="E93" s="229"/>
      <c r="F93" s="174"/>
      <c r="G93" s="174"/>
      <c r="H93" s="174"/>
      <c r="I93" s="229"/>
      <c r="J93" s="174"/>
      <c r="L93" s="174"/>
      <c r="M93" s="95" t="n">
        <v>401168</v>
      </c>
      <c r="N93" s="174"/>
      <c r="O93" s="133" t="n">
        <f aca="false">SUM(K93:N93)</f>
        <v>401168</v>
      </c>
      <c r="P93" s="174"/>
      <c r="V93" s="136"/>
      <c r="Y93" s="96" t="n">
        <f aca="false">14804+1569</f>
        <v>16373</v>
      </c>
      <c r="AC93" s="96" t="n">
        <v>46593</v>
      </c>
      <c r="AE93" s="96" t="n">
        <v>126396</v>
      </c>
      <c r="AG93" s="96" t="n">
        <f aca="false">48311+12581</f>
        <v>60892</v>
      </c>
      <c r="AI93" s="96" t="n">
        <v>4047</v>
      </c>
      <c r="AK93" s="96" t="n">
        <v>4220</v>
      </c>
      <c r="AM93" s="96" t="n">
        <v>69</v>
      </c>
      <c r="AO93" s="96" t="n">
        <v>2229</v>
      </c>
      <c r="AR93" s="174"/>
      <c r="AS93" s="95" t="n">
        <f aca="false">SUM(P93:AR93)</f>
        <v>260819</v>
      </c>
      <c r="AT93" s="174"/>
      <c r="AU93" s="96" t="n">
        <f aca="false">371835-401168-21811-80259+5424-832-15767+2229</f>
        <v>-140349</v>
      </c>
      <c r="AV93" s="174"/>
      <c r="AW93" s="95" t="n">
        <f aca="false">IF(+O93-AS93+AU93&gt;0,O93-AS93+AU93,0)</f>
        <v>0</v>
      </c>
      <c r="AX93" s="174"/>
      <c r="AY93" s="95" t="n">
        <f aca="false">+AW93+AS93</f>
        <v>260819</v>
      </c>
      <c r="AZ93" s="174"/>
      <c r="BA93" s="95" t="n">
        <f aca="false">O93-AS93-AW93</f>
        <v>140349</v>
      </c>
      <c r="BB93" s="95"/>
      <c r="BC93" s="95"/>
      <c r="BE93" s="174"/>
      <c r="BF93" s="174"/>
      <c r="BG93" s="174"/>
      <c r="BH93" s="174"/>
      <c r="BI93" s="174"/>
      <c r="BJ93" s="174"/>
      <c r="BK93" s="174"/>
      <c r="BL93" s="174"/>
      <c r="BM93" s="174"/>
      <c r="BN93" s="174"/>
      <c r="BO93" s="174"/>
      <c r="BP93" s="174"/>
      <c r="BQ93" s="174"/>
      <c r="BR93" s="174"/>
      <c r="BS93" s="174"/>
      <c r="BT93" s="174"/>
      <c r="BU93" s="174"/>
      <c r="BV93" s="174"/>
      <c r="BW93" s="174"/>
      <c r="BX93" s="174"/>
      <c r="BY93" s="174"/>
      <c r="BZ93" s="174"/>
      <c r="CA93" s="174"/>
      <c r="CB93" s="174"/>
      <c r="CC93" s="174"/>
      <c r="CD93" s="174"/>
      <c r="CE93" s="174"/>
      <c r="CF93" s="174"/>
      <c r="CG93" s="174"/>
      <c r="CH93" s="174"/>
      <c r="CI93" s="174"/>
      <c r="CJ93" s="174"/>
      <c r="CK93" s="174"/>
      <c r="CL93" s="174"/>
      <c r="CM93" s="174"/>
      <c r="CN93" s="174"/>
      <c r="CO93" s="174"/>
      <c r="CP93" s="174"/>
      <c r="CQ93" s="174"/>
      <c r="CR93" s="174"/>
      <c r="CS93" s="174"/>
      <c r="CT93" s="174"/>
      <c r="CU93" s="174"/>
      <c r="CV93" s="174"/>
      <c r="CW93" s="174"/>
      <c r="CX93" s="174"/>
      <c r="CY93" s="174"/>
      <c r="CZ93" s="174"/>
      <c r="DA93" s="174"/>
      <c r="DB93" s="174"/>
      <c r="DC93" s="174"/>
      <c r="DD93" s="174"/>
      <c r="DE93" s="174"/>
      <c r="DF93" s="174"/>
      <c r="DG93" s="174"/>
      <c r="DH93" s="174"/>
      <c r="DI93" s="174"/>
      <c r="DJ93" s="174"/>
      <c r="DK93" s="174"/>
      <c r="DL93" s="174"/>
      <c r="DM93" s="174"/>
      <c r="DN93" s="174"/>
      <c r="DO93" s="174"/>
      <c r="DP93" s="174"/>
      <c r="DQ93" s="174"/>
      <c r="DR93" s="174"/>
      <c r="DS93" s="174"/>
      <c r="DT93" s="174"/>
      <c r="DU93" s="174"/>
      <c r="DV93" s="174"/>
      <c r="DW93" s="174"/>
      <c r="DX93" s="174"/>
      <c r="DY93" s="174"/>
      <c r="DZ93" s="174"/>
      <c r="EA93" s="174"/>
      <c r="EB93" s="174"/>
      <c r="EC93" s="174"/>
      <c r="ED93" s="174"/>
      <c r="EE93" s="174"/>
      <c r="EF93" s="174"/>
      <c r="EG93" s="174"/>
      <c r="EH93" s="174"/>
      <c r="EI93" s="174"/>
      <c r="EJ93" s="174"/>
      <c r="EK93" s="174"/>
      <c r="EL93" s="174"/>
      <c r="EM93" s="174"/>
      <c r="EN93" s="174"/>
      <c r="EO93" s="174"/>
      <c r="EP93" s="174"/>
      <c r="EQ93" s="174"/>
      <c r="ER93" s="174"/>
      <c r="ES93" s="174"/>
      <c r="ET93" s="174"/>
      <c r="EU93" s="174"/>
      <c r="EV93" s="174"/>
      <c r="EW93" s="174"/>
      <c r="EX93" s="174"/>
      <c r="EY93" s="174"/>
      <c r="EZ93" s="174"/>
      <c r="FA93" s="174"/>
      <c r="FB93" s="174"/>
      <c r="FC93" s="174"/>
      <c r="FD93" s="174"/>
      <c r="FE93" s="174"/>
      <c r="FF93" s="174"/>
      <c r="FG93" s="174"/>
      <c r="FH93" s="174"/>
      <c r="FI93" s="174"/>
      <c r="FJ93" s="174"/>
      <c r="FK93" s="174"/>
      <c r="FL93" s="174"/>
      <c r="FM93" s="174"/>
      <c r="FN93" s="174"/>
      <c r="FO93" s="174"/>
      <c r="FP93" s="174"/>
      <c r="FQ93" s="174"/>
      <c r="FR93" s="174"/>
      <c r="FS93" s="174"/>
      <c r="FT93" s="174"/>
      <c r="FU93" s="174"/>
      <c r="FV93" s="174"/>
      <c r="FW93" s="174"/>
      <c r="FX93" s="174"/>
      <c r="FY93" s="174"/>
      <c r="FZ93" s="174"/>
      <c r="GA93" s="174"/>
      <c r="GB93" s="174"/>
      <c r="GC93" s="174"/>
      <c r="GD93" s="174"/>
      <c r="GE93" s="174"/>
      <c r="GF93" s="174"/>
      <c r="GG93" s="174"/>
      <c r="GH93" s="174"/>
      <c r="GI93" s="174"/>
      <c r="GJ93" s="174"/>
      <c r="GK93" s="174"/>
      <c r="GL93" s="174"/>
      <c r="GM93" s="174"/>
      <c r="GN93" s="174"/>
      <c r="GO93" s="174"/>
      <c r="GP93" s="174"/>
      <c r="GQ93" s="174"/>
      <c r="GR93" s="174"/>
      <c r="GS93" s="174"/>
      <c r="GT93" s="174"/>
      <c r="GU93" s="174"/>
      <c r="GV93" s="174"/>
      <c r="GW93" s="174"/>
      <c r="GX93" s="174"/>
      <c r="GY93" s="174"/>
      <c r="GZ93" s="174"/>
      <c r="HA93" s="174"/>
      <c r="HB93" s="174"/>
      <c r="HC93" s="174"/>
      <c r="HD93" s="174"/>
      <c r="HE93" s="174"/>
      <c r="HF93" s="174"/>
      <c r="HG93" s="174"/>
      <c r="HH93" s="174"/>
      <c r="HI93" s="174"/>
      <c r="HJ93" s="174"/>
      <c r="HK93" s="174"/>
      <c r="HL93" s="174"/>
      <c r="HM93" s="174"/>
      <c r="HN93" s="174"/>
      <c r="HO93" s="174"/>
      <c r="HP93" s="174"/>
      <c r="HQ93" s="174"/>
      <c r="HR93" s="174"/>
      <c r="HS93" s="174"/>
      <c r="HT93" s="174"/>
      <c r="HU93" s="174"/>
      <c r="HV93" s="174"/>
      <c r="HW93" s="174"/>
      <c r="HX93" s="174"/>
      <c r="HY93" s="174"/>
      <c r="HZ93" s="174"/>
      <c r="IA93" s="174"/>
      <c r="IB93" s="174"/>
      <c r="IC93" s="174"/>
      <c r="ID93" s="174"/>
      <c r="IE93" s="174"/>
      <c r="IF93" s="174"/>
      <c r="IG93" s="174"/>
      <c r="IH93" s="174"/>
      <c r="II93" s="174"/>
      <c r="IJ93" s="174"/>
      <c r="IK93" s="174"/>
      <c r="IL93" s="174"/>
      <c r="IM93" s="174"/>
      <c r="IN93" s="174"/>
      <c r="IO93" s="174"/>
      <c r="IP93" s="174"/>
      <c r="IQ93" s="174"/>
      <c r="IR93" s="174"/>
      <c r="IS93" s="174"/>
      <c r="IT93" s="174"/>
      <c r="IU93" s="174"/>
      <c r="IV93" s="174"/>
      <c r="IW93" s="174"/>
    </row>
    <row r="94" customFormat="false" ht="12.75" hidden="false" customHeight="false" outlineLevel="0" collapsed="false">
      <c r="A94" s="227"/>
      <c r="B94" s="132" t="s">
        <v>236</v>
      </c>
      <c r="C94" s="218"/>
      <c r="D94" s="174"/>
      <c r="E94" s="229"/>
      <c r="F94" s="174"/>
      <c r="G94" s="174"/>
      <c r="H94" s="174"/>
      <c r="I94" s="229"/>
      <c r="J94" s="174"/>
      <c r="L94" s="174"/>
      <c r="M94" s="95" t="n">
        <v>1766324</v>
      </c>
      <c r="N94" s="174"/>
      <c r="O94" s="133" t="n">
        <f aca="false">SUM(K94:N94)</f>
        <v>1766324</v>
      </c>
      <c r="P94" s="174"/>
      <c r="U94" s="96" t="n">
        <v>845</v>
      </c>
      <c r="V94" s="136"/>
      <c r="W94" s="96" t="n">
        <v>14356</v>
      </c>
      <c r="Y94" s="96" t="n">
        <f aca="false">171431+53926</f>
        <v>225357</v>
      </c>
      <c r="AC94" s="96" t="n">
        <v>276181</v>
      </c>
      <c r="AE94" s="96" t="n">
        <v>526718</v>
      </c>
      <c r="AG94" s="96" t="n">
        <f aca="false">196162+90539</f>
        <v>286701</v>
      </c>
      <c r="AI94" s="96" t="n">
        <v>67689</v>
      </c>
      <c r="AK94" s="96" t="n">
        <v>13834</v>
      </c>
      <c r="AM94" s="96" t="n">
        <v>12775</v>
      </c>
      <c r="AO94" s="96" t="n">
        <v>3700</v>
      </c>
      <c r="AR94" s="174"/>
      <c r="AS94" s="95" t="n">
        <f aca="false">SUM(P94:AR94)</f>
        <v>1428156</v>
      </c>
      <c r="AT94" s="174"/>
      <c r="AU94" s="96" t="n">
        <f aca="false">1541099-1766324+121244-154855+1610-1100-83542+3700</f>
        <v>-338168</v>
      </c>
      <c r="AV94" s="174"/>
      <c r="AW94" s="95" t="n">
        <f aca="false">IF(+O94-AS94+AU94&gt;0,O94-AS94+AU94,0)</f>
        <v>0</v>
      </c>
      <c r="AX94" s="174"/>
      <c r="AY94" s="95" t="n">
        <f aca="false">+AW94+AS94</f>
        <v>1428156</v>
      </c>
      <c r="AZ94" s="174"/>
      <c r="BA94" s="95" t="n">
        <f aca="false">O94-AS94-AW94</f>
        <v>338168</v>
      </c>
      <c r="BB94" s="95"/>
      <c r="BC94" s="95"/>
      <c r="BE94" s="174"/>
      <c r="BF94" s="174"/>
      <c r="BG94" s="174"/>
      <c r="BH94" s="174"/>
      <c r="BI94" s="174"/>
      <c r="BJ94" s="174"/>
      <c r="BK94" s="174"/>
      <c r="BL94" s="174"/>
      <c r="BM94" s="174"/>
      <c r="BN94" s="174"/>
      <c r="BO94" s="174"/>
      <c r="BP94" s="174"/>
      <c r="BQ94" s="174"/>
      <c r="BR94" s="174"/>
      <c r="BS94" s="174"/>
      <c r="BT94" s="174"/>
      <c r="BU94" s="174"/>
      <c r="BV94" s="174"/>
      <c r="BW94" s="174"/>
      <c r="BX94" s="174"/>
      <c r="BY94" s="174"/>
      <c r="BZ94" s="174"/>
      <c r="CA94" s="174"/>
      <c r="CB94" s="174"/>
      <c r="CC94" s="174"/>
      <c r="CD94" s="174"/>
      <c r="CE94" s="174"/>
      <c r="CF94" s="174"/>
      <c r="CG94" s="174"/>
      <c r="CH94" s="174"/>
      <c r="CI94" s="174"/>
      <c r="CJ94" s="174"/>
      <c r="CK94" s="174"/>
      <c r="CL94" s="174"/>
      <c r="CM94" s="174"/>
      <c r="CN94" s="174"/>
      <c r="CO94" s="174"/>
      <c r="CP94" s="174"/>
      <c r="CQ94" s="174"/>
      <c r="CR94" s="174"/>
      <c r="CS94" s="174"/>
      <c r="CT94" s="174"/>
      <c r="CU94" s="174"/>
      <c r="CV94" s="174"/>
      <c r="CW94" s="174"/>
      <c r="CX94" s="174"/>
      <c r="CY94" s="174"/>
      <c r="CZ94" s="174"/>
      <c r="DA94" s="174"/>
      <c r="DB94" s="174"/>
      <c r="DC94" s="174"/>
      <c r="DD94" s="174"/>
      <c r="DE94" s="174"/>
      <c r="DF94" s="174"/>
      <c r="DG94" s="174"/>
      <c r="DH94" s="174"/>
      <c r="DI94" s="174"/>
      <c r="DJ94" s="174"/>
      <c r="DK94" s="174"/>
      <c r="DL94" s="174"/>
      <c r="DM94" s="174"/>
      <c r="DN94" s="174"/>
      <c r="DO94" s="174"/>
      <c r="DP94" s="174"/>
      <c r="DQ94" s="174"/>
      <c r="DR94" s="174"/>
      <c r="DS94" s="174"/>
      <c r="DT94" s="174"/>
      <c r="DU94" s="174"/>
      <c r="DV94" s="174"/>
      <c r="DW94" s="174"/>
      <c r="DX94" s="174"/>
      <c r="DY94" s="174"/>
      <c r="DZ94" s="174"/>
      <c r="EA94" s="174"/>
      <c r="EB94" s="174"/>
      <c r="EC94" s="174"/>
      <c r="ED94" s="174"/>
      <c r="EE94" s="174"/>
      <c r="EF94" s="174"/>
      <c r="EG94" s="174"/>
      <c r="EH94" s="174"/>
      <c r="EI94" s="174"/>
      <c r="EJ94" s="174"/>
      <c r="EK94" s="174"/>
      <c r="EL94" s="174"/>
      <c r="EM94" s="174"/>
      <c r="EN94" s="174"/>
      <c r="EO94" s="174"/>
      <c r="EP94" s="174"/>
      <c r="EQ94" s="174"/>
      <c r="ER94" s="174"/>
      <c r="ES94" s="174"/>
      <c r="ET94" s="174"/>
      <c r="EU94" s="174"/>
      <c r="EV94" s="174"/>
      <c r="EW94" s="174"/>
      <c r="EX94" s="174"/>
      <c r="EY94" s="174"/>
      <c r="EZ94" s="174"/>
      <c r="FA94" s="174"/>
      <c r="FB94" s="174"/>
      <c r="FC94" s="174"/>
      <c r="FD94" s="174"/>
      <c r="FE94" s="174"/>
      <c r="FF94" s="174"/>
      <c r="FG94" s="174"/>
      <c r="FH94" s="174"/>
      <c r="FI94" s="174"/>
      <c r="FJ94" s="174"/>
      <c r="FK94" s="174"/>
      <c r="FL94" s="174"/>
      <c r="FM94" s="174"/>
      <c r="FN94" s="174"/>
      <c r="FO94" s="174"/>
      <c r="FP94" s="174"/>
      <c r="FQ94" s="174"/>
      <c r="FR94" s="174"/>
      <c r="FS94" s="174"/>
      <c r="FT94" s="174"/>
      <c r="FU94" s="174"/>
      <c r="FV94" s="174"/>
      <c r="FW94" s="174"/>
      <c r="FX94" s="174"/>
      <c r="FY94" s="174"/>
      <c r="FZ94" s="174"/>
      <c r="GA94" s="174"/>
      <c r="GB94" s="174"/>
      <c r="GC94" s="174"/>
      <c r="GD94" s="174"/>
      <c r="GE94" s="174"/>
      <c r="GF94" s="174"/>
      <c r="GG94" s="174"/>
      <c r="GH94" s="174"/>
      <c r="GI94" s="174"/>
      <c r="GJ94" s="174"/>
      <c r="GK94" s="174"/>
      <c r="GL94" s="174"/>
      <c r="GM94" s="174"/>
      <c r="GN94" s="174"/>
      <c r="GO94" s="174"/>
      <c r="GP94" s="174"/>
      <c r="GQ94" s="174"/>
      <c r="GR94" s="174"/>
      <c r="GS94" s="174"/>
      <c r="GT94" s="174"/>
      <c r="GU94" s="174"/>
      <c r="GV94" s="174"/>
      <c r="GW94" s="174"/>
      <c r="GX94" s="174"/>
      <c r="GY94" s="174"/>
      <c r="GZ94" s="174"/>
      <c r="HA94" s="174"/>
      <c r="HB94" s="174"/>
      <c r="HC94" s="174"/>
      <c r="HD94" s="174"/>
      <c r="HE94" s="174"/>
      <c r="HF94" s="174"/>
      <c r="HG94" s="174"/>
      <c r="HH94" s="174"/>
      <c r="HI94" s="174"/>
      <c r="HJ94" s="174"/>
      <c r="HK94" s="174"/>
      <c r="HL94" s="174"/>
      <c r="HM94" s="174"/>
      <c r="HN94" s="174"/>
      <c r="HO94" s="174"/>
      <c r="HP94" s="174"/>
      <c r="HQ94" s="174"/>
      <c r="HR94" s="174"/>
      <c r="HS94" s="174"/>
      <c r="HT94" s="174"/>
      <c r="HU94" s="174"/>
      <c r="HV94" s="174"/>
      <c r="HW94" s="174"/>
      <c r="HX94" s="174"/>
      <c r="HY94" s="174"/>
      <c r="HZ94" s="174"/>
      <c r="IA94" s="174"/>
      <c r="IB94" s="174"/>
      <c r="IC94" s="174"/>
      <c r="ID94" s="174"/>
      <c r="IE94" s="174"/>
      <c r="IF94" s="174"/>
      <c r="IG94" s="174"/>
      <c r="IH94" s="174"/>
      <c r="II94" s="174"/>
      <c r="IJ94" s="174"/>
      <c r="IK94" s="174"/>
      <c r="IL94" s="174"/>
      <c r="IM94" s="174"/>
      <c r="IN94" s="174"/>
      <c r="IO94" s="174"/>
      <c r="IP94" s="174"/>
      <c r="IQ94" s="174"/>
      <c r="IR94" s="174"/>
      <c r="IS94" s="174"/>
      <c r="IT94" s="174"/>
      <c r="IU94" s="174"/>
      <c r="IV94" s="174"/>
      <c r="IW94" s="174"/>
    </row>
    <row r="95" customFormat="false" ht="12.75" hidden="false" customHeight="false" outlineLevel="0" collapsed="false">
      <c r="A95" s="227"/>
      <c r="B95" s="132" t="s">
        <v>237</v>
      </c>
      <c r="C95" s="218"/>
      <c r="D95" s="174"/>
      <c r="E95" s="229"/>
      <c r="F95" s="174"/>
      <c r="G95" s="174"/>
      <c r="H95" s="174"/>
      <c r="I95" s="229"/>
      <c r="J95" s="174"/>
      <c r="L95" s="174"/>
      <c r="M95" s="95" t="n">
        <v>72583</v>
      </c>
      <c r="N95" s="174"/>
      <c r="O95" s="133" t="n">
        <f aca="false">SUM(K95:N95)</f>
        <v>72583</v>
      </c>
      <c r="P95" s="174"/>
      <c r="V95" s="136"/>
      <c r="AG95" s="96" t="n">
        <f aca="false">5614+11895</f>
        <v>17509</v>
      </c>
      <c r="AI95" s="96" t="n">
        <v>11804</v>
      </c>
      <c r="AK95" s="96" t="n">
        <v>3434</v>
      </c>
      <c r="AR95" s="174"/>
      <c r="AS95" s="95" t="n">
        <f aca="false">SUM(P95:AR95)</f>
        <v>32747</v>
      </c>
      <c r="AT95" s="174"/>
      <c r="AU95" s="96" t="n">
        <f aca="false">-10531-21133-6522-1650</f>
        <v>-39836</v>
      </c>
      <c r="AV95" s="174"/>
      <c r="AW95" s="95" t="n">
        <f aca="false">IF(+O95-AS95+AU95&gt;0,O95-AS95+AU95,0)</f>
        <v>0</v>
      </c>
      <c r="AX95" s="174"/>
      <c r="AY95" s="95" t="n">
        <f aca="false">+AW95+AS95</f>
        <v>32747</v>
      </c>
      <c r="AZ95" s="174"/>
      <c r="BA95" s="95" t="n">
        <f aca="false">O95-AS95-AW95</f>
        <v>39836</v>
      </c>
      <c r="BB95" s="95"/>
      <c r="BC95" s="95"/>
      <c r="BE95" s="174"/>
      <c r="BF95" s="174"/>
      <c r="BG95" s="174"/>
      <c r="BH95" s="174"/>
      <c r="BI95" s="174"/>
      <c r="BJ95" s="174"/>
      <c r="BK95" s="174"/>
      <c r="BL95" s="174"/>
      <c r="BM95" s="174"/>
      <c r="BN95" s="174"/>
      <c r="BO95" s="174"/>
      <c r="BP95" s="174"/>
      <c r="BQ95" s="174"/>
      <c r="BR95" s="174"/>
      <c r="BS95" s="174"/>
      <c r="BT95" s="174"/>
      <c r="BU95" s="174"/>
      <c r="BV95" s="174"/>
      <c r="BW95" s="174"/>
      <c r="BX95" s="174"/>
      <c r="BY95" s="174"/>
      <c r="BZ95" s="174"/>
      <c r="CA95" s="174"/>
      <c r="CB95" s="174"/>
      <c r="CC95" s="174"/>
      <c r="CD95" s="174"/>
      <c r="CE95" s="174"/>
      <c r="CF95" s="174"/>
      <c r="CG95" s="174"/>
      <c r="CH95" s="174"/>
      <c r="CI95" s="174"/>
      <c r="CJ95" s="174"/>
      <c r="CK95" s="174"/>
      <c r="CL95" s="174"/>
      <c r="CM95" s="174"/>
      <c r="CN95" s="174"/>
      <c r="CO95" s="174"/>
      <c r="CP95" s="174"/>
      <c r="CQ95" s="174"/>
      <c r="CR95" s="174"/>
      <c r="CS95" s="174"/>
      <c r="CT95" s="174"/>
      <c r="CU95" s="174"/>
      <c r="CV95" s="174"/>
      <c r="CW95" s="174"/>
      <c r="CX95" s="174"/>
      <c r="CY95" s="174"/>
      <c r="CZ95" s="174"/>
      <c r="DA95" s="174"/>
      <c r="DB95" s="174"/>
      <c r="DC95" s="174"/>
      <c r="DD95" s="174"/>
      <c r="DE95" s="174"/>
      <c r="DF95" s="174"/>
      <c r="DG95" s="174"/>
      <c r="DH95" s="174"/>
      <c r="DI95" s="174"/>
      <c r="DJ95" s="174"/>
      <c r="DK95" s="174"/>
      <c r="DL95" s="174"/>
      <c r="DM95" s="174"/>
      <c r="DN95" s="174"/>
      <c r="DO95" s="174"/>
      <c r="DP95" s="174"/>
      <c r="DQ95" s="174"/>
      <c r="DR95" s="174"/>
      <c r="DS95" s="174"/>
      <c r="DT95" s="174"/>
      <c r="DU95" s="174"/>
      <c r="DV95" s="174"/>
      <c r="DW95" s="174"/>
      <c r="DX95" s="174"/>
      <c r="DY95" s="174"/>
      <c r="DZ95" s="174"/>
      <c r="EA95" s="174"/>
      <c r="EB95" s="174"/>
      <c r="EC95" s="174"/>
      <c r="ED95" s="174"/>
      <c r="EE95" s="174"/>
      <c r="EF95" s="174"/>
      <c r="EG95" s="174"/>
      <c r="EH95" s="174"/>
      <c r="EI95" s="174"/>
      <c r="EJ95" s="174"/>
      <c r="EK95" s="174"/>
      <c r="EL95" s="174"/>
      <c r="EM95" s="174"/>
      <c r="EN95" s="174"/>
      <c r="EO95" s="174"/>
      <c r="EP95" s="174"/>
      <c r="EQ95" s="174"/>
      <c r="ER95" s="174"/>
      <c r="ES95" s="174"/>
      <c r="ET95" s="174"/>
      <c r="EU95" s="174"/>
      <c r="EV95" s="174"/>
      <c r="EW95" s="174"/>
      <c r="EX95" s="174"/>
      <c r="EY95" s="174"/>
      <c r="EZ95" s="174"/>
      <c r="FA95" s="174"/>
      <c r="FB95" s="174"/>
      <c r="FC95" s="174"/>
      <c r="FD95" s="174"/>
      <c r="FE95" s="174"/>
      <c r="FF95" s="174"/>
      <c r="FG95" s="174"/>
      <c r="FH95" s="174"/>
      <c r="FI95" s="174"/>
      <c r="FJ95" s="174"/>
      <c r="FK95" s="174"/>
      <c r="FL95" s="174"/>
      <c r="FM95" s="174"/>
      <c r="FN95" s="174"/>
      <c r="FO95" s="174"/>
      <c r="FP95" s="174"/>
      <c r="FQ95" s="174"/>
      <c r="FR95" s="174"/>
      <c r="FS95" s="174"/>
      <c r="FT95" s="174"/>
      <c r="FU95" s="174"/>
      <c r="FV95" s="174"/>
      <c r="FW95" s="174"/>
      <c r="FX95" s="174"/>
      <c r="FY95" s="174"/>
      <c r="FZ95" s="174"/>
      <c r="GA95" s="174"/>
      <c r="GB95" s="174"/>
      <c r="GC95" s="174"/>
      <c r="GD95" s="174"/>
      <c r="GE95" s="174"/>
      <c r="GF95" s="174"/>
      <c r="GG95" s="174"/>
      <c r="GH95" s="174"/>
      <c r="GI95" s="174"/>
      <c r="GJ95" s="174"/>
      <c r="GK95" s="174"/>
      <c r="GL95" s="174"/>
      <c r="GM95" s="174"/>
      <c r="GN95" s="174"/>
      <c r="GO95" s="174"/>
      <c r="GP95" s="174"/>
      <c r="GQ95" s="174"/>
      <c r="GR95" s="174"/>
      <c r="GS95" s="174"/>
      <c r="GT95" s="174"/>
      <c r="GU95" s="174"/>
      <c r="GV95" s="174"/>
      <c r="GW95" s="174"/>
      <c r="GX95" s="174"/>
      <c r="GY95" s="174"/>
      <c r="GZ95" s="174"/>
      <c r="HA95" s="174"/>
      <c r="HB95" s="174"/>
      <c r="HC95" s="174"/>
      <c r="HD95" s="174"/>
      <c r="HE95" s="174"/>
      <c r="HF95" s="174"/>
      <c r="HG95" s="174"/>
      <c r="HH95" s="174"/>
      <c r="HI95" s="174"/>
      <c r="HJ95" s="174"/>
      <c r="HK95" s="174"/>
      <c r="HL95" s="174"/>
      <c r="HM95" s="174"/>
      <c r="HN95" s="174"/>
      <c r="HO95" s="174"/>
      <c r="HP95" s="174"/>
      <c r="HQ95" s="174"/>
      <c r="HR95" s="174"/>
      <c r="HS95" s="174"/>
      <c r="HT95" s="174"/>
      <c r="HU95" s="174"/>
      <c r="HV95" s="174"/>
      <c r="HW95" s="174"/>
      <c r="HX95" s="174"/>
      <c r="HY95" s="174"/>
      <c r="HZ95" s="174"/>
      <c r="IA95" s="174"/>
      <c r="IB95" s="174"/>
      <c r="IC95" s="174"/>
      <c r="ID95" s="174"/>
      <c r="IE95" s="174"/>
      <c r="IF95" s="174"/>
      <c r="IG95" s="174"/>
      <c r="IH95" s="174"/>
      <c r="II95" s="174"/>
      <c r="IJ95" s="174"/>
      <c r="IK95" s="174"/>
      <c r="IL95" s="174"/>
      <c r="IM95" s="174"/>
      <c r="IN95" s="174"/>
      <c r="IO95" s="174"/>
      <c r="IP95" s="174"/>
      <c r="IQ95" s="174"/>
      <c r="IR95" s="174"/>
      <c r="IS95" s="174"/>
      <c r="IT95" s="174"/>
      <c r="IU95" s="174"/>
      <c r="IV95" s="174"/>
      <c r="IW95" s="174"/>
    </row>
    <row r="96" customFormat="false" ht="12.75" hidden="false" customHeight="false" outlineLevel="0" collapsed="false">
      <c r="A96" s="227"/>
      <c r="B96" s="132" t="s">
        <v>475</v>
      </c>
      <c r="C96" s="218"/>
      <c r="D96" s="174"/>
      <c r="E96" s="229"/>
      <c r="F96" s="174"/>
      <c r="G96" s="174"/>
      <c r="H96" s="174"/>
      <c r="I96" s="229"/>
      <c r="J96" s="174"/>
      <c r="L96" s="174"/>
      <c r="M96" s="95" t="n">
        <v>24454</v>
      </c>
      <c r="N96" s="174"/>
      <c r="O96" s="133" t="n">
        <f aca="false">SUM(K96:N96)</f>
        <v>24454</v>
      </c>
      <c r="P96" s="174"/>
      <c r="V96" s="136"/>
      <c r="AC96" s="96" t="n">
        <v>1450</v>
      </c>
      <c r="AE96" s="96" t="n">
        <v>22</v>
      </c>
      <c r="AG96" s="96" t="n">
        <f aca="false">35448+74215</f>
        <v>109663</v>
      </c>
      <c r="AI96" s="96" t="n">
        <v>3467</v>
      </c>
      <c r="AK96" s="96" t="n">
        <v>1944</v>
      </c>
      <c r="AR96" s="174"/>
      <c r="AS96" s="95" t="n">
        <f aca="false">SUM(P96:AR96)</f>
        <v>116546</v>
      </c>
      <c r="AT96" s="174"/>
      <c r="AU96" s="96" t="n">
        <f aca="false">62086+32108-2102</f>
        <v>92092</v>
      </c>
      <c r="AV96" s="174"/>
      <c r="AW96" s="95" t="n">
        <f aca="false">IF(+O96-AS96+AU96&gt;0,O96-AS96+AU96,0)</f>
        <v>0</v>
      </c>
      <c r="AX96" s="174"/>
      <c r="AY96" s="95" t="n">
        <f aca="false">+AW96+AS96</f>
        <v>116546</v>
      </c>
      <c r="AZ96" s="174"/>
      <c r="BA96" s="95" t="n">
        <f aca="false">O96-AS96-AW96</f>
        <v>-92092</v>
      </c>
      <c r="BB96" s="95"/>
      <c r="BC96" s="95"/>
      <c r="BE96" s="174"/>
      <c r="BF96" s="174"/>
      <c r="BG96" s="174"/>
      <c r="BH96" s="174"/>
      <c r="BI96" s="174"/>
      <c r="BJ96" s="174"/>
      <c r="BK96" s="174"/>
      <c r="BL96" s="174"/>
      <c r="BM96" s="174"/>
      <c r="BN96" s="174"/>
      <c r="BO96" s="174"/>
      <c r="BP96" s="174"/>
      <c r="BQ96" s="174"/>
      <c r="BR96" s="174"/>
      <c r="BS96" s="174"/>
      <c r="BT96" s="174"/>
      <c r="BU96" s="174"/>
      <c r="BV96" s="174"/>
      <c r="BW96" s="174"/>
      <c r="BX96" s="174"/>
      <c r="BY96" s="174"/>
      <c r="BZ96" s="174"/>
      <c r="CA96" s="174"/>
      <c r="CB96" s="174"/>
      <c r="CC96" s="174"/>
      <c r="CD96" s="174"/>
      <c r="CE96" s="174"/>
      <c r="CF96" s="174"/>
      <c r="CG96" s="174"/>
      <c r="CH96" s="174"/>
      <c r="CI96" s="174"/>
      <c r="CJ96" s="174"/>
      <c r="CK96" s="174"/>
      <c r="CL96" s="174"/>
      <c r="CM96" s="174"/>
      <c r="CN96" s="174"/>
      <c r="CO96" s="174"/>
      <c r="CP96" s="174"/>
      <c r="CQ96" s="174"/>
      <c r="CR96" s="174"/>
      <c r="CS96" s="174"/>
      <c r="CT96" s="174"/>
      <c r="CU96" s="174"/>
      <c r="CV96" s="174"/>
      <c r="CW96" s="174"/>
      <c r="CX96" s="174"/>
      <c r="CY96" s="174"/>
      <c r="CZ96" s="174"/>
      <c r="DA96" s="174"/>
      <c r="DB96" s="174"/>
      <c r="DC96" s="174"/>
      <c r="DD96" s="174"/>
      <c r="DE96" s="174"/>
      <c r="DF96" s="174"/>
      <c r="DG96" s="174"/>
      <c r="DH96" s="174"/>
      <c r="DI96" s="174"/>
      <c r="DJ96" s="174"/>
      <c r="DK96" s="174"/>
      <c r="DL96" s="174"/>
      <c r="DM96" s="174"/>
      <c r="DN96" s="174"/>
      <c r="DO96" s="174"/>
      <c r="DP96" s="174"/>
      <c r="DQ96" s="174"/>
      <c r="DR96" s="174"/>
      <c r="DS96" s="174"/>
      <c r="DT96" s="174"/>
      <c r="DU96" s="174"/>
      <c r="DV96" s="174"/>
      <c r="DW96" s="174"/>
      <c r="DX96" s="174"/>
      <c r="DY96" s="174"/>
      <c r="DZ96" s="174"/>
      <c r="EA96" s="174"/>
      <c r="EB96" s="174"/>
      <c r="EC96" s="174"/>
      <c r="ED96" s="174"/>
      <c r="EE96" s="174"/>
      <c r="EF96" s="174"/>
      <c r="EG96" s="174"/>
      <c r="EH96" s="174"/>
      <c r="EI96" s="174"/>
      <c r="EJ96" s="174"/>
      <c r="EK96" s="174"/>
      <c r="EL96" s="174"/>
      <c r="EM96" s="174"/>
      <c r="EN96" s="174"/>
      <c r="EO96" s="174"/>
      <c r="EP96" s="174"/>
      <c r="EQ96" s="174"/>
      <c r="ER96" s="174"/>
      <c r="ES96" s="174"/>
      <c r="ET96" s="174"/>
      <c r="EU96" s="174"/>
      <c r="EV96" s="174"/>
      <c r="EW96" s="174"/>
      <c r="EX96" s="174"/>
      <c r="EY96" s="174"/>
      <c r="EZ96" s="174"/>
      <c r="FA96" s="174"/>
      <c r="FB96" s="174"/>
      <c r="FC96" s="174"/>
      <c r="FD96" s="174"/>
      <c r="FE96" s="174"/>
      <c r="FF96" s="174"/>
      <c r="FG96" s="174"/>
      <c r="FH96" s="174"/>
      <c r="FI96" s="174"/>
      <c r="FJ96" s="174"/>
      <c r="FK96" s="174"/>
      <c r="FL96" s="174"/>
      <c r="FM96" s="174"/>
      <c r="FN96" s="174"/>
      <c r="FO96" s="174"/>
      <c r="FP96" s="174"/>
      <c r="FQ96" s="174"/>
      <c r="FR96" s="174"/>
      <c r="FS96" s="174"/>
      <c r="FT96" s="174"/>
      <c r="FU96" s="174"/>
      <c r="FV96" s="174"/>
      <c r="FW96" s="174"/>
      <c r="FX96" s="174"/>
      <c r="FY96" s="174"/>
      <c r="FZ96" s="174"/>
      <c r="GA96" s="174"/>
      <c r="GB96" s="174"/>
      <c r="GC96" s="174"/>
      <c r="GD96" s="174"/>
      <c r="GE96" s="174"/>
      <c r="GF96" s="174"/>
      <c r="GG96" s="174"/>
      <c r="GH96" s="174"/>
      <c r="GI96" s="174"/>
      <c r="GJ96" s="174"/>
      <c r="GK96" s="174"/>
      <c r="GL96" s="174"/>
      <c r="GM96" s="174"/>
      <c r="GN96" s="174"/>
      <c r="GO96" s="174"/>
      <c r="GP96" s="174"/>
      <c r="GQ96" s="174"/>
      <c r="GR96" s="174"/>
      <c r="GS96" s="174"/>
      <c r="GT96" s="174"/>
      <c r="GU96" s="174"/>
      <c r="GV96" s="174"/>
      <c r="GW96" s="174"/>
      <c r="GX96" s="174"/>
      <c r="GY96" s="174"/>
      <c r="GZ96" s="174"/>
      <c r="HA96" s="174"/>
      <c r="HB96" s="174"/>
      <c r="HC96" s="174"/>
      <c r="HD96" s="174"/>
      <c r="HE96" s="174"/>
      <c r="HF96" s="174"/>
      <c r="HG96" s="174"/>
      <c r="HH96" s="174"/>
      <c r="HI96" s="174"/>
      <c r="HJ96" s="174"/>
      <c r="HK96" s="174"/>
      <c r="HL96" s="174"/>
      <c r="HM96" s="174"/>
      <c r="HN96" s="174"/>
      <c r="HO96" s="174"/>
      <c r="HP96" s="174"/>
      <c r="HQ96" s="174"/>
      <c r="HR96" s="174"/>
      <c r="HS96" s="174"/>
      <c r="HT96" s="174"/>
      <c r="HU96" s="174"/>
      <c r="HV96" s="174"/>
      <c r="HW96" s="174"/>
      <c r="HX96" s="174"/>
      <c r="HY96" s="174"/>
      <c r="HZ96" s="174"/>
      <c r="IA96" s="174"/>
      <c r="IB96" s="174"/>
      <c r="IC96" s="174"/>
      <c r="ID96" s="174"/>
      <c r="IE96" s="174"/>
      <c r="IF96" s="174"/>
      <c r="IG96" s="174"/>
      <c r="IH96" s="174"/>
      <c r="II96" s="174"/>
      <c r="IJ96" s="174"/>
      <c r="IK96" s="174"/>
      <c r="IL96" s="174"/>
      <c r="IM96" s="174"/>
      <c r="IN96" s="174"/>
      <c r="IO96" s="174"/>
      <c r="IP96" s="174"/>
      <c r="IQ96" s="174"/>
      <c r="IR96" s="174"/>
      <c r="IS96" s="174"/>
      <c r="IT96" s="174"/>
      <c r="IU96" s="174"/>
      <c r="IV96" s="174"/>
      <c r="IW96" s="174"/>
    </row>
    <row r="97" customFormat="false" ht="12.75" hidden="false" customHeight="false" outlineLevel="0" collapsed="false">
      <c r="A97" s="227"/>
      <c r="B97" s="132" t="s">
        <v>476</v>
      </c>
      <c r="C97" s="218"/>
      <c r="D97" s="174"/>
      <c r="E97" s="229"/>
      <c r="F97" s="174"/>
      <c r="G97" s="174"/>
      <c r="H97" s="174"/>
      <c r="I97" s="229"/>
      <c r="J97" s="174"/>
      <c r="L97" s="174"/>
      <c r="M97" s="95" t="n">
        <v>35400</v>
      </c>
      <c r="N97" s="174"/>
      <c r="O97" s="133" t="n">
        <f aca="false">SUM(K97:N97)</f>
        <v>35400</v>
      </c>
      <c r="P97" s="174"/>
      <c r="V97" s="136"/>
      <c r="AE97" s="96" t="n">
        <v>16709</v>
      </c>
      <c r="AG97" s="96" t="n">
        <f aca="false">30445+10368</f>
        <v>40813</v>
      </c>
      <c r="AI97" s="96" t="n">
        <v>4555</v>
      </c>
      <c r="AO97" s="96" t="n">
        <v>293</v>
      </c>
      <c r="AR97" s="174"/>
      <c r="AS97" s="95" t="n">
        <f aca="false">SUM(P97:AR97)</f>
        <v>62370</v>
      </c>
      <c r="AT97" s="174"/>
      <c r="AU97" s="96" t="n">
        <f aca="false">24600+6925-4524-324+293</f>
        <v>26970</v>
      </c>
      <c r="AV97" s="174"/>
      <c r="AW97" s="95" t="n">
        <f aca="false">IF(+O97-AS97+AU97&gt;0,O97-AS97+AU97,0)</f>
        <v>0</v>
      </c>
      <c r="AX97" s="174"/>
      <c r="AY97" s="95" t="n">
        <f aca="false">+AW97+AS97</f>
        <v>62370</v>
      </c>
      <c r="AZ97" s="174"/>
      <c r="BA97" s="95" t="n">
        <f aca="false">O97-AS97-AW97</f>
        <v>-26970</v>
      </c>
      <c r="BB97" s="95"/>
      <c r="BC97" s="95"/>
      <c r="BE97" s="174"/>
      <c r="BF97" s="174"/>
      <c r="BG97" s="174"/>
      <c r="BH97" s="174"/>
      <c r="BI97" s="174"/>
      <c r="BJ97" s="174"/>
      <c r="BK97" s="174"/>
      <c r="BL97" s="174"/>
      <c r="BM97" s="174"/>
      <c r="BN97" s="174"/>
      <c r="BO97" s="174"/>
      <c r="BP97" s="174"/>
      <c r="BQ97" s="174"/>
      <c r="BR97" s="174"/>
      <c r="BS97" s="174"/>
      <c r="BT97" s="174"/>
      <c r="BU97" s="174"/>
      <c r="BV97" s="174"/>
      <c r="BW97" s="174"/>
      <c r="BX97" s="174"/>
      <c r="BY97" s="174"/>
      <c r="BZ97" s="174"/>
      <c r="CA97" s="174"/>
      <c r="CB97" s="174"/>
      <c r="CC97" s="174"/>
      <c r="CD97" s="174"/>
      <c r="CE97" s="174"/>
      <c r="CF97" s="174"/>
      <c r="CG97" s="174"/>
      <c r="CH97" s="174"/>
      <c r="CI97" s="174"/>
      <c r="CJ97" s="174"/>
      <c r="CK97" s="174"/>
      <c r="CL97" s="174"/>
      <c r="CM97" s="174"/>
      <c r="CN97" s="174"/>
      <c r="CO97" s="174"/>
      <c r="CP97" s="174"/>
      <c r="CQ97" s="174"/>
      <c r="CR97" s="174"/>
      <c r="CS97" s="174"/>
      <c r="CT97" s="174"/>
      <c r="CU97" s="174"/>
      <c r="CV97" s="174"/>
      <c r="CW97" s="174"/>
      <c r="CX97" s="174"/>
      <c r="CY97" s="174"/>
      <c r="CZ97" s="174"/>
      <c r="DA97" s="174"/>
      <c r="DB97" s="174"/>
      <c r="DC97" s="174"/>
      <c r="DD97" s="174"/>
      <c r="DE97" s="174"/>
      <c r="DF97" s="174"/>
      <c r="DG97" s="174"/>
      <c r="DH97" s="174"/>
      <c r="DI97" s="174"/>
      <c r="DJ97" s="174"/>
      <c r="DK97" s="174"/>
      <c r="DL97" s="174"/>
      <c r="DM97" s="174"/>
      <c r="DN97" s="174"/>
      <c r="DO97" s="174"/>
      <c r="DP97" s="174"/>
      <c r="DQ97" s="174"/>
      <c r="DR97" s="174"/>
      <c r="DS97" s="174"/>
      <c r="DT97" s="174"/>
      <c r="DU97" s="174"/>
      <c r="DV97" s="174"/>
      <c r="DW97" s="174"/>
      <c r="DX97" s="174"/>
      <c r="DY97" s="174"/>
      <c r="DZ97" s="174"/>
      <c r="EA97" s="174"/>
      <c r="EB97" s="174"/>
      <c r="EC97" s="174"/>
      <c r="ED97" s="174"/>
      <c r="EE97" s="174"/>
      <c r="EF97" s="174"/>
      <c r="EG97" s="174"/>
      <c r="EH97" s="174"/>
      <c r="EI97" s="174"/>
      <c r="EJ97" s="174"/>
      <c r="EK97" s="174"/>
      <c r="EL97" s="174"/>
      <c r="EM97" s="174"/>
      <c r="EN97" s="174"/>
      <c r="EO97" s="174"/>
      <c r="EP97" s="174"/>
      <c r="EQ97" s="174"/>
      <c r="ER97" s="174"/>
      <c r="ES97" s="174"/>
      <c r="ET97" s="174"/>
      <c r="EU97" s="174"/>
      <c r="EV97" s="174"/>
      <c r="EW97" s="174"/>
      <c r="EX97" s="174"/>
      <c r="EY97" s="174"/>
      <c r="EZ97" s="174"/>
      <c r="FA97" s="174"/>
      <c r="FB97" s="174"/>
      <c r="FC97" s="174"/>
      <c r="FD97" s="174"/>
      <c r="FE97" s="174"/>
      <c r="FF97" s="174"/>
      <c r="FG97" s="174"/>
      <c r="FH97" s="174"/>
      <c r="FI97" s="174"/>
      <c r="FJ97" s="174"/>
      <c r="FK97" s="174"/>
      <c r="FL97" s="174"/>
      <c r="FM97" s="174"/>
      <c r="FN97" s="174"/>
      <c r="FO97" s="174"/>
      <c r="FP97" s="174"/>
      <c r="FQ97" s="174"/>
      <c r="FR97" s="174"/>
      <c r="FS97" s="174"/>
      <c r="FT97" s="174"/>
      <c r="FU97" s="174"/>
      <c r="FV97" s="174"/>
      <c r="FW97" s="174"/>
      <c r="FX97" s="174"/>
      <c r="FY97" s="174"/>
      <c r="FZ97" s="174"/>
      <c r="GA97" s="174"/>
      <c r="GB97" s="174"/>
      <c r="GC97" s="174"/>
      <c r="GD97" s="174"/>
      <c r="GE97" s="174"/>
      <c r="GF97" s="174"/>
      <c r="GG97" s="174"/>
      <c r="GH97" s="174"/>
      <c r="GI97" s="174"/>
      <c r="GJ97" s="174"/>
      <c r="GK97" s="174"/>
      <c r="GL97" s="174"/>
      <c r="GM97" s="174"/>
      <c r="GN97" s="174"/>
      <c r="GO97" s="174"/>
      <c r="GP97" s="174"/>
      <c r="GQ97" s="174"/>
      <c r="GR97" s="174"/>
      <c r="GS97" s="174"/>
      <c r="GT97" s="174"/>
      <c r="GU97" s="174"/>
      <c r="GV97" s="174"/>
      <c r="GW97" s="174"/>
      <c r="GX97" s="174"/>
      <c r="GY97" s="174"/>
      <c r="GZ97" s="174"/>
      <c r="HA97" s="174"/>
      <c r="HB97" s="174"/>
      <c r="HC97" s="174"/>
      <c r="HD97" s="174"/>
      <c r="HE97" s="174"/>
      <c r="HF97" s="174"/>
      <c r="HG97" s="174"/>
      <c r="HH97" s="174"/>
      <c r="HI97" s="174"/>
      <c r="HJ97" s="174"/>
      <c r="HK97" s="174"/>
      <c r="HL97" s="174"/>
      <c r="HM97" s="174"/>
      <c r="HN97" s="174"/>
      <c r="HO97" s="174"/>
      <c r="HP97" s="174"/>
      <c r="HQ97" s="174"/>
      <c r="HR97" s="174"/>
      <c r="HS97" s="174"/>
      <c r="HT97" s="174"/>
      <c r="HU97" s="174"/>
      <c r="HV97" s="174"/>
      <c r="HW97" s="174"/>
      <c r="HX97" s="174"/>
      <c r="HY97" s="174"/>
      <c r="HZ97" s="174"/>
      <c r="IA97" s="174"/>
      <c r="IB97" s="174"/>
      <c r="IC97" s="174"/>
      <c r="ID97" s="174"/>
      <c r="IE97" s="174"/>
      <c r="IF97" s="174"/>
      <c r="IG97" s="174"/>
      <c r="IH97" s="174"/>
      <c r="II97" s="174"/>
      <c r="IJ97" s="174"/>
      <c r="IK97" s="174"/>
      <c r="IL97" s="174"/>
      <c r="IM97" s="174"/>
      <c r="IN97" s="174"/>
      <c r="IO97" s="174"/>
      <c r="IP97" s="174"/>
      <c r="IQ97" s="174"/>
      <c r="IR97" s="174"/>
      <c r="IS97" s="174"/>
      <c r="IT97" s="174"/>
      <c r="IU97" s="174"/>
      <c r="IV97" s="174"/>
      <c r="IW97" s="174"/>
    </row>
    <row r="98" customFormat="false" ht="12.75" hidden="false" customHeight="false" outlineLevel="0" collapsed="false">
      <c r="A98" s="227"/>
      <c r="B98" s="132" t="s">
        <v>477</v>
      </c>
      <c r="C98" s="218"/>
      <c r="D98" s="174"/>
      <c r="E98" s="229"/>
      <c r="F98" s="174"/>
      <c r="G98" s="174"/>
      <c r="H98" s="174"/>
      <c r="I98" s="229"/>
      <c r="J98" s="174"/>
      <c r="L98" s="174"/>
      <c r="M98" s="95" t="n">
        <v>297005</v>
      </c>
      <c r="N98" s="174"/>
      <c r="O98" s="133" t="n">
        <f aca="false">SUM(K98:N98)</f>
        <v>297005</v>
      </c>
      <c r="P98" s="174"/>
      <c r="V98" s="136"/>
      <c r="AE98" s="96" t="n">
        <v>76275</v>
      </c>
      <c r="AG98" s="96" t="n">
        <f aca="false">47475</f>
        <v>47475</v>
      </c>
      <c r="AI98" s="96" t="n">
        <v>12631</v>
      </c>
      <c r="AK98" s="96" t="n">
        <v>266264</v>
      </c>
      <c r="AM98" s="96" t="n">
        <v>38449</v>
      </c>
      <c r="AR98" s="174"/>
      <c r="AS98" s="95" t="n">
        <f aca="false">SUM(P98:AR98)</f>
        <v>441094</v>
      </c>
      <c r="AT98" s="174"/>
      <c r="AU98" s="96" t="n">
        <f aca="false">93111+24201+18128+7101</f>
        <v>142541</v>
      </c>
      <c r="AV98" s="174"/>
      <c r="AW98" s="95" t="n">
        <f aca="false">IF(+O98-AS98+AU98&gt;0,O98-AS98+AU98,0)</f>
        <v>0</v>
      </c>
      <c r="AX98" s="174"/>
      <c r="AY98" s="95" t="n">
        <f aca="false">+AW98+AS98</f>
        <v>441094</v>
      </c>
      <c r="AZ98" s="174"/>
      <c r="BA98" s="95" t="n">
        <f aca="false">O98-AS98-AW98</f>
        <v>-144089</v>
      </c>
      <c r="BB98" s="95"/>
      <c r="BC98" s="95"/>
      <c r="BE98" s="174"/>
      <c r="BF98" s="174"/>
      <c r="BG98" s="174"/>
      <c r="BH98" s="174"/>
      <c r="BI98" s="174"/>
      <c r="BJ98" s="174"/>
      <c r="BK98" s="174"/>
      <c r="BL98" s="174"/>
      <c r="BM98" s="174"/>
      <c r="BN98" s="174"/>
      <c r="BO98" s="174"/>
      <c r="BP98" s="174"/>
      <c r="BQ98" s="174"/>
      <c r="BR98" s="174"/>
      <c r="BS98" s="174"/>
      <c r="BT98" s="174"/>
      <c r="BU98" s="174"/>
      <c r="BV98" s="174"/>
      <c r="BW98" s="174"/>
      <c r="BX98" s="174"/>
      <c r="BY98" s="174"/>
      <c r="BZ98" s="174"/>
      <c r="CA98" s="174"/>
      <c r="CB98" s="174"/>
      <c r="CC98" s="174"/>
      <c r="CD98" s="174"/>
      <c r="CE98" s="174"/>
      <c r="CF98" s="174"/>
      <c r="CG98" s="174"/>
      <c r="CH98" s="174"/>
      <c r="CI98" s="174"/>
      <c r="CJ98" s="174"/>
      <c r="CK98" s="174"/>
      <c r="CL98" s="174"/>
      <c r="CM98" s="174"/>
      <c r="CN98" s="174"/>
      <c r="CO98" s="174"/>
      <c r="CP98" s="174"/>
      <c r="CQ98" s="174"/>
      <c r="CR98" s="174"/>
      <c r="CS98" s="174"/>
      <c r="CT98" s="174"/>
      <c r="CU98" s="174"/>
      <c r="CV98" s="174"/>
      <c r="CW98" s="174"/>
      <c r="CX98" s="174"/>
      <c r="CY98" s="174"/>
      <c r="CZ98" s="174"/>
      <c r="DA98" s="174"/>
      <c r="DB98" s="174"/>
      <c r="DC98" s="174"/>
      <c r="DD98" s="174"/>
      <c r="DE98" s="174"/>
      <c r="DF98" s="174"/>
      <c r="DG98" s="174"/>
      <c r="DH98" s="174"/>
      <c r="DI98" s="174"/>
      <c r="DJ98" s="174"/>
      <c r="DK98" s="174"/>
      <c r="DL98" s="174"/>
      <c r="DM98" s="174"/>
      <c r="DN98" s="174"/>
      <c r="DO98" s="174"/>
      <c r="DP98" s="174"/>
      <c r="DQ98" s="174"/>
      <c r="DR98" s="174"/>
      <c r="DS98" s="174"/>
      <c r="DT98" s="174"/>
      <c r="DU98" s="174"/>
      <c r="DV98" s="174"/>
      <c r="DW98" s="174"/>
      <c r="DX98" s="174"/>
      <c r="DY98" s="174"/>
      <c r="DZ98" s="174"/>
      <c r="EA98" s="174"/>
      <c r="EB98" s="174"/>
      <c r="EC98" s="174"/>
      <c r="ED98" s="174"/>
      <c r="EE98" s="174"/>
      <c r="EF98" s="174"/>
      <c r="EG98" s="174"/>
      <c r="EH98" s="174"/>
      <c r="EI98" s="174"/>
      <c r="EJ98" s="174"/>
      <c r="EK98" s="174"/>
      <c r="EL98" s="174"/>
      <c r="EM98" s="174"/>
      <c r="EN98" s="174"/>
      <c r="EO98" s="174"/>
      <c r="EP98" s="174"/>
      <c r="EQ98" s="174"/>
      <c r="ER98" s="174"/>
      <c r="ES98" s="174"/>
      <c r="ET98" s="174"/>
      <c r="EU98" s="174"/>
      <c r="EV98" s="174"/>
      <c r="EW98" s="174"/>
      <c r="EX98" s="174"/>
      <c r="EY98" s="174"/>
      <c r="EZ98" s="174"/>
      <c r="FA98" s="174"/>
      <c r="FB98" s="174"/>
      <c r="FC98" s="174"/>
      <c r="FD98" s="174"/>
      <c r="FE98" s="174"/>
      <c r="FF98" s="174"/>
      <c r="FG98" s="174"/>
      <c r="FH98" s="174"/>
      <c r="FI98" s="174"/>
      <c r="FJ98" s="174"/>
      <c r="FK98" s="174"/>
      <c r="FL98" s="174"/>
      <c r="FM98" s="174"/>
      <c r="FN98" s="174"/>
      <c r="FO98" s="174"/>
      <c r="FP98" s="174"/>
      <c r="FQ98" s="174"/>
      <c r="FR98" s="174"/>
      <c r="FS98" s="174"/>
      <c r="FT98" s="174"/>
      <c r="FU98" s="174"/>
      <c r="FV98" s="174"/>
      <c r="FW98" s="174"/>
      <c r="FX98" s="174"/>
      <c r="FY98" s="174"/>
      <c r="FZ98" s="174"/>
      <c r="GA98" s="174"/>
      <c r="GB98" s="174"/>
      <c r="GC98" s="174"/>
      <c r="GD98" s="174"/>
      <c r="GE98" s="174"/>
      <c r="GF98" s="174"/>
      <c r="GG98" s="174"/>
      <c r="GH98" s="174"/>
      <c r="GI98" s="174"/>
      <c r="GJ98" s="174"/>
      <c r="GK98" s="174"/>
      <c r="GL98" s="174"/>
      <c r="GM98" s="174"/>
      <c r="GN98" s="174"/>
      <c r="GO98" s="174"/>
      <c r="GP98" s="174"/>
      <c r="GQ98" s="174"/>
      <c r="GR98" s="174"/>
      <c r="GS98" s="174"/>
      <c r="GT98" s="174"/>
      <c r="GU98" s="174"/>
      <c r="GV98" s="174"/>
      <c r="GW98" s="174"/>
      <c r="GX98" s="174"/>
      <c r="GY98" s="174"/>
      <c r="GZ98" s="174"/>
      <c r="HA98" s="174"/>
      <c r="HB98" s="174"/>
      <c r="HC98" s="174"/>
      <c r="HD98" s="174"/>
      <c r="HE98" s="174"/>
      <c r="HF98" s="174"/>
      <c r="HG98" s="174"/>
      <c r="HH98" s="174"/>
      <c r="HI98" s="174"/>
      <c r="HJ98" s="174"/>
      <c r="HK98" s="174"/>
      <c r="HL98" s="174"/>
      <c r="HM98" s="174"/>
      <c r="HN98" s="174"/>
      <c r="HO98" s="174"/>
      <c r="HP98" s="174"/>
      <c r="HQ98" s="174"/>
      <c r="HR98" s="174"/>
      <c r="HS98" s="174"/>
      <c r="HT98" s="174"/>
      <c r="HU98" s="174"/>
      <c r="HV98" s="174"/>
      <c r="HW98" s="174"/>
      <c r="HX98" s="174"/>
      <c r="HY98" s="174"/>
      <c r="HZ98" s="174"/>
      <c r="IA98" s="174"/>
      <c r="IB98" s="174"/>
      <c r="IC98" s="174"/>
      <c r="ID98" s="174"/>
      <c r="IE98" s="174"/>
      <c r="IF98" s="174"/>
      <c r="IG98" s="174"/>
      <c r="IH98" s="174"/>
      <c r="II98" s="174"/>
      <c r="IJ98" s="174"/>
      <c r="IK98" s="174"/>
      <c r="IL98" s="174"/>
      <c r="IM98" s="174"/>
      <c r="IN98" s="174"/>
      <c r="IO98" s="174"/>
      <c r="IP98" s="174"/>
      <c r="IQ98" s="174"/>
      <c r="IR98" s="174"/>
      <c r="IS98" s="174"/>
      <c r="IT98" s="174"/>
      <c r="IU98" s="174"/>
      <c r="IV98" s="174"/>
      <c r="IW98" s="174"/>
    </row>
    <row r="99" customFormat="false" ht="12.75" hidden="false" customHeight="false" outlineLevel="0" collapsed="false">
      <c r="A99" s="227"/>
      <c r="B99" s="132" t="s">
        <v>241</v>
      </c>
      <c r="C99" s="218"/>
      <c r="D99" s="174"/>
      <c r="E99" s="229"/>
      <c r="F99" s="174"/>
      <c r="G99" s="174"/>
      <c r="H99" s="174"/>
      <c r="I99" s="229"/>
      <c r="J99" s="174"/>
      <c r="L99" s="174"/>
      <c r="N99" s="174"/>
      <c r="O99" s="133" t="n">
        <f aca="false">SUM(K99:N99)</f>
        <v>0</v>
      </c>
      <c r="P99" s="174"/>
      <c r="V99" s="136"/>
      <c r="AR99" s="174"/>
      <c r="AS99" s="95" t="n">
        <f aca="false">SUM(P99:AR99)</f>
        <v>0</v>
      </c>
      <c r="AT99" s="174"/>
      <c r="AV99" s="174"/>
      <c r="AW99" s="95" t="n">
        <f aca="false">IF(+O99-AS99+AU99&gt;0,O99-AS99+AU99,0)</f>
        <v>0</v>
      </c>
      <c r="AX99" s="174"/>
      <c r="AY99" s="95" t="n">
        <f aca="false">+AW99+AS99</f>
        <v>0</v>
      </c>
      <c r="AZ99" s="174"/>
      <c r="BA99" s="95" t="n">
        <f aca="false">O99-AS99-AW99</f>
        <v>0</v>
      </c>
      <c r="BB99" s="95"/>
      <c r="BC99" s="95"/>
      <c r="BE99" s="174"/>
      <c r="BF99" s="174"/>
      <c r="BG99" s="174"/>
      <c r="BH99" s="174"/>
      <c r="BI99" s="174"/>
      <c r="BJ99" s="174"/>
      <c r="BK99" s="174"/>
      <c r="BL99" s="174"/>
      <c r="BM99" s="174"/>
      <c r="BN99" s="174"/>
      <c r="BO99" s="174"/>
      <c r="BP99" s="174"/>
      <c r="BQ99" s="174"/>
      <c r="BR99" s="174"/>
      <c r="BS99" s="174"/>
      <c r="BT99" s="174"/>
      <c r="BU99" s="174"/>
      <c r="BV99" s="174"/>
      <c r="BW99" s="174"/>
      <c r="BX99" s="174"/>
      <c r="BY99" s="174"/>
      <c r="BZ99" s="174"/>
      <c r="CA99" s="174"/>
      <c r="CB99" s="174"/>
      <c r="CC99" s="174"/>
      <c r="CD99" s="174"/>
      <c r="CE99" s="174"/>
      <c r="CF99" s="174"/>
      <c r="CG99" s="174"/>
      <c r="CH99" s="174"/>
      <c r="CI99" s="174"/>
      <c r="CJ99" s="174"/>
      <c r="CK99" s="174"/>
      <c r="CL99" s="174"/>
      <c r="CM99" s="174"/>
      <c r="CN99" s="174"/>
      <c r="CO99" s="174"/>
      <c r="CP99" s="174"/>
      <c r="CQ99" s="174"/>
      <c r="CR99" s="174"/>
      <c r="CS99" s="174"/>
      <c r="CT99" s="174"/>
      <c r="CU99" s="174"/>
      <c r="CV99" s="174"/>
      <c r="CW99" s="174"/>
      <c r="CX99" s="174"/>
      <c r="CY99" s="174"/>
      <c r="CZ99" s="174"/>
      <c r="DA99" s="174"/>
      <c r="DB99" s="174"/>
      <c r="DC99" s="174"/>
      <c r="DD99" s="174"/>
      <c r="DE99" s="174"/>
      <c r="DF99" s="174"/>
      <c r="DG99" s="174"/>
      <c r="DH99" s="174"/>
      <c r="DI99" s="174"/>
      <c r="DJ99" s="174"/>
      <c r="DK99" s="174"/>
      <c r="DL99" s="174"/>
      <c r="DM99" s="174"/>
      <c r="DN99" s="174"/>
      <c r="DO99" s="174"/>
      <c r="DP99" s="174"/>
      <c r="DQ99" s="174"/>
      <c r="DR99" s="174"/>
      <c r="DS99" s="174"/>
      <c r="DT99" s="174"/>
      <c r="DU99" s="174"/>
      <c r="DV99" s="174"/>
      <c r="DW99" s="174"/>
      <c r="DX99" s="174"/>
      <c r="DY99" s="174"/>
      <c r="DZ99" s="174"/>
      <c r="EA99" s="174"/>
      <c r="EB99" s="174"/>
      <c r="EC99" s="174"/>
      <c r="ED99" s="174"/>
      <c r="EE99" s="174"/>
      <c r="EF99" s="174"/>
      <c r="EG99" s="174"/>
      <c r="EH99" s="174"/>
      <c r="EI99" s="174"/>
      <c r="EJ99" s="174"/>
      <c r="EK99" s="174"/>
      <c r="EL99" s="174"/>
      <c r="EM99" s="174"/>
      <c r="EN99" s="174"/>
      <c r="EO99" s="174"/>
      <c r="EP99" s="174"/>
      <c r="EQ99" s="174"/>
      <c r="ER99" s="174"/>
      <c r="ES99" s="174"/>
      <c r="ET99" s="174"/>
      <c r="EU99" s="174"/>
      <c r="EV99" s="174"/>
      <c r="EW99" s="174"/>
      <c r="EX99" s="174"/>
      <c r="EY99" s="174"/>
      <c r="EZ99" s="174"/>
      <c r="FA99" s="174"/>
      <c r="FB99" s="174"/>
      <c r="FC99" s="174"/>
      <c r="FD99" s="174"/>
      <c r="FE99" s="174"/>
      <c r="FF99" s="174"/>
      <c r="FG99" s="174"/>
      <c r="FH99" s="174"/>
      <c r="FI99" s="174"/>
      <c r="FJ99" s="174"/>
      <c r="FK99" s="174"/>
      <c r="FL99" s="174"/>
      <c r="FM99" s="174"/>
      <c r="FN99" s="174"/>
      <c r="FO99" s="174"/>
      <c r="FP99" s="174"/>
      <c r="FQ99" s="174"/>
      <c r="FR99" s="174"/>
      <c r="FS99" s="174"/>
      <c r="FT99" s="174"/>
      <c r="FU99" s="174"/>
      <c r="FV99" s="174"/>
      <c r="FW99" s="174"/>
      <c r="FX99" s="174"/>
      <c r="FY99" s="174"/>
      <c r="FZ99" s="174"/>
      <c r="GA99" s="174"/>
      <c r="GB99" s="174"/>
      <c r="GC99" s="174"/>
      <c r="GD99" s="174"/>
      <c r="GE99" s="174"/>
      <c r="GF99" s="174"/>
      <c r="GG99" s="174"/>
      <c r="GH99" s="174"/>
      <c r="GI99" s="174"/>
      <c r="GJ99" s="174"/>
      <c r="GK99" s="174"/>
      <c r="GL99" s="174"/>
      <c r="GM99" s="174"/>
      <c r="GN99" s="174"/>
      <c r="GO99" s="174"/>
      <c r="GP99" s="174"/>
      <c r="GQ99" s="174"/>
      <c r="GR99" s="174"/>
      <c r="GS99" s="174"/>
      <c r="GT99" s="174"/>
      <c r="GU99" s="174"/>
      <c r="GV99" s="174"/>
      <c r="GW99" s="174"/>
      <c r="GX99" s="174"/>
      <c r="GY99" s="174"/>
      <c r="GZ99" s="174"/>
      <c r="HA99" s="174"/>
      <c r="HB99" s="174"/>
      <c r="HC99" s="174"/>
      <c r="HD99" s="174"/>
      <c r="HE99" s="174"/>
      <c r="HF99" s="174"/>
      <c r="HG99" s="174"/>
      <c r="HH99" s="174"/>
      <c r="HI99" s="174"/>
      <c r="HJ99" s="174"/>
      <c r="HK99" s="174"/>
      <c r="HL99" s="174"/>
      <c r="HM99" s="174"/>
      <c r="HN99" s="174"/>
      <c r="HO99" s="174"/>
      <c r="HP99" s="174"/>
      <c r="HQ99" s="174"/>
      <c r="HR99" s="174"/>
      <c r="HS99" s="174"/>
      <c r="HT99" s="174"/>
      <c r="HU99" s="174"/>
      <c r="HV99" s="174"/>
      <c r="HW99" s="174"/>
      <c r="HX99" s="174"/>
      <c r="HY99" s="174"/>
      <c r="HZ99" s="174"/>
      <c r="IA99" s="174"/>
      <c r="IB99" s="174"/>
      <c r="IC99" s="174"/>
      <c r="ID99" s="174"/>
      <c r="IE99" s="174"/>
      <c r="IF99" s="174"/>
      <c r="IG99" s="174"/>
      <c r="IH99" s="174"/>
      <c r="II99" s="174"/>
      <c r="IJ99" s="174"/>
      <c r="IK99" s="174"/>
      <c r="IL99" s="174"/>
      <c r="IM99" s="174"/>
      <c r="IN99" s="174"/>
      <c r="IO99" s="174"/>
      <c r="IP99" s="174"/>
      <c r="IQ99" s="174"/>
      <c r="IR99" s="174"/>
      <c r="IS99" s="174"/>
      <c r="IT99" s="174"/>
      <c r="IU99" s="174"/>
      <c r="IV99" s="174"/>
      <c r="IW99" s="174"/>
    </row>
    <row r="100" customFormat="false" ht="12.75" hidden="false" customHeight="false" outlineLevel="0" collapsed="false">
      <c r="A100" s="227"/>
      <c r="B100" s="132" t="s">
        <v>478</v>
      </c>
      <c r="C100" s="218"/>
      <c r="D100" s="174"/>
      <c r="E100" s="229"/>
      <c r="F100" s="174"/>
      <c r="G100" s="174"/>
      <c r="H100" s="174"/>
      <c r="I100" s="229"/>
      <c r="J100" s="174"/>
      <c r="L100" s="174"/>
      <c r="M100" s="95" t="n">
        <v>53364</v>
      </c>
      <c r="N100" s="174"/>
      <c r="O100" s="133" t="n">
        <f aca="false">SUM(K100:N100)</f>
        <v>53364</v>
      </c>
      <c r="P100" s="174"/>
      <c r="V100" s="136"/>
      <c r="AC100" s="96" t="n">
        <v>226</v>
      </c>
      <c r="AE100" s="96" t="n">
        <v>2455</v>
      </c>
      <c r="AG100" s="96" t="n">
        <f aca="false">60271+20840</f>
        <v>81111</v>
      </c>
      <c r="AI100" s="96" t="n">
        <v>21068</v>
      </c>
      <c r="AK100" s="96" t="n">
        <v>116620</v>
      </c>
      <c r="AM100" s="96" t="n">
        <v>13969</v>
      </c>
      <c r="AO100" s="96" t="n">
        <v>7589</v>
      </c>
      <c r="AR100" s="174"/>
      <c r="AS100" s="95" t="n">
        <f aca="false">SUM(P100:AR100)</f>
        <v>243038</v>
      </c>
      <c r="AT100" s="174"/>
      <c r="AU100" s="96" t="n">
        <f aca="false">23319+8681-216+151224-100+7075-7898+7589</f>
        <v>189674</v>
      </c>
      <c r="AV100" s="174"/>
      <c r="AW100" s="95" t="n">
        <f aca="false">IF(+O100-AS100+AU100&gt;0,O100-AS100+AU100,0)</f>
        <v>0</v>
      </c>
      <c r="AX100" s="174"/>
      <c r="AY100" s="95" t="n">
        <f aca="false">+AW100+AS100</f>
        <v>243038</v>
      </c>
      <c r="AZ100" s="174"/>
      <c r="BA100" s="95" t="n">
        <f aca="false">O100-AS100-AW100</f>
        <v>-189674</v>
      </c>
      <c r="BB100" s="95"/>
      <c r="BC100" s="95"/>
      <c r="BE100" s="174"/>
      <c r="BF100" s="174"/>
      <c r="BG100" s="174"/>
      <c r="BH100" s="174"/>
      <c r="BI100" s="174"/>
      <c r="BJ100" s="174"/>
      <c r="BK100" s="174"/>
      <c r="BL100" s="174"/>
      <c r="BM100" s="174"/>
      <c r="BN100" s="174"/>
      <c r="BO100" s="174"/>
      <c r="BP100" s="174"/>
      <c r="BQ100" s="174"/>
      <c r="BR100" s="174"/>
      <c r="BS100" s="174"/>
      <c r="BT100" s="174"/>
      <c r="BU100" s="174"/>
      <c r="BV100" s="174"/>
      <c r="BW100" s="174"/>
      <c r="BX100" s="174"/>
      <c r="BY100" s="174"/>
      <c r="BZ100" s="174"/>
      <c r="CA100" s="174"/>
      <c r="CB100" s="174"/>
      <c r="CC100" s="174"/>
      <c r="CD100" s="174"/>
      <c r="CE100" s="174"/>
      <c r="CF100" s="174"/>
      <c r="CG100" s="174"/>
      <c r="CH100" s="174"/>
      <c r="CI100" s="174"/>
      <c r="CJ100" s="174"/>
      <c r="CK100" s="174"/>
      <c r="CL100" s="174"/>
      <c r="CM100" s="174"/>
      <c r="CN100" s="174"/>
      <c r="CO100" s="174"/>
      <c r="CP100" s="174"/>
      <c r="CQ100" s="174"/>
      <c r="CR100" s="174"/>
      <c r="CS100" s="174"/>
      <c r="CT100" s="174"/>
      <c r="CU100" s="174"/>
      <c r="CV100" s="174"/>
      <c r="CW100" s="174"/>
      <c r="CX100" s="174"/>
      <c r="CY100" s="174"/>
      <c r="CZ100" s="174"/>
      <c r="DA100" s="174"/>
      <c r="DB100" s="174"/>
      <c r="DC100" s="174"/>
      <c r="DD100" s="174"/>
      <c r="DE100" s="174"/>
      <c r="DF100" s="174"/>
      <c r="DG100" s="174"/>
      <c r="DH100" s="174"/>
      <c r="DI100" s="174"/>
      <c r="DJ100" s="174"/>
      <c r="DK100" s="174"/>
      <c r="DL100" s="174"/>
      <c r="DM100" s="174"/>
      <c r="DN100" s="174"/>
      <c r="DO100" s="174"/>
      <c r="DP100" s="174"/>
      <c r="DQ100" s="174"/>
      <c r="DR100" s="174"/>
      <c r="DS100" s="174"/>
      <c r="DT100" s="174"/>
      <c r="DU100" s="174"/>
      <c r="DV100" s="174"/>
      <c r="DW100" s="174"/>
      <c r="DX100" s="174"/>
      <c r="DY100" s="174"/>
      <c r="DZ100" s="174"/>
      <c r="EA100" s="174"/>
      <c r="EB100" s="174"/>
      <c r="EC100" s="174"/>
      <c r="ED100" s="174"/>
      <c r="EE100" s="174"/>
      <c r="EF100" s="174"/>
      <c r="EG100" s="174"/>
      <c r="EH100" s="174"/>
      <c r="EI100" s="174"/>
      <c r="EJ100" s="174"/>
      <c r="EK100" s="174"/>
      <c r="EL100" s="174"/>
      <c r="EM100" s="174"/>
      <c r="EN100" s="174"/>
      <c r="EO100" s="174"/>
      <c r="EP100" s="174"/>
      <c r="EQ100" s="174"/>
      <c r="ER100" s="174"/>
      <c r="ES100" s="174"/>
      <c r="ET100" s="174"/>
      <c r="EU100" s="174"/>
      <c r="EV100" s="174"/>
      <c r="EW100" s="174"/>
      <c r="EX100" s="174"/>
      <c r="EY100" s="174"/>
      <c r="EZ100" s="174"/>
      <c r="FA100" s="174"/>
      <c r="FB100" s="174"/>
      <c r="FC100" s="174"/>
      <c r="FD100" s="174"/>
      <c r="FE100" s="174"/>
      <c r="FF100" s="174"/>
      <c r="FG100" s="174"/>
      <c r="FH100" s="174"/>
      <c r="FI100" s="174"/>
      <c r="FJ100" s="174"/>
      <c r="FK100" s="174"/>
      <c r="FL100" s="174"/>
      <c r="FM100" s="174"/>
      <c r="FN100" s="174"/>
      <c r="FO100" s="174"/>
      <c r="FP100" s="174"/>
      <c r="FQ100" s="174"/>
      <c r="FR100" s="174"/>
      <c r="FS100" s="174"/>
      <c r="FT100" s="174"/>
      <c r="FU100" s="174"/>
      <c r="FV100" s="174"/>
      <c r="FW100" s="174"/>
      <c r="FX100" s="174"/>
      <c r="FY100" s="174"/>
      <c r="FZ100" s="174"/>
      <c r="GA100" s="174"/>
      <c r="GB100" s="174"/>
      <c r="GC100" s="174"/>
      <c r="GD100" s="174"/>
      <c r="GE100" s="174"/>
      <c r="GF100" s="174"/>
      <c r="GG100" s="174"/>
      <c r="GH100" s="174"/>
      <c r="GI100" s="174"/>
      <c r="GJ100" s="174"/>
      <c r="GK100" s="174"/>
      <c r="GL100" s="174"/>
      <c r="GM100" s="174"/>
      <c r="GN100" s="174"/>
      <c r="GO100" s="174"/>
      <c r="GP100" s="174"/>
      <c r="GQ100" s="174"/>
      <c r="GR100" s="174"/>
      <c r="GS100" s="174"/>
      <c r="GT100" s="174"/>
      <c r="GU100" s="174"/>
      <c r="GV100" s="174"/>
      <c r="GW100" s="174"/>
      <c r="GX100" s="174"/>
      <c r="GY100" s="174"/>
      <c r="GZ100" s="174"/>
      <c r="HA100" s="174"/>
      <c r="HB100" s="174"/>
      <c r="HC100" s="174"/>
      <c r="HD100" s="174"/>
      <c r="HE100" s="174"/>
      <c r="HF100" s="174"/>
      <c r="HG100" s="174"/>
      <c r="HH100" s="174"/>
      <c r="HI100" s="174"/>
      <c r="HJ100" s="174"/>
      <c r="HK100" s="174"/>
      <c r="HL100" s="174"/>
      <c r="HM100" s="174"/>
      <c r="HN100" s="174"/>
      <c r="HO100" s="174"/>
      <c r="HP100" s="174"/>
      <c r="HQ100" s="174"/>
      <c r="HR100" s="174"/>
      <c r="HS100" s="174"/>
      <c r="HT100" s="174"/>
      <c r="HU100" s="174"/>
      <c r="HV100" s="174"/>
      <c r="HW100" s="174"/>
      <c r="HX100" s="174"/>
      <c r="HY100" s="174"/>
      <c r="HZ100" s="174"/>
      <c r="IA100" s="174"/>
      <c r="IB100" s="174"/>
      <c r="IC100" s="174"/>
      <c r="ID100" s="174"/>
      <c r="IE100" s="174"/>
      <c r="IF100" s="174"/>
      <c r="IG100" s="174"/>
      <c r="IH100" s="174"/>
      <c r="II100" s="174"/>
      <c r="IJ100" s="174"/>
      <c r="IK100" s="174"/>
      <c r="IL100" s="174"/>
      <c r="IM100" s="174"/>
      <c r="IN100" s="174"/>
      <c r="IO100" s="174"/>
      <c r="IP100" s="174"/>
      <c r="IQ100" s="174"/>
      <c r="IR100" s="174"/>
      <c r="IS100" s="174"/>
      <c r="IT100" s="174"/>
      <c r="IU100" s="174"/>
      <c r="IV100" s="174"/>
      <c r="IW100" s="174"/>
    </row>
    <row r="101" customFormat="false" ht="12.75" hidden="false" customHeight="false" outlineLevel="0" collapsed="false">
      <c r="A101" s="227"/>
      <c r="B101" s="132" t="s">
        <v>479</v>
      </c>
      <c r="C101" s="218"/>
      <c r="D101" s="174"/>
      <c r="E101" s="229"/>
      <c r="F101" s="174"/>
      <c r="G101" s="174"/>
      <c r="H101" s="174"/>
      <c r="I101" s="229"/>
      <c r="J101" s="174"/>
      <c r="L101" s="174"/>
      <c r="M101" s="95" t="n">
        <v>0</v>
      </c>
      <c r="N101" s="174"/>
      <c r="O101" s="133" t="n">
        <f aca="false">SUM(K101:N101)</f>
        <v>0</v>
      </c>
      <c r="P101" s="174"/>
      <c r="V101" s="136"/>
      <c r="AR101" s="174"/>
      <c r="AS101" s="95" t="n">
        <f aca="false">SUM(P101:AR101)</f>
        <v>0</v>
      </c>
      <c r="AT101" s="174"/>
      <c r="AU101" s="96" t="n">
        <f aca="false">5000-5000</f>
        <v>0</v>
      </c>
      <c r="AV101" s="174"/>
      <c r="AW101" s="95" t="n">
        <f aca="false">IF(+O101-AS101+AU101&gt;0,O101-AS101+AU101,0)</f>
        <v>0</v>
      </c>
      <c r="AX101" s="174"/>
      <c r="AY101" s="95" t="n">
        <f aca="false">+AW101+AS101</f>
        <v>0</v>
      </c>
      <c r="AZ101" s="174"/>
      <c r="BA101" s="95" t="n">
        <f aca="false">O101-AS101-AW101</f>
        <v>0</v>
      </c>
      <c r="BB101" s="95"/>
      <c r="BC101" s="95"/>
      <c r="BE101" s="174"/>
      <c r="BF101" s="174"/>
      <c r="BG101" s="174"/>
      <c r="BH101" s="174"/>
      <c r="BI101" s="174"/>
      <c r="BJ101" s="174"/>
      <c r="BK101" s="174"/>
      <c r="BL101" s="174"/>
      <c r="BM101" s="174"/>
      <c r="BN101" s="174"/>
      <c r="BO101" s="174"/>
      <c r="BP101" s="174"/>
      <c r="BQ101" s="174"/>
      <c r="BR101" s="174"/>
      <c r="BS101" s="174"/>
      <c r="BT101" s="174"/>
      <c r="BU101" s="174"/>
      <c r="BV101" s="174"/>
      <c r="BW101" s="174"/>
      <c r="BX101" s="174"/>
      <c r="BY101" s="174"/>
      <c r="BZ101" s="174"/>
      <c r="CA101" s="174"/>
      <c r="CB101" s="174"/>
      <c r="CC101" s="174"/>
      <c r="CD101" s="174"/>
      <c r="CE101" s="174"/>
      <c r="CF101" s="174"/>
      <c r="CG101" s="174"/>
      <c r="CH101" s="174"/>
      <c r="CI101" s="174"/>
      <c r="CJ101" s="174"/>
      <c r="CK101" s="174"/>
      <c r="CL101" s="174"/>
      <c r="CM101" s="174"/>
      <c r="CN101" s="174"/>
      <c r="CO101" s="174"/>
      <c r="CP101" s="174"/>
      <c r="CQ101" s="174"/>
      <c r="CR101" s="174"/>
      <c r="CS101" s="174"/>
      <c r="CT101" s="174"/>
      <c r="CU101" s="174"/>
      <c r="CV101" s="174"/>
      <c r="CW101" s="174"/>
      <c r="CX101" s="174"/>
      <c r="CY101" s="174"/>
      <c r="CZ101" s="174"/>
      <c r="DA101" s="174"/>
      <c r="DB101" s="174"/>
      <c r="DC101" s="174"/>
      <c r="DD101" s="174"/>
      <c r="DE101" s="174"/>
      <c r="DF101" s="174"/>
      <c r="DG101" s="174"/>
      <c r="DH101" s="174"/>
      <c r="DI101" s="174"/>
      <c r="DJ101" s="174"/>
      <c r="DK101" s="174"/>
      <c r="DL101" s="174"/>
      <c r="DM101" s="174"/>
      <c r="DN101" s="174"/>
      <c r="DO101" s="174"/>
      <c r="DP101" s="174"/>
      <c r="DQ101" s="174"/>
      <c r="DR101" s="174"/>
      <c r="DS101" s="174"/>
      <c r="DT101" s="174"/>
      <c r="DU101" s="174"/>
      <c r="DV101" s="174"/>
      <c r="DW101" s="174"/>
      <c r="DX101" s="174"/>
      <c r="DY101" s="174"/>
      <c r="DZ101" s="174"/>
      <c r="EA101" s="174"/>
      <c r="EB101" s="174"/>
      <c r="EC101" s="174"/>
      <c r="ED101" s="174"/>
      <c r="EE101" s="174"/>
      <c r="EF101" s="174"/>
      <c r="EG101" s="174"/>
      <c r="EH101" s="174"/>
      <c r="EI101" s="174"/>
      <c r="EJ101" s="174"/>
      <c r="EK101" s="174"/>
      <c r="EL101" s="174"/>
      <c r="EM101" s="174"/>
      <c r="EN101" s="174"/>
      <c r="EO101" s="174"/>
      <c r="EP101" s="174"/>
      <c r="EQ101" s="174"/>
      <c r="ER101" s="174"/>
      <c r="ES101" s="174"/>
      <c r="ET101" s="174"/>
      <c r="EU101" s="174"/>
      <c r="EV101" s="174"/>
      <c r="EW101" s="174"/>
      <c r="EX101" s="174"/>
      <c r="EY101" s="174"/>
      <c r="EZ101" s="174"/>
      <c r="FA101" s="174"/>
      <c r="FB101" s="174"/>
      <c r="FC101" s="174"/>
      <c r="FD101" s="174"/>
      <c r="FE101" s="174"/>
      <c r="FF101" s="174"/>
      <c r="FG101" s="174"/>
      <c r="FH101" s="174"/>
      <c r="FI101" s="174"/>
      <c r="FJ101" s="174"/>
      <c r="FK101" s="174"/>
      <c r="FL101" s="174"/>
      <c r="FM101" s="174"/>
      <c r="FN101" s="174"/>
      <c r="FO101" s="174"/>
      <c r="FP101" s="174"/>
      <c r="FQ101" s="174"/>
      <c r="FR101" s="174"/>
      <c r="FS101" s="174"/>
      <c r="FT101" s="174"/>
      <c r="FU101" s="174"/>
      <c r="FV101" s="174"/>
      <c r="FW101" s="174"/>
      <c r="FX101" s="174"/>
      <c r="FY101" s="174"/>
      <c r="FZ101" s="174"/>
      <c r="GA101" s="174"/>
      <c r="GB101" s="174"/>
      <c r="GC101" s="174"/>
      <c r="GD101" s="174"/>
      <c r="GE101" s="174"/>
      <c r="GF101" s="174"/>
      <c r="GG101" s="174"/>
      <c r="GH101" s="174"/>
      <c r="GI101" s="174"/>
      <c r="GJ101" s="174"/>
      <c r="GK101" s="174"/>
      <c r="GL101" s="174"/>
      <c r="GM101" s="174"/>
      <c r="GN101" s="174"/>
      <c r="GO101" s="174"/>
      <c r="GP101" s="174"/>
      <c r="GQ101" s="174"/>
      <c r="GR101" s="174"/>
      <c r="GS101" s="174"/>
      <c r="GT101" s="174"/>
      <c r="GU101" s="174"/>
      <c r="GV101" s="174"/>
      <c r="GW101" s="174"/>
      <c r="GX101" s="174"/>
      <c r="GY101" s="174"/>
      <c r="GZ101" s="174"/>
      <c r="HA101" s="174"/>
      <c r="HB101" s="174"/>
      <c r="HC101" s="174"/>
      <c r="HD101" s="174"/>
      <c r="HE101" s="174"/>
      <c r="HF101" s="174"/>
      <c r="HG101" s="174"/>
      <c r="HH101" s="174"/>
      <c r="HI101" s="174"/>
      <c r="HJ101" s="174"/>
      <c r="HK101" s="174"/>
      <c r="HL101" s="174"/>
      <c r="HM101" s="174"/>
      <c r="HN101" s="174"/>
      <c r="HO101" s="174"/>
      <c r="HP101" s="174"/>
      <c r="HQ101" s="174"/>
      <c r="HR101" s="174"/>
      <c r="HS101" s="174"/>
      <c r="HT101" s="174"/>
      <c r="HU101" s="174"/>
      <c r="HV101" s="174"/>
      <c r="HW101" s="174"/>
      <c r="HX101" s="174"/>
      <c r="HY101" s="174"/>
      <c r="HZ101" s="174"/>
      <c r="IA101" s="174"/>
      <c r="IB101" s="174"/>
      <c r="IC101" s="174"/>
      <c r="ID101" s="174"/>
      <c r="IE101" s="174"/>
      <c r="IF101" s="174"/>
      <c r="IG101" s="174"/>
      <c r="IH101" s="174"/>
      <c r="II101" s="174"/>
      <c r="IJ101" s="174"/>
      <c r="IK101" s="174"/>
      <c r="IL101" s="174"/>
      <c r="IM101" s="174"/>
      <c r="IN101" s="174"/>
      <c r="IO101" s="174"/>
      <c r="IP101" s="174"/>
      <c r="IQ101" s="174"/>
      <c r="IR101" s="174"/>
      <c r="IS101" s="174"/>
      <c r="IT101" s="174"/>
      <c r="IU101" s="174"/>
      <c r="IV101" s="174"/>
      <c r="IW101" s="174"/>
    </row>
    <row r="102" customFormat="false" ht="12.75" hidden="false" customHeight="false" outlineLevel="0" collapsed="false">
      <c r="A102" s="227"/>
      <c r="B102" s="132" t="s">
        <v>480</v>
      </c>
      <c r="C102" s="218"/>
      <c r="D102" s="174"/>
      <c r="E102" s="229"/>
      <c r="F102" s="174"/>
      <c r="G102" s="174"/>
      <c r="H102" s="174"/>
      <c r="I102" s="229"/>
      <c r="J102" s="174"/>
      <c r="L102" s="174"/>
      <c r="M102" s="95" t="n">
        <v>84253</v>
      </c>
      <c r="N102" s="174"/>
      <c r="O102" s="133" t="n">
        <f aca="false">SUM(K102:N102)</f>
        <v>84253</v>
      </c>
      <c r="P102" s="174"/>
      <c r="V102" s="136"/>
      <c r="Y102" s="96" t="n">
        <v>720</v>
      </c>
      <c r="AE102" s="96" t="n">
        <v>20186</v>
      </c>
      <c r="AG102" s="96" t="n">
        <f aca="false">71069+18019</f>
        <v>89088</v>
      </c>
      <c r="AK102" s="96" t="n">
        <v>631</v>
      </c>
      <c r="AR102" s="174"/>
      <c r="AS102" s="95" t="n">
        <f aca="false">SUM(P102:AR102)</f>
        <v>110625</v>
      </c>
      <c r="AT102" s="174"/>
      <c r="AU102" s="96" t="n">
        <f aca="false">28848+12551-5570-9457</f>
        <v>26372</v>
      </c>
      <c r="AV102" s="174"/>
      <c r="AW102" s="95" t="n">
        <f aca="false">IF(+O102-AS102+AU102&gt;0,O102-AS102+AU102,0)</f>
        <v>0</v>
      </c>
      <c r="AX102" s="174"/>
      <c r="AY102" s="95" t="n">
        <f aca="false">+AW102+AS102</f>
        <v>110625</v>
      </c>
      <c r="AZ102" s="174"/>
      <c r="BA102" s="95" t="n">
        <f aca="false">O102-AS102-AW102</f>
        <v>-26372</v>
      </c>
      <c r="BB102" s="95"/>
      <c r="BC102" s="95"/>
      <c r="BE102" s="174"/>
      <c r="BF102" s="174"/>
      <c r="BG102" s="174"/>
      <c r="BH102" s="174"/>
      <c r="BI102" s="174"/>
      <c r="BJ102" s="174"/>
      <c r="BK102" s="174"/>
      <c r="BL102" s="174"/>
      <c r="BM102" s="174"/>
      <c r="BN102" s="174"/>
      <c r="BO102" s="174"/>
      <c r="BP102" s="174"/>
      <c r="BQ102" s="174"/>
      <c r="BR102" s="174"/>
      <c r="BS102" s="174"/>
      <c r="BT102" s="174"/>
      <c r="BU102" s="174"/>
      <c r="BV102" s="174"/>
      <c r="BW102" s="174"/>
      <c r="BX102" s="174"/>
      <c r="BY102" s="174"/>
      <c r="BZ102" s="174"/>
      <c r="CA102" s="174"/>
      <c r="CB102" s="174"/>
      <c r="CC102" s="174"/>
      <c r="CD102" s="174"/>
      <c r="CE102" s="174"/>
      <c r="CF102" s="174"/>
      <c r="CG102" s="174"/>
      <c r="CH102" s="174"/>
      <c r="CI102" s="174"/>
      <c r="CJ102" s="174"/>
      <c r="CK102" s="174"/>
      <c r="CL102" s="174"/>
      <c r="CM102" s="174"/>
      <c r="CN102" s="174"/>
      <c r="CO102" s="174"/>
      <c r="CP102" s="174"/>
      <c r="CQ102" s="174"/>
      <c r="CR102" s="174"/>
      <c r="CS102" s="174"/>
      <c r="CT102" s="174"/>
      <c r="CU102" s="174"/>
      <c r="CV102" s="174"/>
      <c r="CW102" s="174"/>
      <c r="CX102" s="174"/>
      <c r="CY102" s="174"/>
      <c r="CZ102" s="174"/>
      <c r="DA102" s="174"/>
      <c r="DB102" s="174"/>
      <c r="DC102" s="174"/>
      <c r="DD102" s="174"/>
      <c r="DE102" s="174"/>
      <c r="DF102" s="174"/>
      <c r="DG102" s="174"/>
      <c r="DH102" s="174"/>
      <c r="DI102" s="174"/>
      <c r="DJ102" s="174"/>
      <c r="DK102" s="174"/>
      <c r="DL102" s="174"/>
      <c r="DM102" s="174"/>
      <c r="DN102" s="174"/>
      <c r="DO102" s="174"/>
      <c r="DP102" s="174"/>
      <c r="DQ102" s="174"/>
      <c r="DR102" s="174"/>
      <c r="DS102" s="174"/>
      <c r="DT102" s="174"/>
      <c r="DU102" s="174"/>
      <c r="DV102" s="174"/>
      <c r="DW102" s="174"/>
      <c r="DX102" s="174"/>
      <c r="DY102" s="174"/>
      <c r="DZ102" s="174"/>
      <c r="EA102" s="174"/>
      <c r="EB102" s="174"/>
      <c r="EC102" s="174"/>
      <c r="ED102" s="174"/>
      <c r="EE102" s="174"/>
      <c r="EF102" s="174"/>
      <c r="EG102" s="174"/>
      <c r="EH102" s="174"/>
      <c r="EI102" s="174"/>
      <c r="EJ102" s="174"/>
      <c r="EK102" s="174"/>
      <c r="EL102" s="174"/>
      <c r="EM102" s="174"/>
      <c r="EN102" s="174"/>
      <c r="EO102" s="174"/>
      <c r="EP102" s="174"/>
      <c r="EQ102" s="174"/>
      <c r="ER102" s="174"/>
      <c r="ES102" s="174"/>
      <c r="ET102" s="174"/>
      <c r="EU102" s="174"/>
      <c r="EV102" s="174"/>
      <c r="EW102" s="174"/>
      <c r="EX102" s="174"/>
      <c r="EY102" s="174"/>
      <c r="EZ102" s="174"/>
      <c r="FA102" s="174"/>
      <c r="FB102" s="174"/>
      <c r="FC102" s="174"/>
      <c r="FD102" s="174"/>
      <c r="FE102" s="174"/>
      <c r="FF102" s="174"/>
      <c r="FG102" s="174"/>
      <c r="FH102" s="174"/>
      <c r="FI102" s="174"/>
      <c r="FJ102" s="174"/>
      <c r="FK102" s="174"/>
      <c r="FL102" s="174"/>
      <c r="FM102" s="174"/>
      <c r="FN102" s="174"/>
      <c r="FO102" s="174"/>
      <c r="FP102" s="174"/>
      <c r="FQ102" s="174"/>
      <c r="FR102" s="174"/>
      <c r="FS102" s="174"/>
      <c r="FT102" s="174"/>
      <c r="FU102" s="174"/>
      <c r="FV102" s="174"/>
      <c r="FW102" s="174"/>
      <c r="FX102" s="174"/>
      <c r="FY102" s="174"/>
      <c r="FZ102" s="174"/>
      <c r="GA102" s="174"/>
      <c r="GB102" s="174"/>
      <c r="GC102" s="174"/>
      <c r="GD102" s="174"/>
      <c r="GE102" s="174"/>
      <c r="GF102" s="174"/>
      <c r="GG102" s="174"/>
      <c r="GH102" s="174"/>
      <c r="GI102" s="174"/>
      <c r="GJ102" s="174"/>
      <c r="GK102" s="174"/>
      <c r="GL102" s="174"/>
      <c r="GM102" s="174"/>
      <c r="GN102" s="174"/>
      <c r="GO102" s="174"/>
      <c r="GP102" s="174"/>
      <c r="GQ102" s="174"/>
      <c r="GR102" s="174"/>
      <c r="GS102" s="174"/>
      <c r="GT102" s="174"/>
      <c r="GU102" s="174"/>
      <c r="GV102" s="174"/>
      <c r="GW102" s="174"/>
      <c r="GX102" s="174"/>
      <c r="GY102" s="174"/>
      <c r="GZ102" s="174"/>
      <c r="HA102" s="174"/>
      <c r="HB102" s="174"/>
      <c r="HC102" s="174"/>
      <c r="HD102" s="174"/>
      <c r="HE102" s="174"/>
      <c r="HF102" s="174"/>
      <c r="HG102" s="174"/>
      <c r="HH102" s="174"/>
      <c r="HI102" s="174"/>
      <c r="HJ102" s="174"/>
      <c r="HK102" s="174"/>
      <c r="HL102" s="174"/>
      <c r="HM102" s="174"/>
      <c r="HN102" s="174"/>
      <c r="HO102" s="174"/>
      <c r="HP102" s="174"/>
      <c r="HQ102" s="174"/>
      <c r="HR102" s="174"/>
      <c r="HS102" s="174"/>
      <c r="HT102" s="174"/>
      <c r="HU102" s="174"/>
      <c r="HV102" s="174"/>
      <c r="HW102" s="174"/>
      <c r="HX102" s="174"/>
      <c r="HY102" s="174"/>
      <c r="HZ102" s="174"/>
      <c r="IA102" s="174"/>
      <c r="IB102" s="174"/>
      <c r="IC102" s="174"/>
      <c r="ID102" s="174"/>
      <c r="IE102" s="174"/>
      <c r="IF102" s="174"/>
      <c r="IG102" s="174"/>
      <c r="IH102" s="174"/>
      <c r="II102" s="174"/>
      <c r="IJ102" s="174"/>
      <c r="IK102" s="174"/>
      <c r="IL102" s="174"/>
      <c r="IM102" s="174"/>
      <c r="IN102" s="174"/>
      <c r="IO102" s="174"/>
      <c r="IP102" s="174"/>
      <c r="IQ102" s="174"/>
      <c r="IR102" s="174"/>
      <c r="IS102" s="174"/>
      <c r="IT102" s="174"/>
      <c r="IU102" s="174"/>
      <c r="IV102" s="174"/>
      <c r="IW102" s="174"/>
    </row>
    <row r="103" customFormat="false" ht="12.75" hidden="false" customHeight="false" outlineLevel="0" collapsed="false">
      <c r="A103" s="227"/>
      <c r="B103" s="132" t="s">
        <v>245</v>
      </c>
      <c r="C103" s="218"/>
      <c r="D103" s="174"/>
      <c r="E103" s="229"/>
      <c r="F103" s="174"/>
      <c r="G103" s="174"/>
      <c r="H103" s="174"/>
      <c r="I103" s="229"/>
      <c r="J103" s="174"/>
      <c r="L103" s="174"/>
      <c r="N103" s="174"/>
      <c r="O103" s="133" t="n">
        <f aca="false">SUM(K103:N103)</f>
        <v>0</v>
      </c>
      <c r="P103" s="174"/>
      <c r="V103" s="136"/>
      <c r="AR103" s="174"/>
      <c r="AS103" s="95" t="n">
        <f aca="false">SUM(P103:AR103)</f>
        <v>0</v>
      </c>
      <c r="AT103" s="174"/>
      <c r="AV103" s="174"/>
      <c r="AW103" s="95" t="n">
        <f aca="false">IF(+O103-AS103+AU103&gt;0,O103-AS103+AU103,0)</f>
        <v>0</v>
      </c>
      <c r="AX103" s="174"/>
      <c r="AY103" s="95" t="n">
        <f aca="false">+AW103+AS103</f>
        <v>0</v>
      </c>
      <c r="AZ103" s="174"/>
      <c r="BA103" s="95" t="n">
        <f aca="false">O103-AS103-AW103</f>
        <v>0</v>
      </c>
      <c r="BB103" s="95"/>
      <c r="BC103" s="95"/>
      <c r="BE103" s="174"/>
      <c r="BF103" s="174"/>
      <c r="BG103" s="174"/>
      <c r="BH103" s="174"/>
      <c r="BI103" s="174"/>
      <c r="BJ103" s="174"/>
      <c r="BK103" s="174"/>
      <c r="BL103" s="174"/>
      <c r="BM103" s="174"/>
      <c r="BN103" s="174"/>
      <c r="BO103" s="174"/>
      <c r="BP103" s="174"/>
      <c r="BQ103" s="174"/>
      <c r="BR103" s="174"/>
      <c r="BS103" s="174"/>
      <c r="BT103" s="174"/>
      <c r="BU103" s="174"/>
      <c r="BV103" s="174"/>
      <c r="BW103" s="174"/>
      <c r="BX103" s="174"/>
      <c r="BY103" s="174"/>
      <c r="BZ103" s="174"/>
      <c r="CA103" s="174"/>
      <c r="CB103" s="174"/>
      <c r="CC103" s="174"/>
      <c r="CD103" s="174"/>
      <c r="CE103" s="174"/>
      <c r="CF103" s="174"/>
      <c r="CG103" s="174"/>
      <c r="CH103" s="174"/>
      <c r="CI103" s="174"/>
      <c r="CJ103" s="174"/>
      <c r="CK103" s="174"/>
      <c r="CL103" s="174"/>
      <c r="CM103" s="174"/>
      <c r="CN103" s="174"/>
      <c r="CO103" s="174"/>
      <c r="CP103" s="174"/>
      <c r="CQ103" s="174"/>
      <c r="CR103" s="174"/>
      <c r="CS103" s="174"/>
      <c r="CT103" s="174"/>
      <c r="CU103" s="174"/>
      <c r="CV103" s="174"/>
      <c r="CW103" s="174"/>
      <c r="CX103" s="174"/>
      <c r="CY103" s="174"/>
      <c r="CZ103" s="174"/>
      <c r="DA103" s="174"/>
      <c r="DB103" s="174"/>
      <c r="DC103" s="174"/>
      <c r="DD103" s="174"/>
      <c r="DE103" s="174"/>
      <c r="DF103" s="174"/>
      <c r="DG103" s="174"/>
      <c r="DH103" s="174"/>
      <c r="DI103" s="174"/>
      <c r="DJ103" s="174"/>
      <c r="DK103" s="174"/>
      <c r="DL103" s="174"/>
      <c r="DM103" s="174"/>
      <c r="DN103" s="174"/>
      <c r="DO103" s="174"/>
      <c r="DP103" s="174"/>
      <c r="DQ103" s="174"/>
      <c r="DR103" s="174"/>
      <c r="DS103" s="174"/>
      <c r="DT103" s="174"/>
      <c r="DU103" s="174"/>
      <c r="DV103" s="174"/>
      <c r="DW103" s="174"/>
      <c r="DX103" s="174"/>
      <c r="DY103" s="174"/>
      <c r="DZ103" s="174"/>
      <c r="EA103" s="174"/>
      <c r="EB103" s="174"/>
      <c r="EC103" s="174"/>
      <c r="ED103" s="174"/>
      <c r="EE103" s="174"/>
      <c r="EF103" s="174"/>
      <c r="EG103" s="174"/>
      <c r="EH103" s="174"/>
      <c r="EI103" s="174"/>
      <c r="EJ103" s="174"/>
      <c r="EK103" s="174"/>
      <c r="EL103" s="174"/>
      <c r="EM103" s="174"/>
      <c r="EN103" s="174"/>
      <c r="EO103" s="174"/>
      <c r="EP103" s="174"/>
      <c r="EQ103" s="174"/>
      <c r="ER103" s="174"/>
      <c r="ES103" s="174"/>
      <c r="ET103" s="174"/>
      <c r="EU103" s="174"/>
      <c r="EV103" s="174"/>
      <c r="EW103" s="174"/>
      <c r="EX103" s="174"/>
      <c r="EY103" s="174"/>
      <c r="EZ103" s="174"/>
      <c r="FA103" s="174"/>
      <c r="FB103" s="174"/>
      <c r="FC103" s="174"/>
      <c r="FD103" s="174"/>
      <c r="FE103" s="174"/>
      <c r="FF103" s="174"/>
      <c r="FG103" s="174"/>
      <c r="FH103" s="174"/>
      <c r="FI103" s="174"/>
      <c r="FJ103" s="174"/>
      <c r="FK103" s="174"/>
      <c r="FL103" s="174"/>
      <c r="FM103" s="174"/>
      <c r="FN103" s="174"/>
      <c r="FO103" s="174"/>
      <c r="FP103" s="174"/>
      <c r="FQ103" s="174"/>
      <c r="FR103" s="174"/>
      <c r="FS103" s="174"/>
      <c r="FT103" s="174"/>
      <c r="FU103" s="174"/>
      <c r="FV103" s="174"/>
      <c r="FW103" s="174"/>
      <c r="FX103" s="174"/>
      <c r="FY103" s="174"/>
      <c r="FZ103" s="174"/>
      <c r="GA103" s="174"/>
      <c r="GB103" s="174"/>
      <c r="GC103" s="174"/>
      <c r="GD103" s="174"/>
      <c r="GE103" s="174"/>
      <c r="GF103" s="174"/>
      <c r="GG103" s="174"/>
      <c r="GH103" s="174"/>
      <c r="GI103" s="174"/>
      <c r="GJ103" s="174"/>
      <c r="GK103" s="174"/>
      <c r="GL103" s="174"/>
      <c r="GM103" s="174"/>
      <c r="GN103" s="174"/>
      <c r="GO103" s="174"/>
      <c r="GP103" s="174"/>
      <c r="GQ103" s="174"/>
      <c r="GR103" s="174"/>
      <c r="GS103" s="174"/>
      <c r="GT103" s="174"/>
      <c r="GU103" s="174"/>
      <c r="GV103" s="174"/>
      <c r="GW103" s="174"/>
      <c r="GX103" s="174"/>
      <c r="GY103" s="174"/>
      <c r="GZ103" s="174"/>
      <c r="HA103" s="174"/>
      <c r="HB103" s="174"/>
      <c r="HC103" s="174"/>
      <c r="HD103" s="174"/>
      <c r="HE103" s="174"/>
      <c r="HF103" s="174"/>
      <c r="HG103" s="174"/>
      <c r="HH103" s="174"/>
      <c r="HI103" s="174"/>
      <c r="HJ103" s="174"/>
      <c r="HK103" s="174"/>
      <c r="HL103" s="174"/>
      <c r="HM103" s="174"/>
      <c r="HN103" s="174"/>
      <c r="HO103" s="174"/>
      <c r="HP103" s="174"/>
      <c r="HQ103" s="174"/>
      <c r="HR103" s="174"/>
      <c r="HS103" s="174"/>
      <c r="HT103" s="174"/>
      <c r="HU103" s="174"/>
      <c r="HV103" s="174"/>
      <c r="HW103" s="174"/>
      <c r="HX103" s="174"/>
      <c r="HY103" s="174"/>
      <c r="HZ103" s="174"/>
      <c r="IA103" s="174"/>
      <c r="IB103" s="174"/>
      <c r="IC103" s="174"/>
      <c r="ID103" s="174"/>
      <c r="IE103" s="174"/>
      <c r="IF103" s="174"/>
      <c r="IG103" s="174"/>
      <c r="IH103" s="174"/>
      <c r="II103" s="174"/>
      <c r="IJ103" s="174"/>
      <c r="IK103" s="174"/>
      <c r="IL103" s="174"/>
      <c r="IM103" s="174"/>
      <c r="IN103" s="174"/>
      <c r="IO103" s="174"/>
      <c r="IP103" s="174"/>
      <c r="IQ103" s="174"/>
      <c r="IR103" s="174"/>
      <c r="IS103" s="174"/>
      <c r="IT103" s="174"/>
      <c r="IU103" s="174"/>
      <c r="IV103" s="174"/>
      <c r="IW103" s="174"/>
    </row>
    <row r="104" customFormat="false" ht="12.75" hidden="false" customHeight="false" outlineLevel="0" collapsed="false">
      <c r="A104" s="227"/>
      <c r="B104" s="132" t="s">
        <v>478</v>
      </c>
      <c r="C104" s="218"/>
      <c r="D104" s="174"/>
      <c r="E104" s="229"/>
      <c r="F104" s="174"/>
      <c r="G104" s="174"/>
      <c r="H104" s="174"/>
      <c r="I104" s="229"/>
      <c r="J104" s="174"/>
      <c r="L104" s="174"/>
      <c r="M104" s="95" t="n">
        <v>597175</v>
      </c>
      <c r="N104" s="174"/>
      <c r="O104" s="133" t="n">
        <f aca="false">SUM(K104:N104)</f>
        <v>597175</v>
      </c>
      <c r="P104" s="174"/>
      <c r="V104" s="136"/>
      <c r="AC104" s="96" t="n">
        <v>63923</v>
      </c>
      <c r="AE104" s="96" t="n">
        <v>36130</v>
      </c>
      <c r="AG104" s="96" t="n">
        <f aca="false">946615+333634-894451+139281</f>
        <v>525079</v>
      </c>
      <c r="AK104" s="96" t="n">
        <v>382740</v>
      </c>
      <c r="AM104" s="96" t="n">
        <v>18555</v>
      </c>
      <c r="AO104" s="96" t="n">
        <v>62368</v>
      </c>
      <c r="AR104" s="174"/>
      <c r="AS104" s="95" t="n">
        <f aca="false">SUM(P104:AR104)</f>
        <v>1088795</v>
      </c>
      <c r="AT104" s="174"/>
      <c r="AU104" s="96" t="n">
        <f aca="false">1013275-597175-197392-330032-11244+499888+26996+223387+16486+189626+37893+235051+40023+54529+267268-15268+444+322-1-25403-252020-747401+62368</f>
        <v>491620</v>
      </c>
      <c r="AV104" s="174"/>
      <c r="AW104" s="95" t="n">
        <f aca="false">IF(+O104-AS104+AU104&gt;0,O104-AS104+AU104,0)</f>
        <v>0</v>
      </c>
      <c r="AX104" s="174"/>
      <c r="AY104" s="135" t="n">
        <f aca="false">+AW104+AS104</f>
        <v>1088795</v>
      </c>
      <c r="AZ104" s="174"/>
      <c r="BA104" s="95" t="n">
        <f aca="false">O104-AS104-AW104</f>
        <v>-491620</v>
      </c>
      <c r="BB104" s="95"/>
      <c r="BC104" s="95"/>
      <c r="BE104" s="174"/>
      <c r="BF104" s="174"/>
      <c r="BG104" s="174"/>
      <c r="BH104" s="174"/>
      <c r="BI104" s="174"/>
      <c r="BJ104" s="174"/>
      <c r="BK104" s="174"/>
      <c r="BL104" s="174"/>
      <c r="BM104" s="174"/>
      <c r="BN104" s="174"/>
      <c r="BO104" s="174"/>
      <c r="BP104" s="174"/>
      <c r="BQ104" s="174"/>
      <c r="BR104" s="174"/>
      <c r="BS104" s="174"/>
      <c r="BT104" s="174"/>
      <c r="BU104" s="174"/>
      <c r="BV104" s="174"/>
      <c r="BW104" s="174"/>
      <c r="BX104" s="174"/>
      <c r="BY104" s="174"/>
      <c r="BZ104" s="174"/>
      <c r="CA104" s="174"/>
      <c r="CB104" s="174"/>
      <c r="CC104" s="174"/>
      <c r="CD104" s="174"/>
      <c r="CE104" s="174"/>
      <c r="CF104" s="174"/>
      <c r="CG104" s="174"/>
      <c r="CH104" s="174"/>
      <c r="CI104" s="174"/>
      <c r="CJ104" s="174"/>
      <c r="CK104" s="174"/>
      <c r="CL104" s="174"/>
      <c r="CM104" s="174"/>
      <c r="CN104" s="174"/>
      <c r="CO104" s="174"/>
      <c r="CP104" s="174"/>
      <c r="CQ104" s="174"/>
      <c r="CR104" s="174"/>
      <c r="CS104" s="174"/>
      <c r="CT104" s="174"/>
      <c r="CU104" s="174"/>
      <c r="CV104" s="174"/>
      <c r="CW104" s="174"/>
      <c r="CX104" s="174"/>
      <c r="CY104" s="174"/>
      <c r="CZ104" s="174"/>
      <c r="DA104" s="174"/>
      <c r="DB104" s="174"/>
      <c r="DC104" s="174"/>
      <c r="DD104" s="174"/>
      <c r="DE104" s="174"/>
      <c r="DF104" s="174"/>
      <c r="DG104" s="174"/>
      <c r="DH104" s="174"/>
      <c r="DI104" s="174"/>
      <c r="DJ104" s="174"/>
      <c r="DK104" s="174"/>
      <c r="DL104" s="174"/>
      <c r="DM104" s="174"/>
      <c r="DN104" s="174"/>
      <c r="DO104" s="174"/>
      <c r="DP104" s="174"/>
      <c r="DQ104" s="174"/>
      <c r="DR104" s="174"/>
      <c r="DS104" s="174"/>
      <c r="DT104" s="174"/>
      <c r="DU104" s="174"/>
      <c r="DV104" s="174"/>
      <c r="DW104" s="174"/>
      <c r="DX104" s="174"/>
      <c r="DY104" s="174"/>
      <c r="DZ104" s="174"/>
      <c r="EA104" s="174"/>
      <c r="EB104" s="174"/>
      <c r="EC104" s="174"/>
      <c r="ED104" s="174"/>
      <c r="EE104" s="174"/>
      <c r="EF104" s="174"/>
      <c r="EG104" s="174"/>
      <c r="EH104" s="174"/>
      <c r="EI104" s="174"/>
      <c r="EJ104" s="174"/>
      <c r="EK104" s="174"/>
      <c r="EL104" s="174"/>
      <c r="EM104" s="174"/>
      <c r="EN104" s="174"/>
      <c r="EO104" s="174"/>
      <c r="EP104" s="174"/>
      <c r="EQ104" s="174"/>
      <c r="ER104" s="174"/>
      <c r="ES104" s="174"/>
      <c r="ET104" s="174"/>
      <c r="EU104" s="174"/>
      <c r="EV104" s="174"/>
      <c r="EW104" s="174"/>
      <c r="EX104" s="174"/>
      <c r="EY104" s="174"/>
      <c r="EZ104" s="174"/>
      <c r="FA104" s="174"/>
      <c r="FB104" s="174"/>
      <c r="FC104" s="174"/>
      <c r="FD104" s="174"/>
      <c r="FE104" s="174"/>
      <c r="FF104" s="174"/>
      <c r="FG104" s="174"/>
      <c r="FH104" s="174"/>
      <c r="FI104" s="174"/>
      <c r="FJ104" s="174"/>
      <c r="FK104" s="174"/>
      <c r="FL104" s="174"/>
      <c r="FM104" s="174"/>
      <c r="FN104" s="174"/>
      <c r="FO104" s="174"/>
      <c r="FP104" s="174"/>
      <c r="FQ104" s="174"/>
      <c r="FR104" s="174"/>
      <c r="FS104" s="174"/>
      <c r="FT104" s="174"/>
      <c r="FU104" s="174"/>
      <c r="FV104" s="174"/>
      <c r="FW104" s="174"/>
      <c r="FX104" s="174"/>
      <c r="FY104" s="174"/>
      <c r="FZ104" s="174"/>
      <c r="GA104" s="174"/>
      <c r="GB104" s="174"/>
      <c r="GC104" s="174"/>
      <c r="GD104" s="174"/>
      <c r="GE104" s="174"/>
      <c r="GF104" s="174"/>
      <c r="GG104" s="174"/>
      <c r="GH104" s="174"/>
      <c r="GI104" s="174"/>
      <c r="GJ104" s="174"/>
      <c r="GK104" s="174"/>
      <c r="GL104" s="174"/>
      <c r="GM104" s="174"/>
      <c r="GN104" s="174"/>
      <c r="GO104" s="174"/>
      <c r="GP104" s="174"/>
      <c r="GQ104" s="174"/>
      <c r="GR104" s="174"/>
      <c r="GS104" s="174"/>
      <c r="GT104" s="174"/>
      <c r="GU104" s="174"/>
      <c r="GV104" s="174"/>
      <c r="GW104" s="174"/>
      <c r="GX104" s="174"/>
      <c r="GY104" s="174"/>
      <c r="GZ104" s="174"/>
      <c r="HA104" s="174"/>
      <c r="HB104" s="174"/>
      <c r="HC104" s="174"/>
      <c r="HD104" s="174"/>
      <c r="HE104" s="174"/>
      <c r="HF104" s="174"/>
      <c r="HG104" s="174"/>
      <c r="HH104" s="174"/>
      <c r="HI104" s="174"/>
      <c r="HJ104" s="174"/>
      <c r="HK104" s="174"/>
      <c r="HL104" s="174"/>
      <c r="HM104" s="174"/>
      <c r="HN104" s="174"/>
      <c r="HO104" s="174"/>
      <c r="HP104" s="174"/>
      <c r="HQ104" s="174"/>
      <c r="HR104" s="174"/>
      <c r="HS104" s="174"/>
      <c r="HT104" s="174"/>
      <c r="HU104" s="174"/>
      <c r="HV104" s="174"/>
      <c r="HW104" s="174"/>
      <c r="HX104" s="174"/>
      <c r="HY104" s="174"/>
      <c r="HZ104" s="174"/>
      <c r="IA104" s="174"/>
      <c r="IB104" s="174"/>
      <c r="IC104" s="174"/>
      <c r="ID104" s="174"/>
      <c r="IE104" s="174"/>
      <c r="IF104" s="174"/>
      <c r="IG104" s="174"/>
      <c r="IH104" s="174"/>
      <c r="II104" s="174"/>
      <c r="IJ104" s="174"/>
      <c r="IK104" s="174"/>
      <c r="IL104" s="174"/>
      <c r="IM104" s="174"/>
      <c r="IN104" s="174"/>
      <c r="IO104" s="174"/>
      <c r="IP104" s="174"/>
      <c r="IQ104" s="174"/>
      <c r="IR104" s="174"/>
      <c r="IS104" s="174"/>
      <c r="IT104" s="174"/>
      <c r="IU104" s="174"/>
      <c r="IV104" s="174"/>
      <c r="IW104" s="174"/>
    </row>
    <row r="105" customFormat="false" ht="12.75" hidden="false" customHeight="false" outlineLevel="0" collapsed="false">
      <c r="A105" s="227"/>
      <c r="B105" s="132" t="s">
        <v>479</v>
      </c>
      <c r="C105" s="218"/>
      <c r="D105" s="174"/>
      <c r="E105" s="229"/>
      <c r="F105" s="174"/>
      <c r="G105" s="174"/>
      <c r="H105" s="174"/>
      <c r="I105" s="229"/>
      <c r="J105" s="174"/>
      <c r="L105" s="174"/>
      <c r="M105" s="95" t="n">
        <v>190000</v>
      </c>
      <c r="N105" s="174"/>
      <c r="O105" s="133" t="n">
        <f aca="false">SUM(K105:N105)</f>
        <v>190000</v>
      </c>
      <c r="P105" s="174"/>
      <c r="V105" s="136"/>
      <c r="AR105" s="174"/>
      <c r="AS105" s="95" t="n">
        <f aca="false">SUM(P105:AR105)</f>
        <v>0</v>
      </c>
      <c r="AT105" s="174"/>
      <c r="AU105" s="96" t="n">
        <f aca="false">12000+50000-252000+314125-314125</f>
        <v>-190000</v>
      </c>
      <c r="AV105" s="174"/>
      <c r="AW105" s="95" t="n">
        <f aca="false">IF(+O105-AS105+AU105&gt;0,O105-AS105+AU105,0)</f>
        <v>0</v>
      </c>
      <c r="AX105" s="174"/>
      <c r="AY105" s="95" t="n">
        <f aca="false">+AW105+AS105</f>
        <v>0</v>
      </c>
      <c r="AZ105" s="174"/>
      <c r="BA105" s="95" t="n">
        <f aca="false">O105-AS105-AW105</f>
        <v>190000</v>
      </c>
      <c r="BB105" s="95"/>
      <c r="BC105" s="95"/>
      <c r="BE105" s="174"/>
      <c r="BF105" s="174"/>
      <c r="BG105" s="174"/>
      <c r="BH105" s="174"/>
      <c r="BI105" s="174"/>
      <c r="BJ105" s="174"/>
      <c r="BK105" s="174"/>
      <c r="BL105" s="174"/>
      <c r="BM105" s="174"/>
      <c r="BN105" s="174"/>
      <c r="BO105" s="174"/>
      <c r="BP105" s="174"/>
      <c r="BQ105" s="174"/>
      <c r="BR105" s="174"/>
      <c r="BS105" s="174"/>
      <c r="BT105" s="174"/>
      <c r="BU105" s="174"/>
      <c r="BV105" s="174"/>
      <c r="BW105" s="174"/>
      <c r="BX105" s="174"/>
      <c r="BY105" s="174"/>
      <c r="BZ105" s="174"/>
      <c r="CA105" s="174"/>
      <c r="CB105" s="174"/>
      <c r="CC105" s="174"/>
      <c r="CD105" s="174"/>
      <c r="CE105" s="174"/>
      <c r="CF105" s="174"/>
      <c r="CG105" s="174"/>
      <c r="CH105" s="174"/>
      <c r="CI105" s="174"/>
      <c r="CJ105" s="174"/>
      <c r="CK105" s="174"/>
      <c r="CL105" s="174"/>
      <c r="CM105" s="174"/>
      <c r="CN105" s="174"/>
      <c r="CO105" s="174"/>
      <c r="CP105" s="174"/>
      <c r="CQ105" s="174"/>
      <c r="CR105" s="174"/>
      <c r="CS105" s="174"/>
      <c r="CT105" s="174"/>
      <c r="CU105" s="174"/>
      <c r="CV105" s="174"/>
      <c r="CW105" s="174"/>
      <c r="CX105" s="174"/>
      <c r="CY105" s="174"/>
      <c r="CZ105" s="174"/>
      <c r="DA105" s="174"/>
      <c r="DB105" s="174"/>
      <c r="DC105" s="174"/>
      <c r="DD105" s="174"/>
      <c r="DE105" s="174"/>
      <c r="DF105" s="174"/>
      <c r="DG105" s="174"/>
      <c r="DH105" s="174"/>
      <c r="DI105" s="174"/>
      <c r="DJ105" s="174"/>
      <c r="DK105" s="174"/>
      <c r="DL105" s="174"/>
      <c r="DM105" s="174"/>
      <c r="DN105" s="174"/>
      <c r="DO105" s="174"/>
      <c r="DP105" s="174"/>
      <c r="DQ105" s="174"/>
      <c r="DR105" s="174"/>
      <c r="DS105" s="174"/>
      <c r="DT105" s="174"/>
      <c r="DU105" s="174"/>
      <c r="DV105" s="174"/>
      <c r="DW105" s="174"/>
      <c r="DX105" s="174"/>
      <c r="DY105" s="174"/>
      <c r="DZ105" s="174"/>
      <c r="EA105" s="174"/>
      <c r="EB105" s="174"/>
      <c r="EC105" s="174"/>
      <c r="ED105" s="174"/>
      <c r="EE105" s="174"/>
      <c r="EF105" s="174"/>
      <c r="EG105" s="174"/>
      <c r="EH105" s="174"/>
      <c r="EI105" s="174"/>
      <c r="EJ105" s="174"/>
      <c r="EK105" s="174"/>
      <c r="EL105" s="174"/>
      <c r="EM105" s="174"/>
      <c r="EN105" s="174"/>
      <c r="EO105" s="174"/>
      <c r="EP105" s="174"/>
      <c r="EQ105" s="174"/>
      <c r="ER105" s="174"/>
      <c r="ES105" s="174"/>
      <c r="ET105" s="174"/>
      <c r="EU105" s="174"/>
      <c r="EV105" s="174"/>
      <c r="EW105" s="174"/>
      <c r="EX105" s="174"/>
      <c r="EY105" s="174"/>
      <c r="EZ105" s="174"/>
      <c r="FA105" s="174"/>
      <c r="FB105" s="174"/>
      <c r="FC105" s="174"/>
      <c r="FD105" s="174"/>
      <c r="FE105" s="174"/>
      <c r="FF105" s="174"/>
      <c r="FG105" s="174"/>
      <c r="FH105" s="174"/>
      <c r="FI105" s="174"/>
      <c r="FJ105" s="174"/>
      <c r="FK105" s="174"/>
      <c r="FL105" s="174"/>
      <c r="FM105" s="174"/>
      <c r="FN105" s="174"/>
      <c r="FO105" s="174"/>
      <c r="FP105" s="174"/>
      <c r="FQ105" s="174"/>
      <c r="FR105" s="174"/>
      <c r="FS105" s="174"/>
      <c r="FT105" s="174"/>
      <c r="FU105" s="174"/>
      <c r="FV105" s="174"/>
      <c r="FW105" s="174"/>
      <c r="FX105" s="174"/>
      <c r="FY105" s="174"/>
      <c r="FZ105" s="174"/>
      <c r="GA105" s="174"/>
      <c r="GB105" s="174"/>
      <c r="GC105" s="174"/>
      <c r="GD105" s="174"/>
      <c r="GE105" s="174"/>
      <c r="GF105" s="174"/>
      <c r="GG105" s="174"/>
      <c r="GH105" s="174"/>
      <c r="GI105" s="174"/>
      <c r="GJ105" s="174"/>
      <c r="GK105" s="174"/>
      <c r="GL105" s="174"/>
      <c r="GM105" s="174"/>
      <c r="GN105" s="174"/>
      <c r="GO105" s="174"/>
      <c r="GP105" s="174"/>
      <c r="GQ105" s="174"/>
      <c r="GR105" s="174"/>
      <c r="GS105" s="174"/>
      <c r="GT105" s="174"/>
      <c r="GU105" s="174"/>
      <c r="GV105" s="174"/>
      <c r="GW105" s="174"/>
      <c r="GX105" s="174"/>
      <c r="GY105" s="174"/>
      <c r="GZ105" s="174"/>
      <c r="HA105" s="174"/>
      <c r="HB105" s="174"/>
      <c r="HC105" s="174"/>
      <c r="HD105" s="174"/>
      <c r="HE105" s="174"/>
      <c r="HF105" s="174"/>
      <c r="HG105" s="174"/>
      <c r="HH105" s="174"/>
      <c r="HI105" s="174"/>
      <c r="HJ105" s="174"/>
      <c r="HK105" s="174"/>
      <c r="HL105" s="174"/>
      <c r="HM105" s="174"/>
      <c r="HN105" s="174"/>
      <c r="HO105" s="174"/>
      <c r="HP105" s="174"/>
      <c r="HQ105" s="174"/>
      <c r="HR105" s="174"/>
      <c r="HS105" s="174"/>
      <c r="HT105" s="174"/>
      <c r="HU105" s="174"/>
      <c r="HV105" s="174"/>
      <c r="HW105" s="174"/>
      <c r="HX105" s="174"/>
      <c r="HY105" s="174"/>
      <c r="HZ105" s="174"/>
      <c r="IA105" s="174"/>
      <c r="IB105" s="174"/>
      <c r="IC105" s="174"/>
      <c r="ID105" s="174"/>
      <c r="IE105" s="174"/>
      <c r="IF105" s="174"/>
      <c r="IG105" s="174"/>
      <c r="IH105" s="174"/>
      <c r="II105" s="174"/>
      <c r="IJ105" s="174"/>
      <c r="IK105" s="174"/>
      <c r="IL105" s="174"/>
      <c r="IM105" s="174"/>
      <c r="IN105" s="174"/>
      <c r="IO105" s="174"/>
      <c r="IP105" s="174"/>
      <c r="IQ105" s="174"/>
      <c r="IR105" s="174"/>
      <c r="IS105" s="174"/>
      <c r="IT105" s="174"/>
      <c r="IU105" s="174"/>
      <c r="IV105" s="174"/>
      <c r="IW105" s="174"/>
    </row>
    <row r="106" customFormat="false" ht="12.75" hidden="false" customHeight="false" outlineLevel="0" collapsed="false">
      <c r="A106" s="227"/>
      <c r="B106" s="132" t="s">
        <v>480</v>
      </c>
      <c r="C106" s="218"/>
      <c r="D106" s="174"/>
      <c r="E106" s="229"/>
      <c r="F106" s="174"/>
      <c r="G106" s="174"/>
      <c r="H106" s="174"/>
      <c r="I106" s="229"/>
      <c r="J106" s="174"/>
      <c r="L106" s="174"/>
      <c r="M106" s="95" t="n">
        <v>538044</v>
      </c>
      <c r="N106" s="174"/>
      <c r="O106" s="133" t="n">
        <f aca="false">SUM(K106:N106)</f>
        <v>538044</v>
      </c>
      <c r="P106" s="174"/>
      <c r="V106" s="136"/>
      <c r="AE106" s="96" t="n">
        <v>65736</v>
      </c>
      <c r="AG106" s="96" t="n">
        <f aca="false">215559+187764</f>
        <v>403323</v>
      </c>
      <c r="AI106" s="96" t="n">
        <v>36550</v>
      </c>
      <c r="AK106" s="96" t="n">
        <v>29041</v>
      </c>
      <c r="AO106" s="96" t="n">
        <v>55136</v>
      </c>
      <c r="AR106" s="174"/>
      <c r="AS106" s="95" t="n">
        <f aca="false">SUM(P106:AR106)</f>
        <v>589786</v>
      </c>
      <c r="AT106" s="174"/>
      <c r="AU106" s="96" t="n">
        <f aca="false">10026+71314-3064-81670+55136</f>
        <v>51742</v>
      </c>
      <c r="AV106" s="174"/>
      <c r="AW106" s="95" t="n">
        <f aca="false">IF(+O106-AS106+AU106&gt;0,O106-AS106+AU106,0)</f>
        <v>0</v>
      </c>
      <c r="AX106" s="174"/>
      <c r="AY106" s="95" t="n">
        <f aca="false">+AW106+AS106</f>
        <v>589786</v>
      </c>
      <c r="AZ106" s="174"/>
      <c r="BA106" s="95" t="n">
        <f aca="false">O106-AS106-AW106</f>
        <v>-51742</v>
      </c>
      <c r="BB106" s="95"/>
      <c r="BC106" s="95"/>
      <c r="BE106" s="174"/>
      <c r="BF106" s="174"/>
      <c r="BG106" s="174"/>
      <c r="BH106" s="174"/>
      <c r="BI106" s="174"/>
      <c r="BJ106" s="174"/>
      <c r="BK106" s="174"/>
      <c r="BL106" s="174"/>
      <c r="BM106" s="174"/>
      <c r="BN106" s="174"/>
      <c r="BO106" s="174"/>
      <c r="BP106" s="174"/>
      <c r="BQ106" s="174"/>
      <c r="BR106" s="174"/>
      <c r="BS106" s="174"/>
      <c r="BT106" s="174"/>
      <c r="BU106" s="174"/>
      <c r="BV106" s="174"/>
      <c r="BW106" s="174"/>
      <c r="BX106" s="174"/>
      <c r="BY106" s="174"/>
      <c r="BZ106" s="174"/>
      <c r="CA106" s="174"/>
      <c r="CB106" s="174"/>
      <c r="CC106" s="174"/>
      <c r="CD106" s="174"/>
      <c r="CE106" s="174"/>
      <c r="CF106" s="174"/>
      <c r="CG106" s="174"/>
      <c r="CH106" s="174"/>
      <c r="CI106" s="174"/>
      <c r="CJ106" s="174"/>
      <c r="CK106" s="174"/>
      <c r="CL106" s="174"/>
      <c r="CM106" s="174"/>
      <c r="CN106" s="174"/>
      <c r="CO106" s="174"/>
      <c r="CP106" s="174"/>
      <c r="CQ106" s="174"/>
      <c r="CR106" s="174"/>
      <c r="CS106" s="174"/>
      <c r="CT106" s="174"/>
      <c r="CU106" s="174"/>
      <c r="CV106" s="174"/>
      <c r="CW106" s="174"/>
      <c r="CX106" s="174"/>
      <c r="CY106" s="174"/>
      <c r="CZ106" s="174"/>
      <c r="DA106" s="174"/>
      <c r="DB106" s="174"/>
      <c r="DC106" s="174"/>
      <c r="DD106" s="174"/>
      <c r="DE106" s="174"/>
      <c r="DF106" s="174"/>
      <c r="DG106" s="174"/>
      <c r="DH106" s="174"/>
      <c r="DI106" s="174"/>
      <c r="DJ106" s="174"/>
      <c r="DK106" s="174"/>
      <c r="DL106" s="174"/>
      <c r="DM106" s="174"/>
      <c r="DN106" s="174"/>
      <c r="DO106" s="174"/>
      <c r="DP106" s="174"/>
      <c r="DQ106" s="174"/>
      <c r="DR106" s="174"/>
      <c r="DS106" s="174"/>
      <c r="DT106" s="174"/>
      <c r="DU106" s="174"/>
      <c r="DV106" s="174"/>
      <c r="DW106" s="174"/>
      <c r="DX106" s="174"/>
      <c r="DY106" s="174"/>
      <c r="DZ106" s="174"/>
      <c r="EA106" s="174"/>
      <c r="EB106" s="174"/>
      <c r="EC106" s="174"/>
      <c r="ED106" s="174"/>
      <c r="EE106" s="174"/>
      <c r="EF106" s="174"/>
      <c r="EG106" s="174"/>
      <c r="EH106" s="174"/>
      <c r="EI106" s="174"/>
      <c r="EJ106" s="174"/>
      <c r="EK106" s="174"/>
      <c r="EL106" s="174"/>
      <c r="EM106" s="174"/>
      <c r="EN106" s="174"/>
      <c r="EO106" s="174"/>
      <c r="EP106" s="174"/>
      <c r="EQ106" s="174"/>
      <c r="ER106" s="174"/>
      <c r="ES106" s="174"/>
      <c r="ET106" s="174"/>
      <c r="EU106" s="174"/>
      <c r="EV106" s="174"/>
      <c r="EW106" s="174"/>
      <c r="EX106" s="174"/>
      <c r="EY106" s="174"/>
      <c r="EZ106" s="174"/>
      <c r="FA106" s="174"/>
      <c r="FB106" s="174"/>
      <c r="FC106" s="174"/>
      <c r="FD106" s="174"/>
      <c r="FE106" s="174"/>
      <c r="FF106" s="174"/>
      <c r="FG106" s="174"/>
      <c r="FH106" s="174"/>
      <c r="FI106" s="174"/>
      <c r="FJ106" s="174"/>
      <c r="FK106" s="174"/>
      <c r="FL106" s="174"/>
      <c r="FM106" s="174"/>
      <c r="FN106" s="174"/>
      <c r="FO106" s="174"/>
      <c r="FP106" s="174"/>
      <c r="FQ106" s="174"/>
      <c r="FR106" s="174"/>
      <c r="FS106" s="174"/>
      <c r="FT106" s="174"/>
      <c r="FU106" s="174"/>
      <c r="FV106" s="174"/>
      <c r="FW106" s="174"/>
      <c r="FX106" s="174"/>
      <c r="FY106" s="174"/>
      <c r="FZ106" s="174"/>
      <c r="GA106" s="174"/>
      <c r="GB106" s="174"/>
      <c r="GC106" s="174"/>
      <c r="GD106" s="174"/>
      <c r="GE106" s="174"/>
      <c r="GF106" s="174"/>
      <c r="GG106" s="174"/>
      <c r="GH106" s="174"/>
      <c r="GI106" s="174"/>
      <c r="GJ106" s="174"/>
      <c r="GK106" s="174"/>
      <c r="GL106" s="174"/>
      <c r="GM106" s="174"/>
      <c r="GN106" s="174"/>
      <c r="GO106" s="174"/>
      <c r="GP106" s="174"/>
      <c r="GQ106" s="174"/>
      <c r="GR106" s="174"/>
      <c r="GS106" s="174"/>
      <c r="GT106" s="174"/>
      <c r="GU106" s="174"/>
      <c r="GV106" s="174"/>
      <c r="GW106" s="174"/>
      <c r="GX106" s="174"/>
      <c r="GY106" s="174"/>
      <c r="GZ106" s="174"/>
      <c r="HA106" s="174"/>
      <c r="HB106" s="174"/>
      <c r="HC106" s="174"/>
      <c r="HD106" s="174"/>
      <c r="HE106" s="174"/>
      <c r="HF106" s="174"/>
      <c r="HG106" s="174"/>
      <c r="HH106" s="174"/>
      <c r="HI106" s="174"/>
      <c r="HJ106" s="174"/>
      <c r="HK106" s="174"/>
      <c r="HL106" s="174"/>
      <c r="HM106" s="174"/>
      <c r="HN106" s="174"/>
      <c r="HO106" s="174"/>
      <c r="HP106" s="174"/>
      <c r="HQ106" s="174"/>
      <c r="HR106" s="174"/>
      <c r="HS106" s="174"/>
      <c r="HT106" s="174"/>
      <c r="HU106" s="174"/>
      <c r="HV106" s="174"/>
      <c r="HW106" s="174"/>
      <c r="HX106" s="174"/>
      <c r="HY106" s="174"/>
      <c r="HZ106" s="174"/>
      <c r="IA106" s="174"/>
      <c r="IB106" s="174"/>
      <c r="IC106" s="174"/>
      <c r="ID106" s="174"/>
      <c r="IE106" s="174"/>
      <c r="IF106" s="174"/>
      <c r="IG106" s="174"/>
      <c r="IH106" s="174"/>
      <c r="II106" s="174"/>
      <c r="IJ106" s="174"/>
      <c r="IK106" s="174"/>
      <c r="IL106" s="174"/>
      <c r="IM106" s="174"/>
      <c r="IN106" s="174"/>
      <c r="IO106" s="174"/>
      <c r="IP106" s="174"/>
      <c r="IQ106" s="174"/>
      <c r="IR106" s="174"/>
      <c r="IS106" s="174"/>
      <c r="IT106" s="174"/>
      <c r="IU106" s="174"/>
      <c r="IV106" s="174"/>
      <c r="IW106" s="174"/>
    </row>
    <row r="107" customFormat="false" ht="12.75" hidden="false" customHeight="false" outlineLevel="0" collapsed="false">
      <c r="A107" s="227"/>
      <c r="B107" s="132" t="s">
        <v>246</v>
      </c>
      <c r="C107" s="218"/>
      <c r="D107" s="174"/>
      <c r="E107" s="229"/>
      <c r="F107" s="174"/>
      <c r="G107" s="174"/>
      <c r="H107" s="174"/>
      <c r="I107" s="229"/>
      <c r="J107" s="174"/>
      <c r="L107" s="174"/>
      <c r="M107" s="95" t="n">
        <v>230432</v>
      </c>
      <c r="N107" s="174"/>
      <c r="O107" s="133" t="n">
        <f aca="false">SUM(K107:N107)</f>
        <v>230432</v>
      </c>
      <c r="P107" s="174"/>
      <c r="V107" s="136"/>
      <c r="AC107" s="96" t="n">
        <v>11921</v>
      </c>
      <c r="AE107" s="96" t="n">
        <v>3430</v>
      </c>
      <c r="AG107" s="96" t="n">
        <f aca="false">257611+43696-199273+11291</f>
        <v>113325</v>
      </c>
      <c r="AI107" s="96" t="n">
        <f aca="false">199273+29178</f>
        <v>228451</v>
      </c>
      <c r="AK107" s="96" t="n">
        <v>6215</v>
      </c>
      <c r="AM107" s="96" t="n">
        <v>28577</v>
      </c>
      <c r="AO107" s="96" t="n">
        <v>1595</v>
      </c>
      <c r="AR107" s="174"/>
      <c r="AS107" s="95" t="n">
        <f aca="false">SUM(P107:AR107)</f>
        <v>393514</v>
      </c>
      <c r="AT107" s="174"/>
      <c r="AU107" s="96" t="n">
        <f aca="false">-113047-41116+23335+310862+2044+21+15991-12401-24202+1595</f>
        <v>163082</v>
      </c>
      <c r="AV107" s="174"/>
      <c r="AW107" s="95" t="n">
        <f aca="false">IF(+O107-AS107+AU107&gt;0,O107-AS107+AU107,0)</f>
        <v>0</v>
      </c>
      <c r="AX107" s="174"/>
      <c r="AY107" s="135" t="n">
        <f aca="false">+AW107+AS107</f>
        <v>393514</v>
      </c>
      <c r="AZ107" s="174"/>
      <c r="BA107" s="95" t="n">
        <f aca="false">O107-AS107-AW107</f>
        <v>-163082</v>
      </c>
      <c r="BB107" s="95"/>
      <c r="BC107" s="95"/>
      <c r="BE107" s="174"/>
      <c r="BF107" s="174"/>
      <c r="BG107" s="174"/>
      <c r="BH107" s="174"/>
      <c r="BI107" s="174"/>
      <c r="BJ107" s="174"/>
      <c r="BK107" s="174"/>
      <c r="BL107" s="174"/>
      <c r="BM107" s="174"/>
      <c r="BN107" s="174"/>
      <c r="BO107" s="174"/>
      <c r="BP107" s="174"/>
      <c r="BQ107" s="174"/>
      <c r="BR107" s="174"/>
      <c r="BS107" s="174"/>
      <c r="BT107" s="174"/>
      <c r="BU107" s="174"/>
      <c r="BV107" s="174"/>
      <c r="BW107" s="174"/>
      <c r="BX107" s="174"/>
      <c r="BY107" s="174"/>
      <c r="BZ107" s="174"/>
      <c r="CA107" s="174"/>
      <c r="CB107" s="174"/>
      <c r="CC107" s="174"/>
      <c r="CD107" s="174"/>
      <c r="CE107" s="174"/>
      <c r="CF107" s="174"/>
      <c r="CG107" s="174"/>
      <c r="CH107" s="174"/>
      <c r="CI107" s="174"/>
      <c r="CJ107" s="174"/>
      <c r="CK107" s="174"/>
      <c r="CL107" s="174"/>
      <c r="CM107" s="174"/>
      <c r="CN107" s="174"/>
      <c r="CO107" s="174"/>
      <c r="CP107" s="174"/>
      <c r="CQ107" s="174"/>
      <c r="CR107" s="174"/>
      <c r="CS107" s="174"/>
      <c r="CT107" s="174"/>
      <c r="CU107" s="174"/>
      <c r="CV107" s="174"/>
      <c r="CW107" s="174"/>
      <c r="CX107" s="174"/>
      <c r="CY107" s="174"/>
      <c r="CZ107" s="174"/>
      <c r="DA107" s="174"/>
      <c r="DB107" s="174"/>
      <c r="DC107" s="174"/>
      <c r="DD107" s="174"/>
      <c r="DE107" s="174"/>
      <c r="DF107" s="174"/>
      <c r="DG107" s="174"/>
      <c r="DH107" s="174"/>
      <c r="DI107" s="174"/>
      <c r="DJ107" s="174"/>
      <c r="DK107" s="174"/>
      <c r="DL107" s="174"/>
      <c r="DM107" s="174"/>
      <c r="DN107" s="174"/>
      <c r="DO107" s="174"/>
      <c r="DP107" s="174"/>
      <c r="DQ107" s="174"/>
      <c r="DR107" s="174"/>
      <c r="DS107" s="174"/>
      <c r="DT107" s="174"/>
      <c r="DU107" s="174"/>
      <c r="DV107" s="174"/>
      <c r="DW107" s="174"/>
      <c r="DX107" s="174"/>
      <c r="DY107" s="174"/>
      <c r="DZ107" s="174"/>
      <c r="EA107" s="174"/>
      <c r="EB107" s="174"/>
      <c r="EC107" s="174"/>
      <c r="ED107" s="174"/>
      <c r="EE107" s="174"/>
      <c r="EF107" s="174"/>
      <c r="EG107" s="174"/>
      <c r="EH107" s="174"/>
      <c r="EI107" s="174"/>
      <c r="EJ107" s="174"/>
      <c r="EK107" s="174"/>
      <c r="EL107" s="174"/>
      <c r="EM107" s="174"/>
      <c r="EN107" s="174"/>
      <c r="EO107" s="174"/>
      <c r="EP107" s="174"/>
      <c r="EQ107" s="174"/>
      <c r="ER107" s="174"/>
      <c r="ES107" s="174"/>
      <c r="ET107" s="174"/>
      <c r="EU107" s="174"/>
      <c r="EV107" s="174"/>
      <c r="EW107" s="174"/>
      <c r="EX107" s="174"/>
      <c r="EY107" s="174"/>
      <c r="EZ107" s="174"/>
      <c r="FA107" s="174"/>
      <c r="FB107" s="174"/>
      <c r="FC107" s="174"/>
      <c r="FD107" s="174"/>
      <c r="FE107" s="174"/>
      <c r="FF107" s="174"/>
      <c r="FG107" s="174"/>
      <c r="FH107" s="174"/>
      <c r="FI107" s="174"/>
      <c r="FJ107" s="174"/>
      <c r="FK107" s="174"/>
      <c r="FL107" s="174"/>
      <c r="FM107" s="174"/>
      <c r="FN107" s="174"/>
      <c r="FO107" s="174"/>
      <c r="FP107" s="174"/>
      <c r="FQ107" s="174"/>
      <c r="FR107" s="174"/>
      <c r="FS107" s="174"/>
      <c r="FT107" s="174"/>
      <c r="FU107" s="174"/>
      <c r="FV107" s="174"/>
      <c r="FW107" s="174"/>
      <c r="FX107" s="174"/>
      <c r="FY107" s="174"/>
      <c r="FZ107" s="174"/>
      <c r="GA107" s="174"/>
      <c r="GB107" s="174"/>
      <c r="GC107" s="174"/>
      <c r="GD107" s="174"/>
      <c r="GE107" s="174"/>
      <c r="GF107" s="174"/>
      <c r="GG107" s="174"/>
      <c r="GH107" s="174"/>
      <c r="GI107" s="174"/>
      <c r="GJ107" s="174"/>
      <c r="GK107" s="174"/>
      <c r="GL107" s="174"/>
      <c r="GM107" s="174"/>
      <c r="GN107" s="174"/>
      <c r="GO107" s="174"/>
      <c r="GP107" s="174"/>
      <c r="GQ107" s="174"/>
      <c r="GR107" s="174"/>
      <c r="GS107" s="174"/>
      <c r="GT107" s="174"/>
      <c r="GU107" s="174"/>
      <c r="GV107" s="174"/>
      <c r="GW107" s="174"/>
      <c r="GX107" s="174"/>
      <c r="GY107" s="174"/>
      <c r="GZ107" s="174"/>
      <c r="HA107" s="174"/>
      <c r="HB107" s="174"/>
      <c r="HC107" s="174"/>
      <c r="HD107" s="174"/>
      <c r="HE107" s="174"/>
      <c r="HF107" s="174"/>
      <c r="HG107" s="174"/>
      <c r="HH107" s="174"/>
      <c r="HI107" s="174"/>
      <c r="HJ107" s="174"/>
      <c r="HK107" s="174"/>
      <c r="HL107" s="174"/>
      <c r="HM107" s="174"/>
      <c r="HN107" s="174"/>
      <c r="HO107" s="174"/>
      <c r="HP107" s="174"/>
      <c r="HQ107" s="174"/>
      <c r="HR107" s="174"/>
      <c r="HS107" s="174"/>
      <c r="HT107" s="174"/>
      <c r="HU107" s="174"/>
      <c r="HV107" s="174"/>
      <c r="HW107" s="174"/>
      <c r="HX107" s="174"/>
      <c r="HY107" s="174"/>
      <c r="HZ107" s="174"/>
      <c r="IA107" s="174"/>
      <c r="IB107" s="174"/>
      <c r="IC107" s="174"/>
      <c r="ID107" s="174"/>
      <c r="IE107" s="174"/>
      <c r="IF107" s="174"/>
      <c r="IG107" s="174"/>
      <c r="IH107" s="174"/>
      <c r="II107" s="174"/>
      <c r="IJ107" s="174"/>
      <c r="IK107" s="174"/>
      <c r="IL107" s="174"/>
      <c r="IM107" s="174"/>
      <c r="IN107" s="174"/>
      <c r="IO107" s="174"/>
      <c r="IP107" s="174"/>
      <c r="IQ107" s="174"/>
      <c r="IR107" s="174"/>
      <c r="IS107" s="174"/>
      <c r="IT107" s="174"/>
      <c r="IU107" s="174"/>
      <c r="IV107" s="174"/>
      <c r="IW107" s="174"/>
    </row>
    <row r="108" customFormat="false" ht="12.75" hidden="false" customHeight="false" outlineLevel="0" collapsed="false">
      <c r="A108" s="227"/>
      <c r="B108" s="132" t="s">
        <v>247</v>
      </c>
      <c r="C108" s="218"/>
      <c r="D108" s="174"/>
      <c r="E108" s="229"/>
      <c r="F108" s="174"/>
      <c r="G108" s="174"/>
      <c r="H108" s="174"/>
      <c r="I108" s="229"/>
      <c r="J108" s="174"/>
      <c r="L108" s="174"/>
      <c r="M108" s="95" t="n">
        <v>329958</v>
      </c>
      <c r="N108" s="174"/>
      <c r="O108" s="133" t="n">
        <f aca="false">SUM(K108:N108)</f>
        <v>329958</v>
      </c>
      <c r="P108" s="174"/>
      <c r="V108" s="136"/>
      <c r="AG108" s="96" t="n">
        <v>0</v>
      </c>
      <c r="AR108" s="174"/>
      <c r="AS108" s="95" t="n">
        <f aca="false">SUM(P108:AR108)</f>
        <v>0</v>
      </c>
      <c r="AT108" s="174"/>
      <c r="AU108" s="96" t="n">
        <f aca="false">-315058-14900</f>
        <v>-329958</v>
      </c>
      <c r="AV108" s="174"/>
      <c r="AW108" s="95" t="n">
        <f aca="false">IF(+O108-AS108+AU108&gt;0,O108-AS108+AU108,0)</f>
        <v>0</v>
      </c>
      <c r="AX108" s="174"/>
      <c r="AY108" s="95" t="n">
        <f aca="false">+AW108+AS108</f>
        <v>0</v>
      </c>
      <c r="AZ108" s="174"/>
      <c r="BA108" s="95" t="n">
        <f aca="false">O108-AS108-AW108</f>
        <v>329958</v>
      </c>
      <c r="BB108" s="95"/>
      <c r="BC108" s="95"/>
      <c r="BE108" s="174"/>
      <c r="BF108" s="174"/>
      <c r="BG108" s="174"/>
      <c r="BH108" s="174"/>
      <c r="BI108" s="174"/>
      <c r="BJ108" s="174"/>
      <c r="BK108" s="174"/>
      <c r="BL108" s="174"/>
      <c r="BM108" s="174"/>
      <c r="BN108" s="174"/>
      <c r="BO108" s="174"/>
      <c r="BP108" s="174"/>
      <c r="BQ108" s="174"/>
      <c r="BR108" s="174"/>
      <c r="BS108" s="174"/>
      <c r="BT108" s="174"/>
      <c r="BU108" s="174"/>
      <c r="BV108" s="174"/>
      <c r="BW108" s="174"/>
      <c r="BX108" s="174"/>
      <c r="BY108" s="174"/>
      <c r="BZ108" s="174"/>
      <c r="CA108" s="174"/>
      <c r="CB108" s="174"/>
      <c r="CC108" s="174"/>
      <c r="CD108" s="174"/>
      <c r="CE108" s="174"/>
      <c r="CF108" s="174"/>
      <c r="CG108" s="174"/>
      <c r="CH108" s="174"/>
      <c r="CI108" s="174"/>
      <c r="CJ108" s="174"/>
      <c r="CK108" s="174"/>
      <c r="CL108" s="174"/>
      <c r="CM108" s="174"/>
      <c r="CN108" s="174"/>
      <c r="CO108" s="174"/>
      <c r="CP108" s="174"/>
      <c r="CQ108" s="174"/>
      <c r="CR108" s="174"/>
      <c r="CS108" s="174"/>
      <c r="CT108" s="174"/>
      <c r="CU108" s="174"/>
      <c r="CV108" s="174"/>
      <c r="CW108" s="174"/>
      <c r="CX108" s="174"/>
      <c r="CY108" s="174"/>
      <c r="CZ108" s="174"/>
      <c r="DA108" s="174"/>
      <c r="DB108" s="174"/>
      <c r="DC108" s="174"/>
      <c r="DD108" s="174"/>
      <c r="DE108" s="174"/>
      <c r="DF108" s="174"/>
      <c r="DG108" s="174"/>
      <c r="DH108" s="174"/>
      <c r="DI108" s="174"/>
      <c r="DJ108" s="174"/>
      <c r="DK108" s="174"/>
      <c r="DL108" s="174"/>
      <c r="DM108" s="174"/>
      <c r="DN108" s="174"/>
      <c r="DO108" s="174"/>
      <c r="DP108" s="174"/>
      <c r="DQ108" s="174"/>
      <c r="DR108" s="174"/>
      <c r="DS108" s="174"/>
      <c r="DT108" s="174"/>
      <c r="DU108" s="174"/>
      <c r="DV108" s="174"/>
      <c r="DW108" s="174"/>
      <c r="DX108" s="174"/>
      <c r="DY108" s="174"/>
      <c r="DZ108" s="174"/>
      <c r="EA108" s="174"/>
      <c r="EB108" s="174"/>
      <c r="EC108" s="174"/>
      <c r="ED108" s="174"/>
      <c r="EE108" s="174"/>
      <c r="EF108" s="174"/>
      <c r="EG108" s="174"/>
      <c r="EH108" s="174"/>
      <c r="EI108" s="174"/>
      <c r="EJ108" s="174"/>
      <c r="EK108" s="174"/>
      <c r="EL108" s="174"/>
      <c r="EM108" s="174"/>
      <c r="EN108" s="174"/>
      <c r="EO108" s="174"/>
      <c r="EP108" s="174"/>
      <c r="EQ108" s="174"/>
      <c r="ER108" s="174"/>
      <c r="ES108" s="174"/>
      <c r="ET108" s="174"/>
      <c r="EU108" s="174"/>
      <c r="EV108" s="174"/>
      <c r="EW108" s="174"/>
      <c r="EX108" s="174"/>
      <c r="EY108" s="174"/>
      <c r="EZ108" s="174"/>
      <c r="FA108" s="174"/>
      <c r="FB108" s="174"/>
      <c r="FC108" s="174"/>
      <c r="FD108" s="174"/>
      <c r="FE108" s="174"/>
      <c r="FF108" s="174"/>
      <c r="FG108" s="174"/>
      <c r="FH108" s="174"/>
      <c r="FI108" s="174"/>
      <c r="FJ108" s="174"/>
      <c r="FK108" s="174"/>
      <c r="FL108" s="174"/>
      <c r="FM108" s="174"/>
      <c r="FN108" s="174"/>
      <c r="FO108" s="174"/>
      <c r="FP108" s="174"/>
      <c r="FQ108" s="174"/>
      <c r="FR108" s="174"/>
      <c r="FS108" s="174"/>
      <c r="FT108" s="174"/>
      <c r="FU108" s="174"/>
      <c r="FV108" s="174"/>
      <c r="FW108" s="174"/>
      <c r="FX108" s="174"/>
      <c r="FY108" s="174"/>
      <c r="FZ108" s="174"/>
      <c r="GA108" s="174"/>
      <c r="GB108" s="174"/>
      <c r="GC108" s="174"/>
      <c r="GD108" s="174"/>
      <c r="GE108" s="174"/>
      <c r="GF108" s="174"/>
      <c r="GG108" s="174"/>
      <c r="GH108" s="174"/>
      <c r="GI108" s="174"/>
      <c r="GJ108" s="174"/>
      <c r="GK108" s="174"/>
      <c r="GL108" s="174"/>
      <c r="GM108" s="174"/>
      <c r="GN108" s="174"/>
      <c r="GO108" s="174"/>
      <c r="GP108" s="174"/>
      <c r="GQ108" s="174"/>
      <c r="GR108" s="174"/>
      <c r="GS108" s="174"/>
      <c r="GT108" s="174"/>
      <c r="GU108" s="174"/>
      <c r="GV108" s="174"/>
      <c r="GW108" s="174"/>
      <c r="GX108" s="174"/>
      <c r="GY108" s="174"/>
      <c r="GZ108" s="174"/>
      <c r="HA108" s="174"/>
      <c r="HB108" s="174"/>
      <c r="HC108" s="174"/>
      <c r="HD108" s="174"/>
      <c r="HE108" s="174"/>
      <c r="HF108" s="174"/>
      <c r="HG108" s="174"/>
      <c r="HH108" s="174"/>
      <c r="HI108" s="174"/>
      <c r="HJ108" s="174"/>
      <c r="HK108" s="174"/>
      <c r="HL108" s="174"/>
      <c r="HM108" s="174"/>
      <c r="HN108" s="174"/>
      <c r="HO108" s="174"/>
      <c r="HP108" s="174"/>
      <c r="HQ108" s="174"/>
      <c r="HR108" s="174"/>
      <c r="HS108" s="174"/>
      <c r="HT108" s="174"/>
      <c r="HU108" s="174"/>
      <c r="HV108" s="174"/>
      <c r="HW108" s="174"/>
      <c r="HX108" s="174"/>
      <c r="HY108" s="174"/>
      <c r="HZ108" s="174"/>
      <c r="IA108" s="174"/>
      <c r="IB108" s="174"/>
      <c r="IC108" s="174"/>
      <c r="ID108" s="174"/>
      <c r="IE108" s="174"/>
      <c r="IF108" s="174"/>
      <c r="IG108" s="174"/>
      <c r="IH108" s="174"/>
      <c r="II108" s="174"/>
      <c r="IJ108" s="174"/>
      <c r="IK108" s="174"/>
      <c r="IL108" s="174"/>
      <c r="IM108" s="174"/>
      <c r="IN108" s="174"/>
      <c r="IO108" s="174"/>
      <c r="IP108" s="174"/>
      <c r="IQ108" s="174"/>
      <c r="IR108" s="174"/>
      <c r="IS108" s="174"/>
      <c r="IT108" s="174"/>
      <c r="IU108" s="174"/>
      <c r="IV108" s="174"/>
      <c r="IW108" s="174"/>
    </row>
    <row r="109" customFormat="false" ht="12.75" hidden="false" customHeight="false" outlineLevel="0" collapsed="false">
      <c r="A109" s="227"/>
      <c r="B109" s="132" t="s">
        <v>248</v>
      </c>
      <c r="C109" s="218"/>
      <c r="D109" s="174"/>
      <c r="E109" s="229"/>
      <c r="F109" s="174"/>
      <c r="G109" s="174"/>
      <c r="H109" s="174"/>
      <c r="I109" s="229"/>
      <c r="J109" s="174"/>
      <c r="L109" s="174"/>
      <c r="M109" s="95" t="n">
        <v>120865</v>
      </c>
      <c r="N109" s="174"/>
      <c r="O109" s="133" t="n">
        <f aca="false">SUM(K109:N109)</f>
        <v>120865</v>
      </c>
      <c r="P109" s="174"/>
      <c r="V109" s="136"/>
      <c r="AG109" s="96" t="n">
        <v>0</v>
      </c>
      <c r="AK109" s="96" t="n">
        <v>64650</v>
      </c>
      <c r="AR109" s="174"/>
      <c r="AS109" s="95" t="n">
        <f aca="false">SUM(P109:AR109)</f>
        <v>64650</v>
      </c>
      <c r="AT109" s="174"/>
      <c r="AU109" s="96" t="n">
        <f aca="false">120135+12000-12000-176350</f>
        <v>-56215</v>
      </c>
      <c r="AV109" s="174"/>
      <c r="AW109" s="95" t="n">
        <f aca="false">IF(+O109-AS109+AU109&gt;0,O109-AS109+AU109,0)</f>
        <v>0</v>
      </c>
      <c r="AX109" s="174"/>
      <c r="AY109" s="95" t="n">
        <f aca="false">+AW109+AS109</f>
        <v>64650</v>
      </c>
      <c r="AZ109" s="174"/>
      <c r="BA109" s="95" t="n">
        <f aca="false">O109-AS109-AW109</f>
        <v>56215</v>
      </c>
      <c r="BB109" s="95"/>
      <c r="BC109" s="95"/>
      <c r="BE109" s="174"/>
      <c r="BF109" s="174"/>
      <c r="BG109" s="174"/>
      <c r="BH109" s="174"/>
      <c r="BI109" s="174"/>
      <c r="BJ109" s="174"/>
      <c r="BK109" s="174"/>
      <c r="BL109" s="174"/>
      <c r="BM109" s="174"/>
      <c r="BN109" s="174"/>
      <c r="BO109" s="174"/>
      <c r="BP109" s="174"/>
      <c r="BQ109" s="174"/>
      <c r="BR109" s="174"/>
      <c r="BS109" s="174"/>
      <c r="BT109" s="174"/>
      <c r="BU109" s="174"/>
      <c r="BV109" s="174"/>
      <c r="BW109" s="174"/>
      <c r="BX109" s="174"/>
      <c r="BY109" s="174"/>
      <c r="BZ109" s="174"/>
      <c r="CA109" s="174"/>
      <c r="CB109" s="174"/>
      <c r="CC109" s="174"/>
      <c r="CD109" s="174"/>
      <c r="CE109" s="174"/>
      <c r="CF109" s="174"/>
      <c r="CG109" s="174"/>
      <c r="CH109" s="174"/>
      <c r="CI109" s="174"/>
      <c r="CJ109" s="174"/>
      <c r="CK109" s="174"/>
      <c r="CL109" s="174"/>
      <c r="CM109" s="174"/>
      <c r="CN109" s="174"/>
      <c r="CO109" s="174"/>
      <c r="CP109" s="174"/>
      <c r="CQ109" s="174"/>
      <c r="CR109" s="174"/>
      <c r="CS109" s="174"/>
      <c r="CT109" s="174"/>
      <c r="CU109" s="174"/>
      <c r="CV109" s="174"/>
      <c r="CW109" s="174"/>
      <c r="CX109" s="174"/>
      <c r="CY109" s="174"/>
      <c r="CZ109" s="174"/>
      <c r="DA109" s="174"/>
      <c r="DB109" s="174"/>
      <c r="DC109" s="174"/>
      <c r="DD109" s="174"/>
      <c r="DE109" s="174"/>
      <c r="DF109" s="174"/>
      <c r="DG109" s="174"/>
      <c r="DH109" s="174"/>
      <c r="DI109" s="174"/>
      <c r="DJ109" s="174"/>
      <c r="DK109" s="174"/>
      <c r="DL109" s="174"/>
      <c r="DM109" s="174"/>
      <c r="DN109" s="174"/>
      <c r="DO109" s="174"/>
      <c r="DP109" s="174"/>
      <c r="DQ109" s="174"/>
      <c r="DR109" s="174"/>
      <c r="DS109" s="174"/>
      <c r="DT109" s="174"/>
      <c r="DU109" s="174"/>
      <c r="DV109" s="174"/>
      <c r="DW109" s="174"/>
      <c r="DX109" s="174"/>
      <c r="DY109" s="174"/>
      <c r="DZ109" s="174"/>
      <c r="EA109" s="174"/>
      <c r="EB109" s="174"/>
      <c r="EC109" s="174"/>
      <c r="ED109" s="174"/>
      <c r="EE109" s="174"/>
      <c r="EF109" s="174"/>
      <c r="EG109" s="174"/>
      <c r="EH109" s="174"/>
      <c r="EI109" s="174"/>
      <c r="EJ109" s="174"/>
      <c r="EK109" s="174"/>
      <c r="EL109" s="174"/>
      <c r="EM109" s="174"/>
      <c r="EN109" s="174"/>
      <c r="EO109" s="174"/>
      <c r="EP109" s="174"/>
      <c r="EQ109" s="174"/>
      <c r="ER109" s="174"/>
      <c r="ES109" s="174"/>
      <c r="ET109" s="174"/>
      <c r="EU109" s="174"/>
      <c r="EV109" s="174"/>
      <c r="EW109" s="174"/>
      <c r="EX109" s="174"/>
      <c r="EY109" s="174"/>
      <c r="EZ109" s="174"/>
      <c r="FA109" s="174"/>
      <c r="FB109" s="174"/>
      <c r="FC109" s="174"/>
      <c r="FD109" s="174"/>
      <c r="FE109" s="174"/>
      <c r="FF109" s="174"/>
      <c r="FG109" s="174"/>
      <c r="FH109" s="174"/>
      <c r="FI109" s="174"/>
      <c r="FJ109" s="174"/>
      <c r="FK109" s="174"/>
      <c r="FL109" s="174"/>
      <c r="FM109" s="174"/>
      <c r="FN109" s="174"/>
      <c r="FO109" s="174"/>
      <c r="FP109" s="174"/>
      <c r="FQ109" s="174"/>
      <c r="FR109" s="174"/>
      <c r="FS109" s="174"/>
      <c r="FT109" s="174"/>
      <c r="FU109" s="174"/>
      <c r="FV109" s="174"/>
      <c r="FW109" s="174"/>
      <c r="FX109" s="174"/>
      <c r="FY109" s="174"/>
      <c r="FZ109" s="174"/>
      <c r="GA109" s="174"/>
      <c r="GB109" s="174"/>
      <c r="GC109" s="174"/>
      <c r="GD109" s="174"/>
      <c r="GE109" s="174"/>
      <c r="GF109" s="174"/>
      <c r="GG109" s="174"/>
      <c r="GH109" s="174"/>
      <c r="GI109" s="174"/>
      <c r="GJ109" s="174"/>
      <c r="GK109" s="174"/>
      <c r="GL109" s="174"/>
      <c r="GM109" s="174"/>
      <c r="GN109" s="174"/>
      <c r="GO109" s="174"/>
      <c r="GP109" s="174"/>
      <c r="GQ109" s="174"/>
      <c r="GR109" s="174"/>
      <c r="GS109" s="174"/>
      <c r="GT109" s="174"/>
      <c r="GU109" s="174"/>
      <c r="GV109" s="174"/>
      <c r="GW109" s="174"/>
      <c r="GX109" s="174"/>
      <c r="GY109" s="174"/>
      <c r="GZ109" s="174"/>
      <c r="HA109" s="174"/>
      <c r="HB109" s="174"/>
      <c r="HC109" s="174"/>
      <c r="HD109" s="174"/>
      <c r="HE109" s="174"/>
      <c r="HF109" s="174"/>
      <c r="HG109" s="174"/>
      <c r="HH109" s="174"/>
      <c r="HI109" s="174"/>
      <c r="HJ109" s="174"/>
      <c r="HK109" s="174"/>
      <c r="HL109" s="174"/>
      <c r="HM109" s="174"/>
      <c r="HN109" s="174"/>
      <c r="HO109" s="174"/>
      <c r="HP109" s="174"/>
      <c r="HQ109" s="174"/>
      <c r="HR109" s="174"/>
      <c r="HS109" s="174"/>
      <c r="HT109" s="174"/>
      <c r="HU109" s="174"/>
      <c r="HV109" s="174"/>
      <c r="HW109" s="174"/>
      <c r="HX109" s="174"/>
      <c r="HY109" s="174"/>
      <c r="HZ109" s="174"/>
      <c r="IA109" s="174"/>
      <c r="IB109" s="174"/>
      <c r="IC109" s="174"/>
      <c r="ID109" s="174"/>
      <c r="IE109" s="174"/>
      <c r="IF109" s="174"/>
      <c r="IG109" s="174"/>
      <c r="IH109" s="174"/>
      <c r="II109" s="174"/>
      <c r="IJ109" s="174"/>
      <c r="IK109" s="174"/>
      <c r="IL109" s="174"/>
      <c r="IM109" s="174"/>
      <c r="IN109" s="174"/>
      <c r="IO109" s="174"/>
      <c r="IP109" s="174"/>
      <c r="IQ109" s="174"/>
      <c r="IR109" s="174"/>
      <c r="IS109" s="174"/>
      <c r="IT109" s="174"/>
      <c r="IU109" s="174"/>
      <c r="IV109" s="174"/>
      <c r="IW109" s="174"/>
    </row>
    <row r="110" customFormat="false" ht="12.75" hidden="false" customHeight="false" outlineLevel="0" collapsed="false">
      <c r="A110" s="227"/>
      <c r="B110" s="132" t="s">
        <v>481</v>
      </c>
      <c r="C110" s="218"/>
      <c r="D110" s="174"/>
      <c r="E110" s="229"/>
      <c r="F110" s="174"/>
      <c r="G110" s="174"/>
      <c r="H110" s="174"/>
      <c r="I110" s="229"/>
      <c r="J110" s="174"/>
      <c r="L110" s="174"/>
      <c r="M110" s="95" t="n">
        <v>1099682</v>
      </c>
      <c r="N110" s="174"/>
      <c r="O110" s="133" t="n">
        <f aca="false">SUM(K110:N110)</f>
        <v>1099682</v>
      </c>
      <c r="P110" s="174"/>
      <c r="V110" s="136"/>
      <c r="AG110" s="96" t="n">
        <v>0</v>
      </c>
      <c r="AR110" s="174"/>
      <c r="AS110" s="95" t="n">
        <f aca="false">SUM(P110:AR110)</f>
        <v>0</v>
      </c>
      <c r="AT110" s="174"/>
      <c r="AU110" s="96" t="n">
        <v>-1099682</v>
      </c>
      <c r="AV110" s="174"/>
      <c r="AW110" s="95" t="n">
        <f aca="false">IF(+O110-AS110+AU110&gt;0,O110-AS110+AU110,0)</f>
        <v>0</v>
      </c>
      <c r="AX110" s="174"/>
      <c r="AY110" s="95" t="n">
        <f aca="false">+AW110+AS110</f>
        <v>0</v>
      </c>
      <c r="AZ110" s="174"/>
      <c r="BA110" s="95" t="n">
        <f aca="false">O110-AS110-AW110</f>
        <v>1099682</v>
      </c>
      <c r="BB110" s="95"/>
      <c r="BC110" s="95"/>
      <c r="BE110" s="174"/>
      <c r="BF110" s="174"/>
      <c r="BG110" s="174"/>
      <c r="BH110" s="174"/>
      <c r="BI110" s="174"/>
      <c r="BJ110" s="174"/>
      <c r="BK110" s="174"/>
      <c r="BL110" s="174"/>
      <c r="BM110" s="174"/>
      <c r="BN110" s="174"/>
      <c r="BO110" s="174"/>
      <c r="BP110" s="174"/>
      <c r="BQ110" s="174"/>
      <c r="BR110" s="174"/>
      <c r="BS110" s="174"/>
      <c r="BT110" s="174"/>
      <c r="BU110" s="174"/>
      <c r="BV110" s="174"/>
      <c r="BW110" s="174"/>
      <c r="BX110" s="174"/>
      <c r="BY110" s="174"/>
      <c r="BZ110" s="174"/>
      <c r="CA110" s="174"/>
      <c r="CB110" s="174"/>
      <c r="CC110" s="174"/>
      <c r="CD110" s="174"/>
      <c r="CE110" s="174"/>
      <c r="CF110" s="174"/>
      <c r="CG110" s="174"/>
      <c r="CH110" s="174"/>
      <c r="CI110" s="174"/>
      <c r="CJ110" s="174"/>
      <c r="CK110" s="174"/>
      <c r="CL110" s="174"/>
      <c r="CM110" s="174"/>
      <c r="CN110" s="174"/>
      <c r="CO110" s="174"/>
      <c r="CP110" s="174"/>
      <c r="CQ110" s="174"/>
      <c r="CR110" s="174"/>
      <c r="CS110" s="174"/>
      <c r="CT110" s="174"/>
      <c r="CU110" s="174"/>
      <c r="CV110" s="174"/>
      <c r="CW110" s="174"/>
      <c r="CX110" s="174"/>
      <c r="CY110" s="174"/>
      <c r="CZ110" s="174"/>
      <c r="DA110" s="174"/>
      <c r="DB110" s="174"/>
      <c r="DC110" s="174"/>
      <c r="DD110" s="174"/>
      <c r="DE110" s="174"/>
      <c r="DF110" s="174"/>
      <c r="DG110" s="174"/>
      <c r="DH110" s="174"/>
      <c r="DI110" s="174"/>
      <c r="DJ110" s="174"/>
      <c r="DK110" s="174"/>
      <c r="DL110" s="174"/>
      <c r="DM110" s="174"/>
      <c r="DN110" s="174"/>
      <c r="DO110" s="174"/>
      <c r="DP110" s="174"/>
      <c r="DQ110" s="174"/>
      <c r="DR110" s="174"/>
      <c r="DS110" s="174"/>
      <c r="DT110" s="174"/>
      <c r="DU110" s="174"/>
      <c r="DV110" s="174"/>
      <c r="DW110" s="174"/>
      <c r="DX110" s="174"/>
      <c r="DY110" s="174"/>
      <c r="DZ110" s="174"/>
      <c r="EA110" s="174"/>
      <c r="EB110" s="174"/>
      <c r="EC110" s="174"/>
      <c r="ED110" s="174"/>
      <c r="EE110" s="174"/>
      <c r="EF110" s="174"/>
      <c r="EG110" s="174"/>
      <c r="EH110" s="174"/>
      <c r="EI110" s="174"/>
      <c r="EJ110" s="174"/>
      <c r="EK110" s="174"/>
      <c r="EL110" s="174"/>
      <c r="EM110" s="174"/>
      <c r="EN110" s="174"/>
      <c r="EO110" s="174"/>
      <c r="EP110" s="174"/>
      <c r="EQ110" s="174"/>
      <c r="ER110" s="174"/>
      <c r="ES110" s="174"/>
      <c r="ET110" s="174"/>
      <c r="EU110" s="174"/>
      <c r="EV110" s="174"/>
      <c r="EW110" s="174"/>
      <c r="EX110" s="174"/>
      <c r="EY110" s="174"/>
      <c r="EZ110" s="174"/>
      <c r="FA110" s="174"/>
      <c r="FB110" s="174"/>
      <c r="FC110" s="174"/>
      <c r="FD110" s="174"/>
      <c r="FE110" s="174"/>
      <c r="FF110" s="174"/>
      <c r="FG110" s="174"/>
      <c r="FH110" s="174"/>
      <c r="FI110" s="174"/>
      <c r="FJ110" s="174"/>
      <c r="FK110" s="174"/>
      <c r="FL110" s="174"/>
      <c r="FM110" s="174"/>
      <c r="FN110" s="174"/>
      <c r="FO110" s="174"/>
      <c r="FP110" s="174"/>
      <c r="FQ110" s="174"/>
      <c r="FR110" s="174"/>
      <c r="FS110" s="174"/>
      <c r="FT110" s="174"/>
      <c r="FU110" s="174"/>
      <c r="FV110" s="174"/>
      <c r="FW110" s="174"/>
      <c r="FX110" s="174"/>
      <c r="FY110" s="174"/>
      <c r="FZ110" s="174"/>
      <c r="GA110" s="174"/>
      <c r="GB110" s="174"/>
      <c r="GC110" s="174"/>
      <c r="GD110" s="174"/>
      <c r="GE110" s="174"/>
      <c r="GF110" s="174"/>
      <c r="GG110" s="174"/>
      <c r="GH110" s="174"/>
      <c r="GI110" s="174"/>
      <c r="GJ110" s="174"/>
      <c r="GK110" s="174"/>
      <c r="GL110" s="174"/>
      <c r="GM110" s="174"/>
      <c r="GN110" s="174"/>
      <c r="GO110" s="174"/>
      <c r="GP110" s="174"/>
      <c r="GQ110" s="174"/>
      <c r="GR110" s="174"/>
      <c r="GS110" s="174"/>
      <c r="GT110" s="174"/>
      <c r="GU110" s="174"/>
      <c r="GV110" s="174"/>
      <c r="GW110" s="174"/>
      <c r="GX110" s="174"/>
      <c r="GY110" s="174"/>
      <c r="GZ110" s="174"/>
      <c r="HA110" s="174"/>
      <c r="HB110" s="174"/>
      <c r="HC110" s="174"/>
      <c r="HD110" s="174"/>
      <c r="HE110" s="174"/>
      <c r="HF110" s="174"/>
      <c r="HG110" s="174"/>
      <c r="HH110" s="174"/>
      <c r="HI110" s="174"/>
      <c r="HJ110" s="174"/>
      <c r="HK110" s="174"/>
      <c r="HL110" s="174"/>
      <c r="HM110" s="174"/>
      <c r="HN110" s="174"/>
      <c r="HO110" s="174"/>
      <c r="HP110" s="174"/>
      <c r="HQ110" s="174"/>
      <c r="HR110" s="174"/>
      <c r="HS110" s="174"/>
      <c r="HT110" s="174"/>
      <c r="HU110" s="174"/>
      <c r="HV110" s="174"/>
      <c r="HW110" s="174"/>
      <c r="HX110" s="174"/>
      <c r="HY110" s="174"/>
      <c r="HZ110" s="174"/>
      <c r="IA110" s="174"/>
      <c r="IB110" s="174"/>
      <c r="IC110" s="174"/>
      <c r="ID110" s="174"/>
      <c r="IE110" s="174"/>
      <c r="IF110" s="174"/>
      <c r="IG110" s="174"/>
      <c r="IH110" s="174"/>
      <c r="II110" s="174"/>
      <c r="IJ110" s="174"/>
      <c r="IK110" s="174"/>
      <c r="IL110" s="174"/>
      <c r="IM110" s="174"/>
      <c r="IN110" s="174"/>
      <c r="IO110" s="174"/>
      <c r="IP110" s="174"/>
      <c r="IQ110" s="174"/>
      <c r="IR110" s="174"/>
      <c r="IS110" s="174"/>
      <c r="IT110" s="174"/>
      <c r="IU110" s="174"/>
      <c r="IV110" s="174"/>
      <c r="IW110" s="174"/>
    </row>
    <row r="111" customFormat="false" ht="12.75" hidden="false" customHeight="false" outlineLevel="0" collapsed="false">
      <c r="A111" s="227"/>
      <c r="B111" s="132" t="s">
        <v>482</v>
      </c>
      <c r="C111" s="218"/>
      <c r="D111" s="174"/>
      <c r="E111" s="229"/>
      <c r="F111" s="174"/>
      <c r="G111" s="174"/>
      <c r="H111" s="174"/>
      <c r="I111" s="229"/>
      <c r="J111" s="174"/>
      <c r="L111" s="174"/>
      <c r="M111" s="95" t="n">
        <v>105810</v>
      </c>
      <c r="N111" s="174"/>
      <c r="O111" s="133" t="n">
        <f aca="false">SUM(K111:N111)</f>
        <v>105810</v>
      </c>
      <c r="P111" s="174"/>
      <c r="V111" s="136"/>
      <c r="Y111" s="96" t="n">
        <v>1164</v>
      </c>
      <c r="AC111" s="96" t="n">
        <v>118814</v>
      </c>
      <c r="AE111" s="96" t="n">
        <v>537451</v>
      </c>
      <c r="AG111" s="96" t="n">
        <f aca="false">365148+922795+38094+16171</f>
        <v>1342208</v>
      </c>
      <c r="AI111" s="136" t="n">
        <f aca="false">96049-360517</f>
        <v>-264468</v>
      </c>
      <c r="AJ111" s="136"/>
      <c r="AK111" s="96" t="n">
        <v>42014</v>
      </c>
      <c r="AM111" s="136" t="n">
        <f aca="false">25232+600000</f>
        <v>625232</v>
      </c>
      <c r="AN111" s="136"/>
      <c r="AO111" s="136" t="n">
        <v>728688</v>
      </c>
      <c r="AP111" s="136"/>
      <c r="AQ111" s="136"/>
      <c r="AR111" s="174"/>
      <c r="AS111" s="95" t="n">
        <f aca="false">SUM(P111:AR111)</f>
        <v>3131103</v>
      </c>
      <c r="AT111" s="174"/>
      <c r="AU111" s="96" t="n">
        <f aca="false">2323080-105810+85506+2361586-14919+10182+84960+24581+409376+56190+165+568+674-2424215-515319+728688</f>
        <v>3025293</v>
      </c>
      <c r="AV111" s="174"/>
      <c r="AW111" s="135" t="n">
        <f aca="false">IF(+O111-AS111+AU111&gt;0,O111-AS111+AU111,0)</f>
        <v>0</v>
      </c>
      <c r="AX111" s="174"/>
      <c r="AY111" s="135" t="n">
        <f aca="false">+AW111+AS111</f>
        <v>3131103</v>
      </c>
      <c r="AZ111" s="174"/>
      <c r="BA111" s="95" t="n">
        <f aca="false">O111-AS111-AW111</f>
        <v>-3025293</v>
      </c>
      <c r="BB111" s="95"/>
      <c r="BC111" s="95"/>
      <c r="BE111" s="174"/>
      <c r="BF111" s="174"/>
      <c r="BG111" s="174"/>
      <c r="BH111" s="174"/>
      <c r="BI111" s="174"/>
      <c r="BJ111" s="174"/>
      <c r="BK111" s="174"/>
      <c r="BL111" s="174"/>
      <c r="BM111" s="174"/>
      <c r="BN111" s="174"/>
      <c r="BO111" s="174"/>
      <c r="BP111" s="174"/>
      <c r="BQ111" s="174"/>
      <c r="BR111" s="174"/>
      <c r="BS111" s="174"/>
      <c r="BT111" s="174"/>
      <c r="BU111" s="174"/>
      <c r="BV111" s="174"/>
      <c r="BW111" s="174"/>
      <c r="BX111" s="174"/>
      <c r="BY111" s="174"/>
      <c r="BZ111" s="174"/>
      <c r="CA111" s="174"/>
      <c r="CB111" s="174"/>
      <c r="CC111" s="174"/>
      <c r="CD111" s="174"/>
      <c r="CE111" s="174"/>
      <c r="CF111" s="174"/>
      <c r="CG111" s="174"/>
      <c r="CH111" s="174"/>
      <c r="CI111" s="174"/>
      <c r="CJ111" s="174"/>
      <c r="CK111" s="174"/>
      <c r="CL111" s="174"/>
      <c r="CM111" s="174"/>
      <c r="CN111" s="174"/>
      <c r="CO111" s="174"/>
      <c r="CP111" s="174"/>
      <c r="CQ111" s="174"/>
      <c r="CR111" s="174"/>
      <c r="CS111" s="174"/>
      <c r="CT111" s="174"/>
      <c r="CU111" s="174"/>
      <c r="CV111" s="174"/>
      <c r="CW111" s="174"/>
      <c r="CX111" s="174"/>
      <c r="CY111" s="174"/>
      <c r="CZ111" s="174"/>
      <c r="DA111" s="174"/>
      <c r="DB111" s="174"/>
      <c r="DC111" s="174"/>
      <c r="DD111" s="174"/>
      <c r="DE111" s="174"/>
      <c r="DF111" s="174"/>
      <c r="DG111" s="174"/>
      <c r="DH111" s="174"/>
      <c r="DI111" s="174"/>
      <c r="DJ111" s="174"/>
      <c r="DK111" s="174"/>
      <c r="DL111" s="174"/>
      <c r="DM111" s="174"/>
      <c r="DN111" s="174"/>
      <c r="DO111" s="174"/>
      <c r="DP111" s="174"/>
      <c r="DQ111" s="174"/>
      <c r="DR111" s="174"/>
      <c r="DS111" s="174"/>
      <c r="DT111" s="174"/>
      <c r="DU111" s="174"/>
      <c r="DV111" s="174"/>
      <c r="DW111" s="174"/>
      <c r="DX111" s="174"/>
      <c r="DY111" s="174"/>
      <c r="DZ111" s="174"/>
      <c r="EA111" s="174"/>
      <c r="EB111" s="174"/>
      <c r="EC111" s="174"/>
      <c r="ED111" s="174"/>
      <c r="EE111" s="174"/>
      <c r="EF111" s="174"/>
      <c r="EG111" s="174"/>
      <c r="EH111" s="174"/>
      <c r="EI111" s="174"/>
      <c r="EJ111" s="174"/>
      <c r="EK111" s="174"/>
      <c r="EL111" s="174"/>
      <c r="EM111" s="174"/>
      <c r="EN111" s="174"/>
      <c r="EO111" s="174"/>
      <c r="EP111" s="174"/>
      <c r="EQ111" s="174"/>
      <c r="ER111" s="174"/>
      <c r="ES111" s="174"/>
      <c r="ET111" s="174"/>
      <c r="EU111" s="174"/>
      <c r="EV111" s="174"/>
      <c r="EW111" s="174"/>
      <c r="EX111" s="174"/>
      <c r="EY111" s="174"/>
      <c r="EZ111" s="174"/>
      <c r="FA111" s="174"/>
      <c r="FB111" s="174"/>
      <c r="FC111" s="174"/>
      <c r="FD111" s="174"/>
      <c r="FE111" s="174"/>
      <c r="FF111" s="174"/>
      <c r="FG111" s="174"/>
      <c r="FH111" s="174"/>
      <c r="FI111" s="174"/>
      <c r="FJ111" s="174"/>
      <c r="FK111" s="174"/>
      <c r="FL111" s="174"/>
      <c r="FM111" s="174"/>
      <c r="FN111" s="174"/>
      <c r="FO111" s="174"/>
      <c r="FP111" s="174"/>
      <c r="FQ111" s="174"/>
      <c r="FR111" s="174"/>
      <c r="FS111" s="174"/>
      <c r="FT111" s="174"/>
      <c r="FU111" s="174"/>
      <c r="FV111" s="174"/>
      <c r="FW111" s="174"/>
      <c r="FX111" s="174"/>
      <c r="FY111" s="174"/>
      <c r="FZ111" s="174"/>
      <c r="GA111" s="174"/>
      <c r="GB111" s="174"/>
      <c r="GC111" s="174"/>
      <c r="GD111" s="174"/>
      <c r="GE111" s="174"/>
      <c r="GF111" s="174"/>
      <c r="GG111" s="174"/>
      <c r="GH111" s="174"/>
      <c r="GI111" s="174"/>
      <c r="GJ111" s="174"/>
      <c r="GK111" s="174"/>
      <c r="GL111" s="174"/>
      <c r="GM111" s="174"/>
      <c r="GN111" s="174"/>
      <c r="GO111" s="174"/>
      <c r="GP111" s="174"/>
      <c r="GQ111" s="174"/>
      <c r="GR111" s="174"/>
      <c r="GS111" s="174"/>
      <c r="GT111" s="174"/>
      <c r="GU111" s="174"/>
      <c r="GV111" s="174"/>
      <c r="GW111" s="174"/>
      <c r="GX111" s="174"/>
      <c r="GY111" s="174"/>
      <c r="GZ111" s="174"/>
      <c r="HA111" s="174"/>
      <c r="HB111" s="174"/>
      <c r="HC111" s="174"/>
      <c r="HD111" s="174"/>
      <c r="HE111" s="174"/>
      <c r="HF111" s="174"/>
      <c r="HG111" s="174"/>
      <c r="HH111" s="174"/>
      <c r="HI111" s="174"/>
      <c r="HJ111" s="174"/>
      <c r="HK111" s="174"/>
      <c r="HL111" s="174"/>
      <c r="HM111" s="174"/>
      <c r="HN111" s="174"/>
      <c r="HO111" s="174"/>
      <c r="HP111" s="174"/>
      <c r="HQ111" s="174"/>
      <c r="HR111" s="174"/>
      <c r="HS111" s="174"/>
      <c r="HT111" s="174"/>
      <c r="HU111" s="174"/>
      <c r="HV111" s="174"/>
      <c r="HW111" s="174"/>
      <c r="HX111" s="174"/>
      <c r="HY111" s="174"/>
      <c r="HZ111" s="174"/>
      <c r="IA111" s="174"/>
      <c r="IB111" s="174"/>
      <c r="IC111" s="174"/>
      <c r="ID111" s="174"/>
      <c r="IE111" s="174"/>
      <c r="IF111" s="174"/>
      <c r="IG111" s="174"/>
      <c r="IH111" s="174"/>
      <c r="II111" s="174"/>
      <c r="IJ111" s="174"/>
      <c r="IK111" s="174"/>
      <c r="IL111" s="174"/>
      <c r="IM111" s="174"/>
      <c r="IN111" s="174"/>
      <c r="IO111" s="174"/>
      <c r="IP111" s="174"/>
      <c r="IQ111" s="174"/>
      <c r="IR111" s="174"/>
      <c r="IS111" s="174"/>
      <c r="IT111" s="174"/>
      <c r="IU111" s="174"/>
      <c r="IV111" s="174"/>
      <c r="IW111" s="174"/>
    </row>
    <row r="112" customFormat="false" ht="12.75" hidden="false" customHeight="false" outlineLevel="0" collapsed="false">
      <c r="A112" s="227"/>
      <c r="B112" s="132" t="s">
        <v>483</v>
      </c>
      <c r="C112" s="218"/>
      <c r="D112" s="174"/>
      <c r="E112" s="229"/>
      <c r="F112" s="174"/>
      <c r="G112" s="174"/>
      <c r="H112" s="174"/>
      <c r="I112" s="229"/>
      <c r="J112" s="174"/>
      <c r="L112" s="174"/>
      <c r="M112" s="95" t="n">
        <v>0</v>
      </c>
      <c r="N112" s="174"/>
      <c r="O112" s="133" t="n">
        <f aca="false">SUM(K112:N112)</f>
        <v>0</v>
      </c>
      <c r="P112" s="174"/>
      <c r="V112" s="136"/>
      <c r="W112" s="96" t="n">
        <v>2655</v>
      </c>
      <c r="Y112" s="96" t="n">
        <f aca="false">9356</f>
        <v>9356</v>
      </c>
      <c r="AC112" s="96" t="n">
        <v>-12011</v>
      </c>
      <c r="AG112" s="96" t="n">
        <f aca="false">643+59448</f>
        <v>60091</v>
      </c>
      <c r="AR112" s="174"/>
      <c r="AS112" s="95" t="n">
        <f aca="false">SUM(P112:AR112)</f>
        <v>60091</v>
      </c>
      <c r="AT112" s="174"/>
      <c r="AU112" s="96" t="n">
        <f aca="false">35068+20233+44675+19927-1202-58610</f>
        <v>60091</v>
      </c>
      <c r="AV112" s="174"/>
      <c r="AW112" s="95" t="n">
        <f aca="false">IF(+O112-AS112+AU112&gt;0,O112-AS112+AU112,0)</f>
        <v>0</v>
      </c>
      <c r="AX112" s="174"/>
      <c r="AY112" s="95" t="n">
        <f aca="false">+AW112+AS112</f>
        <v>60091</v>
      </c>
      <c r="AZ112" s="174"/>
      <c r="BA112" s="95" t="n">
        <f aca="false">O112-AS112-AW112</f>
        <v>-60091</v>
      </c>
      <c r="BB112" s="95"/>
      <c r="BC112" s="95"/>
      <c r="BE112" s="174"/>
      <c r="BF112" s="174"/>
      <c r="BG112" s="174"/>
      <c r="BH112" s="174"/>
      <c r="BI112" s="174"/>
      <c r="BJ112" s="174"/>
      <c r="BK112" s="174"/>
      <c r="BL112" s="174"/>
      <c r="BM112" s="174"/>
      <c r="BN112" s="174"/>
      <c r="BO112" s="174"/>
      <c r="BP112" s="174"/>
      <c r="BQ112" s="174"/>
      <c r="BR112" s="174"/>
      <c r="BS112" s="174"/>
      <c r="BT112" s="174"/>
      <c r="BU112" s="174"/>
      <c r="BV112" s="174"/>
      <c r="BW112" s="174"/>
      <c r="BX112" s="174"/>
      <c r="BY112" s="174"/>
      <c r="BZ112" s="174"/>
      <c r="CA112" s="174"/>
      <c r="CB112" s="174"/>
      <c r="CC112" s="174"/>
      <c r="CD112" s="174"/>
      <c r="CE112" s="174"/>
      <c r="CF112" s="174"/>
      <c r="CG112" s="174"/>
      <c r="CH112" s="174"/>
      <c r="CI112" s="174"/>
      <c r="CJ112" s="174"/>
      <c r="CK112" s="174"/>
      <c r="CL112" s="174"/>
      <c r="CM112" s="174"/>
      <c r="CN112" s="174"/>
      <c r="CO112" s="174"/>
      <c r="CP112" s="174"/>
      <c r="CQ112" s="174"/>
      <c r="CR112" s="174"/>
      <c r="CS112" s="174"/>
      <c r="CT112" s="174"/>
      <c r="CU112" s="174"/>
      <c r="CV112" s="174"/>
      <c r="CW112" s="174"/>
      <c r="CX112" s="174"/>
      <c r="CY112" s="174"/>
      <c r="CZ112" s="174"/>
      <c r="DA112" s="174"/>
      <c r="DB112" s="174"/>
      <c r="DC112" s="174"/>
      <c r="DD112" s="174"/>
      <c r="DE112" s="174"/>
      <c r="DF112" s="174"/>
      <c r="DG112" s="174"/>
      <c r="DH112" s="174"/>
      <c r="DI112" s="174"/>
      <c r="DJ112" s="174"/>
      <c r="DK112" s="174"/>
      <c r="DL112" s="174"/>
      <c r="DM112" s="174"/>
      <c r="DN112" s="174"/>
      <c r="DO112" s="174"/>
      <c r="DP112" s="174"/>
      <c r="DQ112" s="174"/>
      <c r="DR112" s="174"/>
      <c r="DS112" s="174"/>
      <c r="DT112" s="174"/>
      <c r="DU112" s="174"/>
      <c r="DV112" s="174"/>
      <c r="DW112" s="174"/>
      <c r="DX112" s="174"/>
      <c r="DY112" s="174"/>
      <c r="DZ112" s="174"/>
      <c r="EA112" s="174"/>
      <c r="EB112" s="174"/>
      <c r="EC112" s="174"/>
      <c r="ED112" s="174"/>
      <c r="EE112" s="174"/>
      <c r="EF112" s="174"/>
      <c r="EG112" s="174"/>
      <c r="EH112" s="174"/>
      <c r="EI112" s="174"/>
      <c r="EJ112" s="174"/>
      <c r="EK112" s="174"/>
      <c r="EL112" s="174"/>
      <c r="EM112" s="174"/>
      <c r="EN112" s="174"/>
      <c r="EO112" s="174"/>
      <c r="EP112" s="174"/>
      <c r="EQ112" s="174"/>
      <c r="ER112" s="174"/>
      <c r="ES112" s="174"/>
      <c r="ET112" s="174"/>
      <c r="EU112" s="174"/>
      <c r="EV112" s="174"/>
      <c r="EW112" s="174"/>
      <c r="EX112" s="174"/>
      <c r="EY112" s="174"/>
      <c r="EZ112" s="174"/>
      <c r="FA112" s="174"/>
      <c r="FB112" s="174"/>
      <c r="FC112" s="174"/>
      <c r="FD112" s="174"/>
      <c r="FE112" s="174"/>
      <c r="FF112" s="174"/>
      <c r="FG112" s="174"/>
      <c r="FH112" s="174"/>
      <c r="FI112" s="174"/>
      <c r="FJ112" s="174"/>
      <c r="FK112" s="174"/>
      <c r="FL112" s="174"/>
      <c r="FM112" s="174"/>
      <c r="FN112" s="174"/>
      <c r="FO112" s="174"/>
      <c r="FP112" s="174"/>
      <c r="FQ112" s="174"/>
      <c r="FR112" s="174"/>
      <c r="FS112" s="174"/>
      <c r="FT112" s="174"/>
      <c r="FU112" s="174"/>
      <c r="FV112" s="174"/>
      <c r="FW112" s="174"/>
      <c r="FX112" s="174"/>
      <c r="FY112" s="174"/>
      <c r="FZ112" s="174"/>
      <c r="GA112" s="174"/>
      <c r="GB112" s="174"/>
      <c r="GC112" s="174"/>
      <c r="GD112" s="174"/>
      <c r="GE112" s="174"/>
      <c r="GF112" s="174"/>
      <c r="GG112" s="174"/>
      <c r="GH112" s="174"/>
      <c r="GI112" s="174"/>
      <c r="GJ112" s="174"/>
      <c r="GK112" s="174"/>
      <c r="GL112" s="174"/>
      <c r="GM112" s="174"/>
      <c r="GN112" s="174"/>
      <c r="GO112" s="174"/>
      <c r="GP112" s="174"/>
      <c r="GQ112" s="174"/>
      <c r="GR112" s="174"/>
      <c r="GS112" s="174"/>
      <c r="GT112" s="174"/>
      <c r="GU112" s="174"/>
      <c r="GV112" s="174"/>
      <c r="GW112" s="174"/>
      <c r="GX112" s="174"/>
      <c r="GY112" s="174"/>
      <c r="GZ112" s="174"/>
      <c r="HA112" s="174"/>
      <c r="HB112" s="174"/>
      <c r="HC112" s="174"/>
      <c r="HD112" s="174"/>
      <c r="HE112" s="174"/>
      <c r="HF112" s="174"/>
      <c r="HG112" s="174"/>
      <c r="HH112" s="174"/>
      <c r="HI112" s="174"/>
      <c r="HJ112" s="174"/>
      <c r="HK112" s="174"/>
      <c r="HL112" s="174"/>
      <c r="HM112" s="174"/>
      <c r="HN112" s="174"/>
      <c r="HO112" s="174"/>
      <c r="HP112" s="174"/>
      <c r="HQ112" s="174"/>
      <c r="HR112" s="174"/>
      <c r="HS112" s="174"/>
      <c r="HT112" s="174"/>
      <c r="HU112" s="174"/>
      <c r="HV112" s="174"/>
      <c r="HW112" s="174"/>
      <c r="HX112" s="174"/>
      <c r="HY112" s="174"/>
      <c r="HZ112" s="174"/>
      <c r="IA112" s="174"/>
      <c r="IB112" s="174"/>
      <c r="IC112" s="174"/>
      <c r="ID112" s="174"/>
      <c r="IE112" s="174"/>
      <c r="IF112" s="174"/>
      <c r="IG112" s="174"/>
      <c r="IH112" s="174"/>
      <c r="II112" s="174"/>
      <c r="IJ112" s="174"/>
      <c r="IK112" s="174"/>
      <c r="IL112" s="174"/>
      <c r="IM112" s="174"/>
      <c r="IN112" s="174"/>
      <c r="IO112" s="174"/>
      <c r="IP112" s="174"/>
      <c r="IQ112" s="174"/>
      <c r="IR112" s="174"/>
      <c r="IS112" s="174"/>
      <c r="IT112" s="174"/>
      <c r="IU112" s="174"/>
      <c r="IV112" s="174"/>
      <c r="IW112" s="174"/>
    </row>
    <row r="113" customFormat="false" ht="12.75" hidden="false" customHeight="false" outlineLevel="0" collapsed="false">
      <c r="A113" s="225"/>
      <c r="B113" s="132" t="s">
        <v>484</v>
      </c>
      <c r="C113" s="218" t="s">
        <v>207</v>
      </c>
      <c r="D113" s="174"/>
      <c r="E113" s="229" t="s">
        <v>173</v>
      </c>
      <c r="F113" s="174"/>
      <c r="G113" s="229" t="s">
        <v>208</v>
      </c>
      <c r="H113" s="174"/>
      <c r="I113" s="229" t="s">
        <v>174</v>
      </c>
      <c r="J113" s="174"/>
      <c r="K113" s="133" t="n">
        <v>1277936</v>
      </c>
      <c r="L113" s="174"/>
      <c r="M113" s="133" t="n">
        <v>-1277936</v>
      </c>
      <c r="N113" s="174"/>
      <c r="O113" s="133" t="n">
        <f aca="false">SUM(K113:N113)</f>
        <v>0</v>
      </c>
      <c r="P113" s="174"/>
      <c r="Q113" s="96" t="n">
        <v>0</v>
      </c>
      <c r="S113" s="96" t="n">
        <v>0</v>
      </c>
      <c r="V113" s="136"/>
      <c r="AR113" s="174"/>
      <c r="AS113" s="95" t="n">
        <f aca="false">SUM(P113:AR113)</f>
        <v>0</v>
      </c>
      <c r="AT113" s="174"/>
      <c r="AV113" s="174"/>
      <c r="AW113" s="95" t="n">
        <f aca="false">IF(+O113-AS113+AU113&gt;0,O113-AS113+AU113,0)</f>
        <v>0</v>
      </c>
      <c r="AX113" s="174"/>
      <c r="AY113" s="95" t="n">
        <f aca="false">+AW113+AS113</f>
        <v>0</v>
      </c>
      <c r="AZ113" s="174"/>
      <c r="BA113" s="95" t="n">
        <f aca="false">O113-AS113-AW113</f>
        <v>0</v>
      </c>
      <c r="BB113" s="136"/>
      <c r="BC113" s="95"/>
      <c r="BE113" s="174"/>
      <c r="BF113" s="174"/>
      <c r="BG113" s="174"/>
      <c r="BH113" s="174"/>
      <c r="BI113" s="174"/>
      <c r="BJ113" s="174"/>
      <c r="BK113" s="174"/>
      <c r="BL113" s="174"/>
      <c r="BM113" s="174"/>
      <c r="BN113" s="174"/>
      <c r="BO113" s="174"/>
      <c r="BP113" s="174"/>
      <c r="BQ113" s="174"/>
      <c r="BR113" s="174"/>
      <c r="BS113" s="174"/>
      <c r="BT113" s="174"/>
      <c r="BU113" s="174"/>
      <c r="BV113" s="174"/>
      <c r="BW113" s="174"/>
      <c r="BX113" s="174"/>
      <c r="BY113" s="174"/>
      <c r="BZ113" s="174"/>
      <c r="CA113" s="174"/>
      <c r="CB113" s="174"/>
      <c r="CC113" s="174"/>
      <c r="CD113" s="174"/>
      <c r="CE113" s="174"/>
      <c r="CF113" s="174"/>
      <c r="CG113" s="174"/>
      <c r="CH113" s="174"/>
      <c r="CI113" s="174"/>
      <c r="CJ113" s="174"/>
      <c r="CK113" s="174"/>
      <c r="CL113" s="174"/>
      <c r="CM113" s="174"/>
      <c r="CN113" s="174"/>
      <c r="CO113" s="174"/>
      <c r="CP113" s="174"/>
      <c r="CQ113" s="174"/>
      <c r="CR113" s="174"/>
      <c r="CS113" s="174"/>
      <c r="CT113" s="174"/>
      <c r="CU113" s="174"/>
      <c r="CV113" s="174"/>
      <c r="CW113" s="174"/>
      <c r="CX113" s="174"/>
      <c r="CY113" s="174"/>
      <c r="CZ113" s="174"/>
      <c r="DA113" s="174"/>
      <c r="DB113" s="174"/>
      <c r="DC113" s="174"/>
      <c r="DD113" s="174"/>
      <c r="DE113" s="174"/>
      <c r="DF113" s="174"/>
      <c r="DG113" s="174"/>
      <c r="DH113" s="174"/>
      <c r="DI113" s="174"/>
      <c r="DJ113" s="174"/>
      <c r="DK113" s="174"/>
      <c r="DL113" s="174"/>
      <c r="DM113" s="174"/>
      <c r="DN113" s="174"/>
      <c r="DO113" s="174"/>
      <c r="DP113" s="174"/>
      <c r="DQ113" s="174"/>
      <c r="DR113" s="174"/>
      <c r="DS113" s="174"/>
      <c r="DT113" s="174"/>
      <c r="DU113" s="174"/>
      <c r="DV113" s="174"/>
      <c r="DW113" s="174"/>
      <c r="DX113" s="174"/>
      <c r="DY113" s="174"/>
      <c r="DZ113" s="174"/>
      <c r="EA113" s="174"/>
      <c r="EB113" s="174"/>
      <c r="EC113" s="174"/>
      <c r="ED113" s="174"/>
      <c r="EE113" s="174"/>
      <c r="EF113" s="174"/>
      <c r="EG113" s="174"/>
      <c r="EH113" s="174"/>
      <c r="EI113" s="174"/>
      <c r="EJ113" s="174"/>
      <c r="EK113" s="174"/>
      <c r="EL113" s="174"/>
      <c r="EM113" s="174"/>
      <c r="EN113" s="174"/>
      <c r="EO113" s="174"/>
      <c r="EP113" s="174"/>
      <c r="EQ113" s="174"/>
      <c r="ER113" s="174"/>
      <c r="ES113" s="174"/>
      <c r="ET113" s="174"/>
      <c r="EU113" s="174"/>
      <c r="EV113" s="174"/>
      <c r="EW113" s="174"/>
      <c r="EX113" s="174"/>
      <c r="EY113" s="174"/>
      <c r="EZ113" s="174"/>
      <c r="FA113" s="174"/>
      <c r="FB113" s="174"/>
      <c r="FC113" s="174"/>
      <c r="FD113" s="174"/>
      <c r="FE113" s="174"/>
      <c r="FF113" s="174"/>
      <c r="FG113" s="174"/>
      <c r="FH113" s="174"/>
      <c r="FI113" s="174"/>
      <c r="FJ113" s="174"/>
      <c r="FK113" s="174"/>
      <c r="FL113" s="174"/>
      <c r="FM113" s="174"/>
      <c r="FN113" s="174"/>
      <c r="FO113" s="174"/>
      <c r="FP113" s="174"/>
      <c r="FQ113" s="174"/>
      <c r="FR113" s="174"/>
      <c r="FS113" s="174"/>
      <c r="FT113" s="174"/>
      <c r="FU113" s="174"/>
      <c r="FV113" s="174"/>
      <c r="FW113" s="174"/>
      <c r="FX113" s="174"/>
      <c r="FY113" s="174"/>
      <c r="FZ113" s="174"/>
      <c r="GA113" s="174"/>
      <c r="GB113" s="174"/>
      <c r="GC113" s="174"/>
      <c r="GD113" s="174"/>
      <c r="GE113" s="174"/>
      <c r="GF113" s="174"/>
      <c r="GG113" s="174"/>
      <c r="GH113" s="174"/>
      <c r="GI113" s="174"/>
      <c r="GJ113" s="174"/>
      <c r="GK113" s="174"/>
      <c r="GL113" s="174"/>
      <c r="GM113" s="174"/>
      <c r="GN113" s="174"/>
      <c r="GO113" s="174"/>
      <c r="GP113" s="174"/>
      <c r="GQ113" s="174"/>
      <c r="GR113" s="174"/>
      <c r="GS113" s="174"/>
      <c r="GT113" s="174"/>
      <c r="GU113" s="174"/>
      <c r="GV113" s="174"/>
      <c r="GW113" s="174"/>
      <c r="GX113" s="174"/>
      <c r="GY113" s="174"/>
      <c r="GZ113" s="174"/>
      <c r="HA113" s="174"/>
      <c r="HB113" s="174"/>
      <c r="HC113" s="174"/>
      <c r="HD113" s="174"/>
      <c r="HE113" s="174"/>
      <c r="HF113" s="174"/>
      <c r="HG113" s="174"/>
      <c r="HH113" s="174"/>
      <c r="HI113" s="174"/>
      <c r="HJ113" s="174"/>
      <c r="HK113" s="174"/>
      <c r="HL113" s="174"/>
      <c r="HM113" s="174"/>
      <c r="HN113" s="174"/>
      <c r="HO113" s="174"/>
      <c r="HP113" s="174"/>
      <c r="HQ113" s="174"/>
      <c r="HR113" s="174"/>
      <c r="HS113" s="174"/>
      <c r="HT113" s="174"/>
      <c r="HU113" s="174"/>
      <c r="HV113" s="174"/>
      <c r="HW113" s="174"/>
      <c r="HX113" s="174"/>
      <c r="HY113" s="174"/>
      <c r="HZ113" s="174"/>
      <c r="IA113" s="174"/>
      <c r="IB113" s="174"/>
      <c r="IC113" s="174"/>
      <c r="ID113" s="174"/>
      <c r="IE113" s="174"/>
      <c r="IF113" s="174"/>
      <c r="IG113" s="174"/>
      <c r="IH113" s="174"/>
      <c r="II113" s="174"/>
      <c r="IJ113" s="174"/>
      <c r="IK113" s="174"/>
      <c r="IL113" s="174"/>
      <c r="IM113" s="174"/>
      <c r="IN113" s="174"/>
      <c r="IO113" s="174"/>
      <c r="IP113" s="174"/>
      <c r="IQ113" s="174"/>
      <c r="IR113" s="174"/>
      <c r="IS113" s="174"/>
      <c r="IT113" s="174"/>
      <c r="IU113" s="174"/>
      <c r="IV113" s="174"/>
      <c r="IW113" s="174"/>
    </row>
    <row r="114" customFormat="false" ht="12.75" hidden="false" customHeight="false" outlineLevel="0" collapsed="false">
      <c r="A114" s="225"/>
      <c r="B114" s="132" t="s">
        <v>485</v>
      </c>
      <c r="C114" s="218"/>
      <c r="D114" s="174"/>
      <c r="E114" s="229" t="s">
        <v>173</v>
      </c>
      <c r="F114" s="174"/>
      <c r="G114" s="229" t="s">
        <v>208</v>
      </c>
      <c r="H114" s="174"/>
      <c r="I114" s="229" t="s">
        <v>174</v>
      </c>
      <c r="J114" s="174"/>
      <c r="K114" s="133" t="n">
        <v>2045710</v>
      </c>
      <c r="L114" s="174"/>
      <c r="M114" s="133" t="n">
        <v>-2045710</v>
      </c>
      <c r="N114" s="174"/>
      <c r="O114" s="133" t="n">
        <f aca="false">SUM(K114:N114)</f>
        <v>0</v>
      </c>
      <c r="P114" s="174"/>
      <c r="Q114" s="96" t="n">
        <v>0</v>
      </c>
      <c r="S114" s="96" t="n">
        <v>0</v>
      </c>
      <c r="V114" s="136"/>
      <c r="AR114" s="174"/>
      <c r="AS114" s="95" t="n">
        <f aca="false">SUM(P114:AR114)</f>
        <v>0</v>
      </c>
      <c r="AT114" s="174"/>
      <c r="AV114" s="174"/>
      <c r="AW114" s="95" t="n">
        <f aca="false">IF(+O114-AS114+AU114&gt;0,O114-AS114+AU114,0)</f>
        <v>0</v>
      </c>
      <c r="AX114" s="174"/>
      <c r="AY114" s="95" t="n">
        <f aca="false">+AW114+AS114</f>
        <v>0</v>
      </c>
      <c r="AZ114" s="174"/>
      <c r="BA114" s="95" t="n">
        <f aca="false">O114-AS114-AW114</f>
        <v>0</v>
      </c>
      <c r="BB114" s="136"/>
      <c r="BC114" s="95"/>
      <c r="BE114" s="174"/>
      <c r="BF114" s="174"/>
      <c r="BG114" s="174"/>
      <c r="BH114" s="174"/>
      <c r="BI114" s="174"/>
      <c r="BJ114" s="174"/>
      <c r="BK114" s="174"/>
      <c r="BL114" s="174"/>
      <c r="BM114" s="174"/>
      <c r="BN114" s="174"/>
      <c r="BO114" s="174"/>
      <c r="BP114" s="174"/>
      <c r="BQ114" s="174"/>
      <c r="BR114" s="174"/>
      <c r="BS114" s="174"/>
      <c r="BT114" s="174"/>
      <c r="BU114" s="174"/>
      <c r="BV114" s="174"/>
      <c r="BW114" s="174"/>
      <c r="BX114" s="174"/>
      <c r="BY114" s="174"/>
      <c r="BZ114" s="174"/>
      <c r="CA114" s="174"/>
      <c r="CB114" s="174"/>
      <c r="CC114" s="174"/>
      <c r="CD114" s="174"/>
      <c r="CE114" s="174"/>
      <c r="CF114" s="174"/>
      <c r="CG114" s="174"/>
      <c r="CH114" s="174"/>
      <c r="CI114" s="174"/>
      <c r="CJ114" s="174"/>
      <c r="CK114" s="174"/>
      <c r="CL114" s="174"/>
      <c r="CM114" s="174"/>
      <c r="CN114" s="174"/>
      <c r="CO114" s="174"/>
      <c r="CP114" s="174"/>
      <c r="CQ114" s="174"/>
      <c r="CR114" s="174"/>
      <c r="CS114" s="174"/>
      <c r="CT114" s="174"/>
      <c r="CU114" s="174"/>
      <c r="CV114" s="174"/>
      <c r="CW114" s="174"/>
      <c r="CX114" s="174"/>
      <c r="CY114" s="174"/>
      <c r="CZ114" s="174"/>
      <c r="DA114" s="174"/>
      <c r="DB114" s="174"/>
      <c r="DC114" s="174"/>
      <c r="DD114" s="174"/>
      <c r="DE114" s="174"/>
      <c r="DF114" s="174"/>
      <c r="DG114" s="174"/>
      <c r="DH114" s="174"/>
      <c r="DI114" s="174"/>
      <c r="DJ114" s="174"/>
      <c r="DK114" s="174"/>
      <c r="DL114" s="174"/>
      <c r="DM114" s="174"/>
      <c r="DN114" s="174"/>
      <c r="DO114" s="174"/>
      <c r="DP114" s="174"/>
      <c r="DQ114" s="174"/>
      <c r="DR114" s="174"/>
      <c r="DS114" s="174"/>
      <c r="DT114" s="174"/>
      <c r="DU114" s="174"/>
      <c r="DV114" s="174"/>
      <c r="DW114" s="174"/>
      <c r="DX114" s="174"/>
      <c r="DY114" s="174"/>
      <c r="DZ114" s="174"/>
      <c r="EA114" s="174"/>
      <c r="EB114" s="174"/>
      <c r="EC114" s="174"/>
      <c r="ED114" s="174"/>
      <c r="EE114" s="174"/>
      <c r="EF114" s="174"/>
      <c r="EG114" s="174"/>
      <c r="EH114" s="174"/>
      <c r="EI114" s="174"/>
      <c r="EJ114" s="174"/>
      <c r="EK114" s="174"/>
      <c r="EL114" s="174"/>
      <c r="EM114" s="174"/>
      <c r="EN114" s="174"/>
      <c r="EO114" s="174"/>
      <c r="EP114" s="174"/>
      <c r="EQ114" s="174"/>
      <c r="ER114" s="174"/>
      <c r="ES114" s="174"/>
      <c r="ET114" s="174"/>
      <c r="EU114" s="174"/>
      <c r="EV114" s="174"/>
      <c r="EW114" s="174"/>
      <c r="EX114" s="174"/>
      <c r="EY114" s="174"/>
      <c r="EZ114" s="174"/>
      <c r="FA114" s="174"/>
      <c r="FB114" s="174"/>
      <c r="FC114" s="174"/>
      <c r="FD114" s="174"/>
      <c r="FE114" s="174"/>
      <c r="FF114" s="174"/>
      <c r="FG114" s="174"/>
      <c r="FH114" s="174"/>
      <c r="FI114" s="174"/>
      <c r="FJ114" s="174"/>
      <c r="FK114" s="174"/>
      <c r="FL114" s="174"/>
      <c r="FM114" s="174"/>
      <c r="FN114" s="174"/>
      <c r="FO114" s="174"/>
      <c r="FP114" s="174"/>
      <c r="FQ114" s="174"/>
      <c r="FR114" s="174"/>
      <c r="FS114" s="174"/>
      <c r="FT114" s="174"/>
      <c r="FU114" s="174"/>
      <c r="FV114" s="174"/>
      <c r="FW114" s="174"/>
      <c r="FX114" s="174"/>
      <c r="FY114" s="174"/>
      <c r="FZ114" s="174"/>
      <c r="GA114" s="174"/>
      <c r="GB114" s="174"/>
      <c r="GC114" s="174"/>
      <c r="GD114" s="174"/>
      <c r="GE114" s="174"/>
      <c r="GF114" s="174"/>
      <c r="GG114" s="174"/>
      <c r="GH114" s="174"/>
      <c r="GI114" s="174"/>
      <c r="GJ114" s="174"/>
      <c r="GK114" s="174"/>
      <c r="GL114" s="174"/>
      <c r="GM114" s="174"/>
      <c r="GN114" s="174"/>
      <c r="GO114" s="174"/>
      <c r="GP114" s="174"/>
      <c r="GQ114" s="174"/>
      <c r="GR114" s="174"/>
      <c r="GS114" s="174"/>
      <c r="GT114" s="174"/>
      <c r="GU114" s="174"/>
      <c r="GV114" s="174"/>
      <c r="GW114" s="174"/>
      <c r="GX114" s="174"/>
      <c r="GY114" s="174"/>
      <c r="GZ114" s="174"/>
      <c r="HA114" s="174"/>
      <c r="HB114" s="174"/>
      <c r="HC114" s="174"/>
      <c r="HD114" s="174"/>
      <c r="HE114" s="174"/>
      <c r="HF114" s="174"/>
      <c r="HG114" s="174"/>
      <c r="HH114" s="174"/>
      <c r="HI114" s="174"/>
      <c r="HJ114" s="174"/>
      <c r="HK114" s="174"/>
      <c r="HL114" s="174"/>
      <c r="HM114" s="174"/>
      <c r="HN114" s="174"/>
      <c r="HO114" s="174"/>
      <c r="HP114" s="174"/>
      <c r="HQ114" s="174"/>
      <c r="HR114" s="174"/>
      <c r="HS114" s="174"/>
      <c r="HT114" s="174"/>
      <c r="HU114" s="174"/>
      <c r="HV114" s="174"/>
      <c r="HW114" s="174"/>
      <c r="HX114" s="174"/>
      <c r="HY114" s="174"/>
      <c r="HZ114" s="174"/>
      <c r="IA114" s="174"/>
      <c r="IB114" s="174"/>
      <c r="IC114" s="174"/>
      <c r="ID114" s="174"/>
      <c r="IE114" s="174"/>
      <c r="IF114" s="174"/>
      <c r="IG114" s="174"/>
      <c r="IH114" s="174"/>
      <c r="II114" s="174"/>
      <c r="IJ114" s="174"/>
      <c r="IK114" s="174"/>
      <c r="IL114" s="174"/>
      <c r="IM114" s="174"/>
      <c r="IN114" s="174"/>
      <c r="IO114" s="174"/>
      <c r="IP114" s="174"/>
      <c r="IQ114" s="174"/>
      <c r="IR114" s="174"/>
      <c r="IS114" s="174"/>
      <c r="IT114" s="174"/>
      <c r="IU114" s="174"/>
      <c r="IV114" s="174"/>
      <c r="IW114" s="174"/>
    </row>
    <row r="115" customFormat="false" ht="12.75" hidden="false" customHeight="false" outlineLevel="0" collapsed="false">
      <c r="A115" s="225"/>
      <c r="B115" s="132" t="s">
        <v>486</v>
      </c>
      <c r="C115" s="218"/>
      <c r="D115" s="174"/>
      <c r="E115" s="229" t="s">
        <v>173</v>
      </c>
      <c r="F115" s="174"/>
      <c r="G115" s="229" t="s">
        <v>208</v>
      </c>
      <c r="H115" s="174"/>
      <c r="I115" s="229" t="s">
        <v>174</v>
      </c>
      <c r="J115" s="174"/>
      <c r="K115" s="133" t="n">
        <v>279055</v>
      </c>
      <c r="L115" s="174"/>
      <c r="M115" s="133" t="n">
        <v>-279055</v>
      </c>
      <c r="N115" s="174"/>
      <c r="O115" s="133" t="n">
        <f aca="false">SUM(K115:N115)</f>
        <v>0</v>
      </c>
      <c r="P115" s="174"/>
      <c r="Q115" s="96" t="n">
        <v>0</v>
      </c>
      <c r="S115" s="96" t="n">
        <v>0</v>
      </c>
      <c r="V115" s="136"/>
      <c r="AR115" s="174"/>
      <c r="AS115" s="95" t="n">
        <f aca="false">SUM(P115:AR115)</f>
        <v>0</v>
      </c>
      <c r="AT115" s="174"/>
      <c r="AV115" s="174"/>
      <c r="AW115" s="95" t="n">
        <f aca="false">IF(+O115-AS115+AU115&gt;0,O115-AS115+AU115,0)</f>
        <v>0</v>
      </c>
      <c r="AX115" s="174"/>
      <c r="AY115" s="95" t="n">
        <f aca="false">+AW115+AS115</f>
        <v>0</v>
      </c>
      <c r="AZ115" s="174"/>
      <c r="BA115" s="95" t="n">
        <f aca="false">O115-AS115-AW115</f>
        <v>0</v>
      </c>
      <c r="BB115" s="136"/>
      <c r="BC115" s="95"/>
      <c r="BE115" s="174"/>
      <c r="BF115" s="174"/>
      <c r="BG115" s="174"/>
      <c r="BH115" s="174"/>
      <c r="BI115" s="174"/>
      <c r="BJ115" s="174"/>
      <c r="BK115" s="174"/>
      <c r="BL115" s="174"/>
      <c r="BM115" s="174"/>
      <c r="BN115" s="174"/>
      <c r="BO115" s="174"/>
      <c r="BP115" s="174"/>
      <c r="BQ115" s="174"/>
      <c r="BR115" s="174"/>
      <c r="BS115" s="174"/>
      <c r="BT115" s="174"/>
      <c r="BU115" s="174"/>
      <c r="BV115" s="174"/>
      <c r="BW115" s="174"/>
      <c r="BX115" s="174"/>
      <c r="BY115" s="174"/>
      <c r="BZ115" s="174"/>
      <c r="CA115" s="174"/>
      <c r="CB115" s="174"/>
      <c r="CC115" s="174"/>
      <c r="CD115" s="174"/>
      <c r="CE115" s="174"/>
      <c r="CF115" s="174"/>
      <c r="CG115" s="174"/>
      <c r="CH115" s="174"/>
      <c r="CI115" s="174"/>
      <c r="CJ115" s="174"/>
      <c r="CK115" s="174"/>
      <c r="CL115" s="174"/>
      <c r="CM115" s="174"/>
      <c r="CN115" s="174"/>
      <c r="CO115" s="174"/>
      <c r="CP115" s="174"/>
      <c r="CQ115" s="174"/>
      <c r="CR115" s="174"/>
      <c r="CS115" s="174"/>
      <c r="CT115" s="174"/>
      <c r="CU115" s="174"/>
      <c r="CV115" s="174"/>
      <c r="CW115" s="174"/>
      <c r="CX115" s="174"/>
      <c r="CY115" s="174"/>
      <c r="CZ115" s="174"/>
      <c r="DA115" s="174"/>
      <c r="DB115" s="174"/>
      <c r="DC115" s="174"/>
      <c r="DD115" s="174"/>
      <c r="DE115" s="174"/>
      <c r="DF115" s="174"/>
      <c r="DG115" s="174"/>
      <c r="DH115" s="174"/>
      <c r="DI115" s="174"/>
      <c r="DJ115" s="174"/>
      <c r="DK115" s="174"/>
      <c r="DL115" s="174"/>
      <c r="DM115" s="174"/>
      <c r="DN115" s="174"/>
      <c r="DO115" s="174"/>
      <c r="DP115" s="174"/>
      <c r="DQ115" s="174"/>
      <c r="DR115" s="174"/>
      <c r="DS115" s="174"/>
      <c r="DT115" s="174"/>
      <c r="DU115" s="174"/>
      <c r="DV115" s="174"/>
      <c r="DW115" s="174"/>
      <c r="DX115" s="174"/>
      <c r="DY115" s="174"/>
      <c r="DZ115" s="174"/>
      <c r="EA115" s="174"/>
      <c r="EB115" s="174"/>
      <c r="EC115" s="174"/>
      <c r="ED115" s="174"/>
      <c r="EE115" s="174"/>
      <c r="EF115" s="174"/>
      <c r="EG115" s="174"/>
      <c r="EH115" s="174"/>
      <c r="EI115" s="174"/>
      <c r="EJ115" s="174"/>
      <c r="EK115" s="174"/>
      <c r="EL115" s="174"/>
      <c r="EM115" s="174"/>
      <c r="EN115" s="174"/>
      <c r="EO115" s="174"/>
      <c r="EP115" s="174"/>
      <c r="EQ115" s="174"/>
      <c r="ER115" s="174"/>
      <c r="ES115" s="174"/>
      <c r="ET115" s="174"/>
      <c r="EU115" s="174"/>
      <c r="EV115" s="174"/>
      <c r="EW115" s="174"/>
      <c r="EX115" s="174"/>
      <c r="EY115" s="174"/>
      <c r="EZ115" s="174"/>
      <c r="FA115" s="174"/>
      <c r="FB115" s="174"/>
      <c r="FC115" s="174"/>
      <c r="FD115" s="174"/>
      <c r="FE115" s="174"/>
      <c r="FF115" s="174"/>
      <c r="FG115" s="174"/>
      <c r="FH115" s="174"/>
      <c r="FI115" s="174"/>
      <c r="FJ115" s="174"/>
      <c r="FK115" s="174"/>
      <c r="FL115" s="174"/>
      <c r="FM115" s="174"/>
      <c r="FN115" s="174"/>
      <c r="FO115" s="174"/>
      <c r="FP115" s="174"/>
      <c r="FQ115" s="174"/>
      <c r="FR115" s="174"/>
      <c r="FS115" s="174"/>
      <c r="FT115" s="174"/>
      <c r="FU115" s="174"/>
      <c r="FV115" s="174"/>
      <c r="FW115" s="174"/>
      <c r="FX115" s="174"/>
      <c r="FY115" s="174"/>
      <c r="FZ115" s="174"/>
      <c r="GA115" s="174"/>
      <c r="GB115" s="174"/>
      <c r="GC115" s="174"/>
      <c r="GD115" s="174"/>
      <c r="GE115" s="174"/>
      <c r="GF115" s="174"/>
      <c r="GG115" s="174"/>
      <c r="GH115" s="174"/>
      <c r="GI115" s="174"/>
      <c r="GJ115" s="174"/>
      <c r="GK115" s="174"/>
      <c r="GL115" s="174"/>
      <c r="GM115" s="174"/>
      <c r="GN115" s="174"/>
      <c r="GO115" s="174"/>
      <c r="GP115" s="174"/>
      <c r="GQ115" s="174"/>
      <c r="GR115" s="174"/>
      <c r="GS115" s="174"/>
      <c r="GT115" s="174"/>
      <c r="GU115" s="174"/>
      <c r="GV115" s="174"/>
      <c r="GW115" s="174"/>
      <c r="GX115" s="174"/>
      <c r="GY115" s="174"/>
      <c r="GZ115" s="174"/>
      <c r="HA115" s="174"/>
      <c r="HB115" s="174"/>
      <c r="HC115" s="174"/>
      <c r="HD115" s="174"/>
      <c r="HE115" s="174"/>
      <c r="HF115" s="174"/>
      <c r="HG115" s="174"/>
      <c r="HH115" s="174"/>
      <c r="HI115" s="174"/>
      <c r="HJ115" s="174"/>
      <c r="HK115" s="174"/>
      <c r="HL115" s="174"/>
      <c r="HM115" s="174"/>
      <c r="HN115" s="174"/>
      <c r="HO115" s="174"/>
      <c r="HP115" s="174"/>
      <c r="HQ115" s="174"/>
      <c r="HR115" s="174"/>
      <c r="HS115" s="174"/>
      <c r="HT115" s="174"/>
      <c r="HU115" s="174"/>
      <c r="HV115" s="174"/>
      <c r="HW115" s="174"/>
      <c r="HX115" s="174"/>
      <c r="HY115" s="174"/>
      <c r="HZ115" s="174"/>
      <c r="IA115" s="174"/>
      <c r="IB115" s="174"/>
      <c r="IC115" s="174"/>
      <c r="ID115" s="174"/>
      <c r="IE115" s="174"/>
      <c r="IF115" s="174"/>
      <c r="IG115" s="174"/>
      <c r="IH115" s="174"/>
      <c r="II115" s="174"/>
      <c r="IJ115" s="174"/>
      <c r="IK115" s="174"/>
      <c r="IL115" s="174"/>
      <c r="IM115" s="174"/>
      <c r="IN115" s="174"/>
      <c r="IO115" s="174"/>
      <c r="IP115" s="174"/>
      <c r="IQ115" s="174"/>
      <c r="IR115" s="174"/>
      <c r="IS115" s="174"/>
      <c r="IT115" s="174"/>
      <c r="IU115" s="174"/>
      <c r="IV115" s="174"/>
      <c r="IW115" s="174"/>
    </row>
    <row r="116" customFormat="false" ht="12.75" hidden="false" customHeight="false" outlineLevel="0" collapsed="false">
      <c r="A116" s="225"/>
      <c r="B116" s="132" t="s">
        <v>487</v>
      </c>
      <c r="C116" s="218"/>
      <c r="D116" s="174"/>
      <c r="E116" s="229" t="s">
        <v>173</v>
      </c>
      <c r="F116" s="174"/>
      <c r="G116" s="229" t="s">
        <v>208</v>
      </c>
      <c r="H116" s="174"/>
      <c r="I116" s="229" t="s">
        <v>174</v>
      </c>
      <c r="J116" s="174"/>
      <c r="K116" s="133" t="n">
        <v>257278</v>
      </c>
      <c r="L116" s="174"/>
      <c r="M116" s="133" t="n">
        <v>-257278</v>
      </c>
      <c r="N116" s="174"/>
      <c r="O116" s="133" t="n">
        <f aca="false">SUM(K116:N116)</f>
        <v>0</v>
      </c>
      <c r="P116" s="174"/>
      <c r="Q116" s="96" t="n">
        <v>0</v>
      </c>
      <c r="S116" s="96" t="n">
        <v>0</v>
      </c>
      <c r="V116" s="136"/>
      <c r="AR116" s="174"/>
      <c r="AS116" s="95" t="n">
        <f aca="false">SUM(P116:AR116)</f>
        <v>0</v>
      </c>
      <c r="AT116" s="174"/>
      <c r="AV116" s="174"/>
      <c r="AW116" s="95" t="n">
        <f aca="false">IF(+O116-AS116+AU116&gt;0,O116-AS116+AU116,0)</f>
        <v>0</v>
      </c>
      <c r="AX116" s="174"/>
      <c r="AY116" s="95" t="n">
        <f aca="false">+AW116+AS116</f>
        <v>0</v>
      </c>
      <c r="AZ116" s="174"/>
      <c r="BA116" s="95" t="n">
        <f aca="false">O116-AS116-AW116</f>
        <v>0</v>
      </c>
      <c r="BB116" s="136"/>
      <c r="BC116" s="95"/>
      <c r="BE116" s="174"/>
      <c r="BF116" s="174"/>
      <c r="BG116" s="174"/>
      <c r="BH116" s="174"/>
      <c r="BI116" s="174"/>
      <c r="BJ116" s="174"/>
      <c r="BK116" s="174"/>
      <c r="BL116" s="174"/>
      <c r="BM116" s="174"/>
      <c r="BN116" s="174"/>
      <c r="BO116" s="174"/>
      <c r="BP116" s="174"/>
      <c r="BQ116" s="174"/>
      <c r="BR116" s="174"/>
      <c r="BS116" s="174"/>
      <c r="BT116" s="174"/>
      <c r="BU116" s="174"/>
      <c r="BV116" s="174"/>
      <c r="BW116" s="174"/>
      <c r="BX116" s="174"/>
      <c r="BY116" s="174"/>
      <c r="BZ116" s="174"/>
      <c r="CA116" s="174"/>
      <c r="CB116" s="174"/>
      <c r="CC116" s="174"/>
      <c r="CD116" s="174"/>
      <c r="CE116" s="174"/>
      <c r="CF116" s="174"/>
      <c r="CG116" s="174"/>
      <c r="CH116" s="174"/>
      <c r="CI116" s="174"/>
      <c r="CJ116" s="174"/>
      <c r="CK116" s="174"/>
      <c r="CL116" s="174"/>
      <c r="CM116" s="174"/>
      <c r="CN116" s="174"/>
      <c r="CO116" s="174"/>
      <c r="CP116" s="174"/>
      <c r="CQ116" s="174"/>
      <c r="CR116" s="174"/>
      <c r="CS116" s="174"/>
      <c r="CT116" s="174"/>
      <c r="CU116" s="174"/>
      <c r="CV116" s="174"/>
      <c r="CW116" s="174"/>
      <c r="CX116" s="174"/>
      <c r="CY116" s="174"/>
      <c r="CZ116" s="174"/>
      <c r="DA116" s="174"/>
      <c r="DB116" s="174"/>
      <c r="DC116" s="174"/>
      <c r="DD116" s="174"/>
      <c r="DE116" s="174"/>
      <c r="DF116" s="174"/>
      <c r="DG116" s="174"/>
      <c r="DH116" s="174"/>
      <c r="DI116" s="174"/>
      <c r="DJ116" s="174"/>
      <c r="DK116" s="174"/>
      <c r="DL116" s="174"/>
      <c r="DM116" s="174"/>
      <c r="DN116" s="174"/>
      <c r="DO116" s="174"/>
      <c r="DP116" s="174"/>
      <c r="DQ116" s="174"/>
      <c r="DR116" s="174"/>
      <c r="DS116" s="174"/>
      <c r="DT116" s="174"/>
      <c r="DU116" s="174"/>
      <c r="DV116" s="174"/>
      <c r="DW116" s="174"/>
      <c r="DX116" s="174"/>
      <c r="DY116" s="174"/>
      <c r="DZ116" s="174"/>
      <c r="EA116" s="174"/>
      <c r="EB116" s="174"/>
      <c r="EC116" s="174"/>
      <c r="ED116" s="174"/>
      <c r="EE116" s="174"/>
      <c r="EF116" s="174"/>
      <c r="EG116" s="174"/>
      <c r="EH116" s="174"/>
      <c r="EI116" s="174"/>
      <c r="EJ116" s="174"/>
      <c r="EK116" s="174"/>
      <c r="EL116" s="174"/>
      <c r="EM116" s="174"/>
      <c r="EN116" s="174"/>
      <c r="EO116" s="174"/>
      <c r="EP116" s="174"/>
      <c r="EQ116" s="174"/>
      <c r="ER116" s="174"/>
      <c r="ES116" s="174"/>
      <c r="ET116" s="174"/>
      <c r="EU116" s="174"/>
      <c r="EV116" s="174"/>
      <c r="EW116" s="174"/>
      <c r="EX116" s="174"/>
      <c r="EY116" s="174"/>
      <c r="EZ116" s="174"/>
      <c r="FA116" s="174"/>
      <c r="FB116" s="174"/>
      <c r="FC116" s="174"/>
      <c r="FD116" s="174"/>
      <c r="FE116" s="174"/>
      <c r="FF116" s="174"/>
      <c r="FG116" s="174"/>
      <c r="FH116" s="174"/>
      <c r="FI116" s="174"/>
      <c r="FJ116" s="174"/>
      <c r="FK116" s="174"/>
      <c r="FL116" s="174"/>
      <c r="FM116" s="174"/>
      <c r="FN116" s="174"/>
      <c r="FO116" s="174"/>
      <c r="FP116" s="174"/>
      <c r="FQ116" s="174"/>
      <c r="FR116" s="174"/>
      <c r="FS116" s="174"/>
      <c r="FT116" s="174"/>
      <c r="FU116" s="174"/>
      <c r="FV116" s="174"/>
      <c r="FW116" s="174"/>
      <c r="FX116" s="174"/>
      <c r="FY116" s="174"/>
      <c r="FZ116" s="174"/>
      <c r="GA116" s="174"/>
      <c r="GB116" s="174"/>
      <c r="GC116" s="174"/>
      <c r="GD116" s="174"/>
      <c r="GE116" s="174"/>
      <c r="GF116" s="174"/>
      <c r="GG116" s="174"/>
      <c r="GH116" s="174"/>
      <c r="GI116" s="174"/>
      <c r="GJ116" s="174"/>
      <c r="GK116" s="174"/>
      <c r="GL116" s="174"/>
      <c r="GM116" s="174"/>
      <c r="GN116" s="174"/>
      <c r="GO116" s="174"/>
      <c r="GP116" s="174"/>
      <c r="GQ116" s="174"/>
      <c r="GR116" s="174"/>
      <c r="GS116" s="174"/>
      <c r="GT116" s="174"/>
      <c r="GU116" s="174"/>
      <c r="GV116" s="174"/>
      <c r="GW116" s="174"/>
      <c r="GX116" s="174"/>
      <c r="GY116" s="174"/>
      <c r="GZ116" s="174"/>
      <c r="HA116" s="174"/>
      <c r="HB116" s="174"/>
      <c r="HC116" s="174"/>
      <c r="HD116" s="174"/>
      <c r="HE116" s="174"/>
      <c r="HF116" s="174"/>
      <c r="HG116" s="174"/>
      <c r="HH116" s="174"/>
      <c r="HI116" s="174"/>
      <c r="HJ116" s="174"/>
      <c r="HK116" s="174"/>
      <c r="HL116" s="174"/>
      <c r="HM116" s="174"/>
      <c r="HN116" s="174"/>
      <c r="HO116" s="174"/>
      <c r="HP116" s="174"/>
      <c r="HQ116" s="174"/>
      <c r="HR116" s="174"/>
      <c r="HS116" s="174"/>
      <c r="HT116" s="174"/>
      <c r="HU116" s="174"/>
      <c r="HV116" s="174"/>
      <c r="HW116" s="174"/>
      <c r="HX116" s="174"/>
      <c r="HY116" s="174"/>
      <c r="HZ116" s="174"/>
      <c r="IA116" s="174"/>
      <c r="IB116" s="174"/>
      <c r="IC116" s="174"/>
      <c r="ID116" s="174"/>
      <c r="IE116" s="174"/>
      <c r="IF116" s="174"/>
      <c r="IG116" s="174"/>
      <c r="IH116" s="174"/>
      <c r="II116" s="174"/>
      <c r="IJ116" s="174"/>
      <c r="IK116" s="174"/>
      <c r="IL116" s="174"/>
      <c r="IM116" s="174"/>
      <c r="IN116" s="174"/>
      <c r="IO116" s="174"/>
      <c r="IP116" s="174"/>
      <c r="IQ116" s="174"/>
      <c r="IR116" s="174"/>
      <c r="IS116" s="174"/>
      <c r="IT116" s="174"/>
      <c r="IU116" s="174"/>
      <c r="IV116" s="174"/>
      <c r="IW116" s="174"/>
    </row>
    <row r="117" customFormat="false" ht="12.75" hidden="false" customHeight="false" outlineLevel="0" collapsed="false">
      <c r="A117" s="225"/>
      <c r="B117" s="132" t="s">
        <v>488</v>
      </c>
      <c r="C117" s="218"/>
      <c r="D117" s="174"/>
      <c r="E117" s="229" t="s">
        <v>173</v>
      </c>
      <c r="F117" s="174"/>
      <c r="G117" s="229" t="s">
        <v>208</v>
      </c>
      <c r="H117" s="174"/>
      <c r="I117" s="229" t="s">
        <v>174</v>
      </c>
      <c r="J117" s="174"/>
      <c r="K117" s="133" t="n">
        <v>1405318</v>
      </c>
      <c r="L117" s="174"/>
      <c r="M117" s="133" t="n">
        <v>-1405318</v>
      </c>
      <c r="N117" s="174"/>
      <c r="O117" s="133" t="n">
        <f aca="false">SUM(K117:N117)</f>
        <v>0</v>
      </c>
      <c r="P117" s="174"/>
      <c r="Q117" s="96" t="n">
        <v>0</v>
      </c>
      <c r="S117" s="96" t="n">
        <v>0</v>
      </c>
      <c r="V117" s="136"/>
      <c r="AR117" s="174"/>
      <c r="AS117" s="95" t="n">
        <f aca="false">SUM(P117:AR117)</f>
        <v>0</v>
      </c>
      <c r="AT117" s="174"/>
      <c r="AV117" s="174"/>
      <c r="AW117" s="95" t="n">
        <f aca="false">IF(+O117-AS117+AU117&gt;0,O117-AS117+AU117,0)</f>
        <v>0</v>
      </c>
      <c r="AX117" s="174"/>
      <c r="AY117" s="95" t="n">
        <f aca="false">+AW117+AS117</f>
        <v>0</v>
      </c>
      <c r="AZ117" s="174"/>
      <c r="BA117" s="95" t="n">
        <f aca="false">O117-AS117-AW117</f>
        <v>0</v>
      </c>
      <c r="BB117" s="136"/>
      <c r="BC117" s="95"/>
      <c r="BE117" s="174"/>
      <c r="BF117" s="174"/>
      <c r="BG117" s="174"/>
      <c r="BH117" s="174"/>
      <c r="BI117" s="174"/>
      <c r="BJ117" s="174"/>
      <c r="BK117" s="174"/>
      <c r="BL117" s="174"/>
      <c r="BM117" s="174"/>
      <c r="BN117" s="174"/>
      <c r="BO117" s="174"/>
      <c r="BP117" s="174"/>
      <c r="BQ117" s="174"/>
      <c r="BR117" s="174"/>
      <c r="BS117" s="174"/>
      <c r="BT117" s="174"/>
      <c r="BU117" s="174"/>
      <c r="BV117" s="174"/>
      <c r="BW117" s="174"/>
      <c r="BX117" s="174"/>
      <c r="BY117" s="174"/>
      <c r="BZ117" s="174"/>
      <c r="CA117" s="174"/>
      <c r="CB117" s="174"/>
      <c r="CC117" s="174"/>
      <c r="CD117" s="174"/>
      <c r="CE117" s="174"/>
      <c r="CF117" s="174"/>
      <c r="CG117" s="174"/>
      <c r="CH117" s="174"/>
      <c r="CI117" s="174"/>
      <c r="CJ117" s="174"/>
      <c r="CK117" s="174"/>
      <c r="CL117" s="174"/>
      <c r="CM117" s="174"/>
      <c r="CN117" s="174"/>
      <c r="CO117" s="174"/>
      <c r="CP117" s="174"/>
      <c r="CQ117" s="174"/>
      <c r="CR117" s="174"/>
      <c r="CS117" s="174"/>
      <c r="CT117" s="174"/>
      <c r="CU117" s="174"/>
      <c r="CV117" s="174"/>
      <c r="CW117" s="174"/>
      <c r="CX117" s="174"/>
      <c r="CY117" s="174"/>
      <c r="CZ117" s="174"/>
      <c r="DA117" s="174"/>
      <c r="DB117" s="174"/>
      <c r="DC117" s="174"/>
      <c r="DD117" s="174"/>
      <c r="DE117" s="174"/>
      <c r="DF117" s="174"/>
      <c r="DG117" s="174"/>
      <c r="DH117" s="174"/>
      <c r="DI117" s="174"/>
      <c r="DJ117" s="174"/>
      <c r="DK117" s="174"/>
      <c r="DL117" s="174"/>
      <c r="DM117" s="174"/>
      <c r="DN117" s="174"/>
      <c r="DO117" s="174"/>
      <c r="DP117" s="174"/>
      <c r="DQ117" s="174"/>
      <c r="DR117" s="174"/>
      <c r="DS117" s="174"/>
      <c r="DT117" s="174"/>
      <c r="DU117" s="174"/>
      <c r="DV117" s="174"/>
      <c r="DW117" s="174"/>
      <c r="DX117" s="174"/>
      <c r="DY117" s="174"/>
      <c r="DZ117" s="174"/>
      <c r="EA117" s="174"/>
      <c r="EB117" s="174"/>
      <c r="EC117" s="174"/>
      <c r="ED117" s="174"/>
      <c r="EE117" s="174"/>
      <c r="EF117" s="174"/>
      <c r="EG117" s="174"/>
      <c r="EH117" s="174"/>
      <c r="EI117" s="174"/>
      <c r="EJ117" s="174"/>
      <c r="EK117" s="174"/>
      <c r="EL117" s="174"/>
      <c r="EM117" s="174"/>
      <c r="EN117" s="174"/>
      <c r="EO117" s="174"/>
      <c r="EP117" s="174"/>
      <c r="EQ117" s="174"/>
      <c r="ER117" s="174"/>
      <c r="ES117" s="174"/>
      <c r="ET117" s="174"/>
      <c r="EU117" s="174"/>
      <c r="EV117" s="174"/>
      <c r="EW117" s="174"/>
      <c r="EX117" s="174"/>
      <c r="EY117" s="174"/>
      <c r="EZ117" s="174"/>
      <c r="FA117" s="174"/>
      <c r="FB117" s="174"/>
      <c r="FC117" s="174"/>
      <c r="FD117" s="174"/>
      <c r="FE117" s="174"/>
      <c r="FF117" s="174"/>
      <c r="FG117" s="174"/>
      <c r="FH117" s="174"/>
      <c r="FI117" s="174"/>
      <c r="FJ117" s="174"/>
      <c r="FK117" s="174"/>
      <c r="FL117" s="174"/>
      <c r="FM117" s="174"/>
      <c r="FN117" s="174"/>
      <c r="FO117" s="174"/>
      <c r="FP117" s="174"/>
      <c r="FQ117" s="174"/>
      <c r="FR117" s="174"/>
      <c r="FS117" s="174"/>
      <c r="FT117" s="174"/>
      <c r="FU117" s="174"/>
      <c r="FV117" s="174"/>
      <c r="FW117" s="174"/>
      <c r="FX117" s="174"/>
      <c r="FY117" s="174"/>
      <c r="FZ117" s="174"/>
      <c r="GA117" s="174"/>
      <c r="GB117" s="174"/>
      <c r="GC117" s="174"/>
      <c r="GD117" s="174"/>
      <c r="GE117" s="174"/>
      <c r="GF117" s="174"/>
      <c r="GG117" s="174"/>
      <c r="GH117" s="174"/>
      <c r="GI117" s="174"/>
      <c r="GJ117" s="174"/>
      <c r="GK117" s="174"/>
      <c r="GL117" s="174"/>
      <c r="GM117" s="174"/>
      <c r="GN117" s="174"/>
      <c r="GO117" s="174"/>
      <c r="GP117" s="174"/>
      <c r="GQ117" s="174"/>
      <c r="GR117" s="174"/>
      <c r="GS117" s="174"/>
      <c r="GT117" s="174"/>
      <c r="GU117" s="174"/>
      <c r="GV117" s="174"/>
      <c r="GW117" s="174"/>
      <c r="GX117" s="174"/>
      <c r="GY117" s="174"/>
      <c r="GZ117" s="174"/>
      <c r="HA117" s="174"/>
      <c r="HB117" s="174"/>
      <c r="HC117" s="174"/>
      <c r="HD117" s="174"/>
      <c r="HE117" s="174"/>
      <c r="HF117" s="174"/>
      <c r="HG117" s="174"/>
      <c r="HH117" s="174"/>
      <c r="HI117" s="174"/>
      <c r="HJ117" s="174"/>
      <c r="HK117" s="174"/>
      <c r="HL117" s="174"/>
      <c r="HM117" s="174"/>
      <c r="HN117" s="174"/>
      <c r="HO117" s="174"/>
      <c r="HP117" s="174"/>
      <c r="HQ117" s="174"/>
      <c r="HR117" s="174"/>
      <c r="HS117" s="174"/>
      <c r="HT117" s="174"/>
      <c r="HU117" s="174"/>
      <c r="HV117" s="174"/>
      <c r="HW117" s="174"/>
      <c r="HX117" s="174"/>
      <c r="HY117" s="174"/>
      <c r="HZ117" s="174"/>
      <c r="IA117" s="174"/>
      <c r="IB117" s="174"/>
      <c r="IC117" s="174"/>
      <c r="ID117" s="174"/>
      <c r="IE117" s="174"/>
      <c r="IF117" s="174"/>
      <c r="IG117" s="174"/>
      <c r="IH117" s="174"/>
      <c r="II117" s="174"/>
      <c r="IJ117" s="174"/>
      <c r="IK117" s="174"/>
      <c r="IL117" s="174"/>
      <c r="IM117" s="174"/>
      <c r="IN117" s="174"/>
      <c r="IO117" s="174"/>
      <c r="IP117" s="174"/>
      <c r="IQ117" s="174"/>
      <c r="IR117" s="174"/>
      <c r="IS117" s="174"/>
      <c r="IT117" s="174"/>
      <c r="IU117" s="174"/>
      <c r="IV117" s="174"/>
      <c r="IW117" s="174"/>
    </row>
    <row r="118" customFormat="false" ht="12.75" hidden="false" customHeight="false" outlineLevel="0" collapsed="false">
      <c r="A118" s="225"/>
      <c r="B118" s="132" t="s">
        <v>252</v>
      </c>
      <c r="C118" s="218"/>
      <c r="D118" s="174"/>
      <c r="E118" s="229"/>
      <c r="F118" s="174"/>
      <c r="G118" s="229" t="s">
        <v>208</v>
      </c>
      <c r="H118" s="174"/>
      <c r="I118" s="229"/>
      <c r="J118" s="174"/>
      <c r="K118" s="133" t="n">
        <v>0</v>
      </c>
      <c r="L118" s="174"/>
      <c r="M118" s="133" t="n">
        <v>8565579</v>
      </c>
      <c r="N118" s="174"/>
      <c r="O118" s="133" t="n">
        <f aca="false">SUM(K118:N118)</f>
        <v>8565579</v>
      </c>
      <c r="P118" s="174"/>
      <c r="S118" s="96" t="n">
        <f aca="false">15304.8+167+77224.56+57141+104736</f>
        <v>254573.36</v>
      </c>
      <c r="U118" s="96" t="n">
        <f aca="false">76188+53.62+14962.92+76188+386</f>
        <v>167778.54</v>
      </c>
      <c r="V118" s="136"/>
      <c r="W118" s="96" t="n">
        <f aca="false">140279.5+67578+849</f>
        <v>208706.5</v>
      </c>
      <c r="Y118" s="96" t="n">
        <f aca="false">849+345000</f>
        <v>345849</v>
      </c>
      <c r="AC118" s="96" t="n">
        <f aca="false">2895829</f>
        <v>2895829</v>
      </c>
      <c r="AE118" s="96" t="n">
        <v>1849499</v>
      </c>
      <c r="AG118" s="96" t="n">
        <f aca="false">911857+1295871</f>
        <v>2207728</v>
      </c>
      <c r="AI118" s="96" t="n">
        <v>134528</v>
      </c>
      <c r="AK118" s="96" t="n">
        <v>110547</v>
      </c>
      <c r="AM118" s="96" t="n">
        <v>42298</v>
      </c>
      <c r="AO118" s="96" t="n">
        <v>90809</v>
      </c>
      <c r="AR118" s="174"/>
      <c r="AS118" s="95" t="n">
        <f aca="false">SUM(P118:AR118)</f>
        <v>8308145.4</v>
      </c>
      <c r="AT118" s="174"/>
      <c r="AU118" s="96" t="n">
        <f aca="false">-354593+203856+6755-204261+90809</f>
        <v>-257434</v>
      </c>
      <c r="AV118" s="174"/>
      <c r="AW118" s="95" t="n">
        <f aca="false">IF(+O118-AS118+AU118&gt;0,O118-AS118+AU118,0)</f>
        <v>0</v>
      </c>
      <c r="AX118" s="174"/>
      <c r="AY118" s="95" t="n">
        <f aca="false">+AW118+AS118</f>
        <v>8308145.4</v>
      </c>
      <c r="AZ118" s="174"/>
      <c r="BA118" s="95" t="n">
        <f aca="false">O118-AS118-AW118</f>
        <v>257433.6</v>
      </c>
      <c r="BB118" s="136"/>
      <c r="BC118" s="95"/>
      <c r="BE118" s="174"/>
      <c r="BF118" s="174"/>
      <c r="BG118" s="174"/>
      <c r="BH118" s="174"/>
      <c r="BI118" s="174"/>
      <c r="BJ118" s="174"/>
      <c r="BK118" s="174"/>
      <c r="BL118" s="174"/>
      <c r="BM118" s="174"/>
      <c r="BN118" s="174"/>
      <c r="BO118" s="174"/>
      <c r="BP118" s="174"/>
      <c r="BQ118" s="174"/>
      <c r="BR118" s="174"/>
      <c r="BS118" s="174"/>
      <c r="BT118" s="174"/>
      <c r="BU118" s="174"/>
      <c r="BV118" s="174"/>
      <c r="BW118" s="174"/>
      <c r="BX118" s="174"/>
      <c r="BY118" s="174"/>
      <c r="BZ118" s="174"/>
      <c r="CA118" s="174"/>
      <c r="CB118" s="174"/>
      <c r="CC118" s="174"/>
      <c r="CD118" s="174"/>
      <c r="CE118" s="174"/>
      <c r="CF118" s="174"/>
      <c r="CG118" s="174"/>
      <c r="CH118" s="174"/>
      <c r="CI118" s="174"/>
      <c r="CJ118" s="174"/>
      <c r="CK118" s="174"/>
      <c r="CL118" s="174"/>
      <c r="CM118" s="174"/>
      <c r="CN118" s="174"/>
      <c r="CO118" s="174"/>
      <c r="CP118" s="174"/>
      <c r="CQ118" s="174"/>
      <c r="CR118" s="174"/>
      <c r="CS118" s="174"/>
      <c r="CT118" s="174"/>
      <c r="CU118" s="174"/>
      <c r="CV118" s="174"/>
      <c r="CW118" s="174"/>
      <c r="CX118" s="174"/>
      <c r="CY118" s="174"/>
      <c r="CZ118" s="174"/>
      <c r="DA118" s="174"/>
      <c r="DB118" s="174"/>
      <c r="DC118" s="174"/>
      <c r="DD118" s="174"/>
      <c r="DE118" s="174"/>
      <c r="DF118" s="174"/>
      <c r="DG118" s="174"/>
      <c r="DH118" s="174"/>
      <c r="DI118" s="174"/>
      <c r="DJ118" s="174"/>
      <c r="DK118" s="174"/>
      <c r="DL118" s="174"/>
      <c r="DM118" s="174"/>
      <c r="DN118" s="174"/>
      <c r="DO118" s="174"/>
      <c r="DP118" s="174"/>
      <c r="DQ118" s="174"/>
      <c r="DR118" s="174"/>
      <c r="DS118" s="174"/>
      <c r="DT118" s="174"/>
      <c r="DU118" s="174"/>
      <c r="DV118" s="174"/>
      <c r="DW118" s="174"/>
      <c r="DX118" s="174"/>
      <c r="DY118" s="174"/>
      <c r="DZ118" s="174"/>
      <c r="EA118" s="174"/>
      <c r="EB118" s="174"/>
      <c r="EC118" s="174"/>
      <c r="ED118" s="174"/>
      <c r="EE118" s="174"/>
      <c r="EF118" s="174"/>
      <c r="EG118" s="174"/>
      <c r="EH118" s="174"/>
      <c r="EI118" s="174"/>
      <c r="EJ118" s="174"/>
      <c r="EK118" s="174"/>
      <c r="EL118" s="174"/>
      <c r="EM118" s="174"/>
      <c r="EN118" s="174"/>
      <c r="EO118" s="174"/>
      <c r="EP118" s="174"/>
      <c r="EQ118" s="174"/>
      <c r="ER118" s="174"/>
      <c r="ES118" s="174"/>
      <c r="ET118" s="174"/>
      <c r="EU118" s="174"/>
      <c r="EV118" s="174"/>
      <c r="EW118" s="174"/>
      <c r="EX118" s="174"/>
      <c r="EY118" s="174"/>
      <c r="EZ118" s="174"/>
      <c r="FA118" s="174"/>
      <c r="FB118" s="174"/>
      <c r="FC118" s="174"/>
      <c r="FD118" s="174"/>
      <c r="FE118" s="174"/>
      <c r="FF118" s="174"/>
      <c r="FG118" s="174"/>
      <c r="FH118" s="174"/>
      <c r="FI118" s="174"/>
      <c r="FJ118" s="174"/>
      <c r="FK118" s="174"/>
      <c r="FL118" s="174"/>
      <c r="FM118" s="174"/>
      <c r="FN118" s="174"/>
      <c r="FO118" s="174"/>
      <c r="FP118" s="174"/>
      <c r="FQ118" s="174"/>
      <c r="FR118" s="174"/>
      <c r="FS118" s="174"/>
      <c r="FT118" s="174"/>
      <c r="FU118" s="174"/>
      <c r="FV118" s="174"/>
      <c r="FW118" s="174"/>
      <c r="FX118" s="174"/>
      <c r="FY118" s="174"/>
      <c r="FZ118" s="174"/>
      <c r="GA118" s="174"/>
      <c r="GB118" s="174"/>
      <c r="GC118" s="174"/>
      <c r="GD118" s="174"/>
      <c r="GE118" s="174"/>
      <c r="GF118" s="174"/>
      <c r="GG118" s="174"/>
      <c r="GH118" s="174"/>
      <c r="GI118" s="174"/>
      <c r="GJ118" s="174"/>
      <c r="GK118" s="174"/>
      <c r="GL118" s="174"/>
      <c r="GM118" s="174"/>
      <c r="GN118" s="174"/>
      <c r="GO118" s="174"/>
      <c r="GP118" s="174"/>
      <c r="GQ118" s="174"/>
      <c r="GR118" s="174"/>
      <c r="GS118" s="174"/>
      <c r="GT118" s="174"/>
      <c r="GU118" s="174"/>
      <c r="GV118" s="174"/>
      <c r="GW118" s="174"/>
      <c r="GX118" s="174"/>
      <c r="GY118" s="174"/>
      <c r="GZ118" s="174"/>
      <c r="HA118" s="174"/>
      <c r="HB118" s="174"/>
      <c r="HC118" s="174"/>
      <c r="HD118" s="174"/>
      <c r="HE118" s="174"/>
      <c r="HF118" s="174"/>
      <c r="HG118" s="174"/>
      <c r="HH118" s="174"/>
      <c r="HI118" s="174"/>
      <c r="HJ118" s="174"/>
      <c r="HK118" s="174"/>
      <c r="HL118" s="174"/>
      <c r="HM118" s="174"/>
      <c r="HN118" s="174"/>
      <c r="HO118" s="174"/>
      <c r="HP118" s="174"/>
      <c r="HQ118" s="174"/>
      <c r="HR118" s="174"/>
      <c r="HS118" s="174"/>
      <c r="HT118" s="174"/>
      <c r="HU118" s="174"/>
      <c r="HV118" s="174"/>
      <c r="HW118" s="174"/>
      <c r="HX118" s="174"/>
      <c r="HY118" s="174"/>
      <c r="HZ118" s="174"/>
      <c r="IA118" s="174"/>
      <c r="IB118" s="174"/>
      <c r="IC118" s="174"/>
      <c r="ID118" s="174"/>
      <c r="IE118" s="174"/>
      <c r="IF118" s="174"/>
      <c r="IG118" s="174"/>
      <c r="IH118" s="174"/>
      <c r="II118" s="174"/>
      <c r="IJ118" s="174"/>
      <c r="IK118" s="174"/>
      <c r="IL118" s="174"/>
      <c r="IM118" s="174"/>
      <c r="IN118" s="174"/>
      <c r="IO118" s="174"/>
      <c r="IP118" s="174"/>
      <c r="IQ118" s="174"/>
      <c r="IR118" s="174"/>
      <c r="IS118" s="174"/>
      <c r="IT118" s="174"/>
      <c r="IU118" s="174"/>
      <c r="IV118" s="174"/>
      <c r="IW118" s="174"/>
    </row>
    <row r="119" customFormat="false" ht="12.75" hidden="false" customHeight="false" outlineLevel="0" collapsed="false">
      <c r="A119" s="225"/>
      <c r="B119" s="132" t="s">
        <v>489</v>
      </c>
      <c r="C119" s="218"/>
      <c r="E119" s="94" t="s">
        <v>173</v>
      </c>
      <c r="G119" s="94" t="s">
        <v>208</v>
      </c>
      <c r="I119" s="94" t="s">
        <v>174</v>
      </c>
      <c r="K119" s="138" t="n">
        <f aca="false">3395289+1107732</f>
        <v>4503021</v>
      </c>
      <c r="M119" s="133" t="n">
        <f aca="false">-3395289-1107732</f>
        <v>-4503021</v>
      </c>
      <c r="N119" s="219"/>
      <c r="O119" s="133" t="n">
        <f aca="false">SUM(K119:N119)</f>
        <v>0</v>
      </c>
      <c r="P119" s="219"/>
      <c r="Q119" s="96" t="n">
        <v>0</v>
      </c>
      <c r="S119" s="96" t="n">
        <v>0</v>
      </c>
      <c r="U119" s="263"/>
      <c r="V119" s="136"/>
      <c r="AI119" s="96" t="n">
        <f aca="false">112252+360517+894451+75335</f>
        <v>1442555</v>
      </c>
      <c r="AK119" s="96" t="n">
        <v>1085705</v>
      </c>
      <c r="AR119" s="219"/>
      <c r="AS119" s="95" t="n">
        <f aca="false">SUM(P119:AR119)</f>
        <v>2528260</v>
      </c>
      <c r="AT119" s="219"/>
      <c r="AU119" s="96" t="n">
        <f aca="false">1692567+2459246-1623553</f>
        <v>2528260</v>
      </c>
      <c r="AV119" s="219"/>
      <c r="AW119" s="95" t="n">
        <f aca="false">IF(+O119-AS119+AU119&gt;0,O119-AS119+AU119,0)</f>
        <v>0</v>
      </c>
      <c r="AX119" s="219"/>
      <c r="AY119" s="95" t="n">
        <f aca="false">+AW119+AS119</f>
        <v>2528260</v>
      </c>
      <c r="AZ119" s="219"/>
      <c r="BA119" s="95" t="n">
        <f aca="false">O119-AS119-AW119</f>
        <v>-2528260</v>
      </c>
      <c r="BB119" s="136"/>
      <c r="BC119" s="95"/>
    </row>
    <row r="120" customFormat="false" ht="12.75" hidden="false" customHeight="false" outlineLevel="0" collapsed="false">
      <c r="A120" s="225"/>
      <c r="B120" s="132" t="s">
        <v>253</v>
      </c>
      <c r="C120" s="218"/>
      <c r="K120" s="133"/>
      <c r="M120" s="138"/>
      <c r="O120" s="138" t="n">
        <v>0</v>
      </c>
      <c r="U120" s="263"/>
      <c r="V120" s="136"/>
      <c r="AK120" s="96" t="n">
        <f aca="false">11289.95+148500</f>
        <v>159789.95</v>
      </c>
      <c r="AM120" s="96" t="n">
        <f aca="false">61914.57</f>
        <v>61914.57</v>
      </c>
      <c r="AS120" s="95" t="n">
        <f aca="false">SUM(P120:AR120)</f>
        <v>221704.52</v>
      </c>
      <c r="AU120" s="139"/>
      <c r="AW120" s="140" t="n">
        <f aca="false">IF(+O120-AS120+AU120&gt;0,O120-AS120+AU120,0)</f>
        <v>0</v>
      </c>
      <c r="AX120" s="90"/>
      <c r="AY120" s="140" t="n">
        <f aca="false">+AW120+AS120</f>
        <v>221704.52</v>
      </c>
      <c r="AZ120" s="90"/>
      <c r="BA120" s="140" t="n">
        <f aca="false">O120-AS120-AW120</f>
        <v>-221704.52</v>
      </c>
      <c r="BB120" s="136"/>
      <c r="BC120" s="95"/>
    </row>
    <row r="121" customFormat="false" ht="12.75" hidden="false" customHeight="false" outlineLevel="0" collapsed="false">
      <c r="A121" s="224"/>
      <c r="B121" s="226" t="s">
        <v>254</v>
      </c>
      <c r="C121" s="218"/>
      <c r="K121" s="24" t="n">
        <f aca="false">SUM(K90:K119)</f>
        <v>9768318</v>
      </c>
      <c r="L121" s="155" t="n">
        <f aca="false">SUM(L90:L120)</f>
        <v>0</v>
      </c>
      <c r="M121" s="155" t="n">
        <f aca="false">SUM(M90:M120)</f>
        <v>6478079</v>
      </c>
      <c r="N121" s="155" t="n">
        <f aca="false">SUM(N90:N120)</f>
        <v>0</v>
      </c>
      <c r="O121" s="155" t="n">
        <f aca="false">SUM(O90:O120)</f>
        <v>16246397</v>
      </c>
      <c r="P121" s="155" t="n">
        <f aca="false">SUM(P90:P120)</f>
        <v>0</v>
      </c>
      <c r="Q121" s="155" t="n">
        <f aca="false">SUM(Q90:Q120)</f>
        <v>0</v>
      </c>
      <c r="R121" s="155"/>
      <c r="S121" s="155" t="n">
        <f aca="false">SUM(S90:S120)</f>
        <v>254573.36</v>
      </c>
      <c r="T121" s="155"/>
      <c r="U121" s="155" t="n">
        <f aca="false">SUM(U90:U120)</f>
        <v>168623.54</v>
      </c>
      <c r="V121" s="155"/>
      <c r="W121" s="155" t="n">
        <f aca="false">SUM(W90:W120)</f>
        <v>225717.5</v>
      </c>
      <c r="X121" s="155"/>
      <c r="Y121" s="155" t="n">
        <f aca="false">SUM(Y90:Y120)</f>
        <v>1062099</v>
      </c>
      <c r="Z121" s="155"/>
      <c r="AA121" s="155" t="n">
        <f aca="false">SUM(AA90:AA120)</f>
        <v>0</v>
      </c>
      <c r="AB121" s="155"/>
      <c r="AC121" s="155" t="n">
        <f aca="false">SUM(AC90:AC120)</f>
        <v>3570984</v>
      </c>
      <c r="AD121" s="155"/>
      <c r="AE121" s="155" t="n">
        <f aca="false">SUM(AE90:AE120)</f>
        <v>3382350</v>
      </c>
      <c r="AF121" s="155"/>
      <c r="AG121" s="155" t="n">
        <f aca="false">SUM(AG90:AG120)</f>
        <v>5703192</v>
      </c>
      <c r="AH121" s="155"/>
      <c r="AI121" s="155" t="n">
        <f aca="false">SUM(AI90:AI120)</f>
        <v>1810362</v>
      </c>
      <c r="AJ121" s="155"/>
      <c r="AK121" s="155" t="n">
        <f aca="false">SUM(AK90:AK120)</f>
        <v>2458960.95</v>
      </c>
      <c r="AL121" s="155"/>
      <c r="AM121" s="155" t="n">
        <f aca="false">SUM(AM90:AM120)</f>
        <v>1168358.57</v>
      </c>
      <c r="AN121" s="24"/>
      <c r="AO121" s="155" t="n">
        <f aca="false">SUM(AO90:AO120)</f>
        <v>904832</v>
      </c>
      <c r="AP121" s="24"/>
      <c r="AQ121" s="155" t="n">
        <f aca="false">SUM(AQ90:AQ120)</f>
        <v>0</v>
      </c>
      <c r="AS121" s="155" t="n">
        <f aca="false">SUM(AS90:AS120)</f>
        <v>20710052.92</v>
      </c>
      <c r="AU121" s="24" t="n">
        <f aca="false">SUM(AU90:AU119)</f>
        <v>4100862</v>
      </c>
      <c r="AW121" s="24" t="n">
        <f aca="false">SUM(AW90:AW120)</f>
        <v>0</v>
      </c>
      <c r="AX121" s="90"/>
      <c r="AY121" s="24" t="n">
        <f aca="false">SUM(AY90:AY120)</f>
        <v>20710052.92</v>
      </c>
      <c r="AZ121" s="90"/>
      <c r="BA121" s="24" t="n">
        <f aca="false">SUM(BA90:BA120)</f>
        <v>-4463655.92</v>
      </c>
      <c r="BB121" s="136"/>
      <c r="BC121" s="24"/>
    </row>
    <row r="122" customFormat="false" ht="12.75" hidden="false" customHeight="false" outlineLevel="0" collapsed="false">
      <c r="A122" s="225"/>
      <c r="B122" s="132"/>
      <c r="C122" s="218"/>
      <c r="G122" s="90"/>
      <c r="V122" s="136"/>
      <c r="AX122" s="90"/>
      <c r="AZ122" s="90"/>
      <c r="BB122" s="95"/>
      <c r="BC122" s="95"/>
    </row>
    <row r="123" customFormat="false" ht="12.75" hidden="false" customHeight="false" outlineLevel="0" collapsed="false">
      <c r="A123" s="174"/>
      <c r="B123" s="132"/>
      <c r="C123" s="218"/>
      <c r="D123" s="174"/>
      <c r="E123" s="229"/>
      <c r="F123" s="174"/>
      <c r="G123" s="174"/>
      <c r="H123" s="174"/>
      <c r="I123" s="229"/>
      <c r="J123" s="174"/>
      <c r="L123" s="174"/>
      <c r="N123" s="174"/>
      <c r="P123" s="174"/>
      <c r="V123" s="136"/>
      <c r="AR123" s="174"/>
      <c r="AT123" s="174"/>
      <c r="AV123" s="174"/>
      <c r="AX123" s="174"/>
      <c r="AZ123" s="174"/>
      <c r="BB123" s="95"/>
      <c r="BC123" s="95"/>
      <c r="BE123" s="174"/>
      <c r="BF123" s="174"/>
      <c r="BG123" s="174"/>
      <c r="BH123" s="174"/>
      <c r="BI123" s="174"/>
      <c r="BJ123" s="174"/>
      <c r="BK123" s="174"/>
      <c r="BL123" s="174"/>
      <c r="BM123" s="174"/>
      <c r="BN123" s="174"/>
      <c r="BO123" s="174"/>
      <c r="BP123" s="174"/>
      <c r="BQ123" s="174"/>
      <c r="BR123" s="174"/>
      <c r="BS123" s="174"/>
      <c r="BT123" s="174"/>
      <c r="BU123" s="174"/>
      <c r="BV123" s="174"/>
      <c r="BW123" s="174"/>
      <c r="BX123" s="174"/>
      <c r="BY123" s="174"/>
      <c r="BZ123" s="174"/>
      <c r="CA123" s="174"/>
      <c r="CB123" s="174"/>
      <c r="CC123" s="174"/>
      <c r="CD123" s="174"/>
      <c r="CE123" s="174"/>
      <c r="CF123" s="174"/>
      <c r="CG123" s="174"/>
      <c r="CH123" s="174"/>
      <c r="CI123" s="174"/>
      <c r="CJ123" s="174"/>
      <c r="CK123" s="174"/>
      <c r="CL123" s="174"/>
      <c r="CM123" s="174"/>
      <c r="CN123" s="174"/>
      <c r="CO123" s="174"/>
      <c r="CP123" s="174"/>
      <c r="CQ123" s="174"/>
      <c r="CR123" s="174"/>
      <c r="CS123" s="174"/>
      <c r="CT123" s="174"/>
      <c r="CU123" s="174"/>
      <c r="CV123" s="174"/>
      <c r="CW123" s="174"/>
      <c r="CX123" s="174"/>
      <c r="CY123" s="174"/>
      <c r="CZ123" s="174"/>
      <c r="DA123" s="174"/>
      <c r="DB123" s="174"/>
      <c r="DC123" s="174"/>
      <c r="DD123" s="174"/>
      <c r="DE123" s="174"/>
      <c r="DF123" s="174"/>
      <c r="DG123" s="174"/>
      <c r="DH123" s="174"/>
      <c r="DI123" s="174"/>
      <c r="DJ123" s="174"/>
      <c r="DK123" s="174"/>
      <c r="DL123" s="174"/>
      <c r="DM123" s="174"/>
      <c r="DN123" s="174"/>
      <c r="DO123" s="174"/>
      <c r="DP123" s="174"/>
      <c r="DQ123" s="174"/>
      <c r="DR123" s="174"/>
      <c r="DS123" s="174"/>
      <c r="DT123" s="174"/>
      <c r="DU123" s="174"/>
      <c r="DV123" s="174"/>
      <c r="DW123" s="174"/>
      <c r="DX123" s="174"/>
      <c r="DY123" s="174"/>
      <c r="DZ123" s="174"/>
      <c r="EA123" s="174"/>
      <c r="EB123" s="174"/>
      <c r="EC123" s="174"/>
      <c r="ED123" s="174"/>
      <c r="EE123" s="174"/>
      <c r="EF123" s="174"/>
      <c r="EG123" s="174"/>
      <c r="EH123" s="174"/>
      <c r="EI123" s="174"/>
      <c r="EJ123" s="174"/>
      <c r="EK123" s="174"/>
      <c r="EL123" s="174"/>
      <c r="EM123" s="174"/>
      <c r="EN123" s="174"/>
      <c r="EO123" s="174"/>
      <c r="EP123" s="174"/>
      <c r="EQ123" s="174"/>
      <c r="ER123" s="174"/>
      <c r="ES123" s="174"/>
      <c r="ET123" s="174"/>
      <c r="EU123" s="174"/>
      <c r="EV123" s="174"/>
      <c r="EW123" s="174"/>
      <c r="EX123" s="174"/>
      <c r="EY123" s="174"/>
      <c r="EZ123" s="174"/>
      <c r="FA123" s="174"/>
      <c r="FB123" s="174"/>
      <c r="FC123" s="174"/>
      <c r="FD123" s="174"/>
      <c r="FE123" s="174"/>
      <c r="FF123" s="174"/>
      <c r="FG123" s="174"/>
      <c r="FH123" s="174"/>
      <c r="FI123" s="174"/>
      <c r="FJ123" s="174"/>
      <c r="FK123" s="174"/>
      <c r="FL123" s="174"/>
      <c r="FM123" s="174"/>
      <c r="FN123" s="174"/>
      <c r="FO123" s="174"/>
      <c r="FP123" s="174"/>
      <c r="FQ123" s="174"/>
      <c r="FR123" s="174"/>
      <c r="FS123" s="174"/>
      <c r="FT123" s="174"/>
      <c r="FU123" s="174"/>
      <c r="FV123" s="174"/>
      <c r="FW123" s="174"/>
      <c r="FX123" s="174"/>
      <c r="FY123" s="174"/>
      <c r="FZ123" s="174"/>
      <c r="GA123" s="174"/>
      <c r="GB123" s="174"/>
      <c r="GC123" s="174"/>
      <c r="GD123" s="174"/>
      <c r="GE123" s="174"/>
      <c r="GF123" s="174"/>
      <c r="GG123" s="174"/>
      <c r="GH123" s="174"/>
      <c r="GI123" s="174"/>
      <c r="GJ123" s="174"/>
      <c r="GK123" s="174"/>
      <c r="GL123" s="174"/>
      <c r="GM123" s="174"/>
      <c r="GN123" s="174"/>
      <c r="GO123" s="174"/>
      <c r="GP123" s="174"/>
      <c r="GQ123" s="174"/>
      <c r="GR123" s="174"/>
      <c r="GS123" s="174"/>
      <c r="GT123" s="174"/>
      <c r="GU123" s="174"/>
      <c r="GV123" s="174"/>
      <c r="GW123" s="174"/>
      <c r="GX123" s="174"/>
      <c r="GY123" s="174"/>
      <c r="GZ123" s="174"/>
      <c r="HA123" s="174"/>
      <c r="HB123" s="174"/>
      <c r="HC123" s="174"/>
      <c r="HD123" s="174"/>
      <c r="HE123" s="174"/>
      <c r="HF123" s="174"/>
      <c r="HG123" s="174"/>
      <c r="HH123" s="174"/>
      <c r="HI123" s="174"/>
      <c r="HJ123" s="174"/>
      <c r="HK123" s="174"/>
      <c r="HL123" s="174"/>
      <c r="HM123" s="174"/>
      <c r="HN123" s="174"/>
      <c r="HO123" s="174"/>
      <c r="HP123" s="174"/>
      <c r="HQ123" s="174"/>
      <c r="HR123" s="174"/>
      <c r="HS123" s="174"/>
      <c r="HT123" s="174"/>
      <c r="HU123" s="174"/>
      <c r="HV123" s="174"/>
      <c r="HW123" s="174"/>
      <c r="HX123" s="174"/>
      <c r="HY123" s="174"/>
      <c r="HZ123" s="174"/>
      <c r="IA123" s="174"/>
      <c r="IB123" s="174"/>
      <c r="IC123" s="174"/>
      <c r="ID123" s="174"/>
      <c r="IE123" s="174"/>
      <c r="IF123" s="174"/>
      <c r="IG123" s="174"/>
      <c r="IH123" s="174"/>
      <c r="II123" s="174"/>
      <c r="IJ123" s="174"/>
      <c r="IK123" s="174"/>
      <c r="IL123" s="174"/>
      <c r="IM123" s="174"/>
      <c r="IN123" s="174"/>
      <c r="IO123" s="174"/>
      <c r="IP123" s="174"/>
      <c r="IQ123" s="174"/>
      <c r="IR123" s="174"/>
      <c r="IS123" s="174"/>
      <c r="IT123" s="174"/>
      <c r="IU123" s="174"/>
      <c r="IV123" s="174"/>
      <c r="IW123" s="174"/>
    </row>
    <row r="124" customFormat="false" ht="12.75" hidden="false" customHeight="false" outlineLevel="0" collapsed="false">
      <c r="A124" s="227" t="s">
        <v>255</v>
      </c>
      <c r="B124" s="132"/>
      <c r="C124" s="218"/>
      <c r="D124" s="174"/>
      <c r="E124" s="229"/>
      <c r="F124" s="174"/>
      <c r="G124" s="174"/>
      <c r="H124" s="174"/>
      <c r="I124" s="229"/>
      <c r="J124" s="174"/>
      <c r="L124" s="174"/>
      <c r="N124" s="174"/>
      <c r="O124" s="133"/>
      <c r="P124" s="174"/>
      <c r="V124" s="136"/>
      <c r="AR124" s="174"/>
      <c r="AT124" s="174"/>
      <c r="AV124" s="174"/>
      <c r="AX124" s="174"/>
      <c r="AY124" s="136"/>
      <c r="AZ124" s="174"/>
      <c r="BB124" s="95"/>
      <c r="BC124" s="95"/>
      <c r="BE124" s="174"/>
      <c r="BF124" s="174"/>
      <c r="BG124" s="174"/>
      <c r="BH124" s="174"/>
      <c r="BI124" s="174"/>
      <c r="BJ124" s="174"/>
      <c r="BK124" s="174"/>
      <c r="BL124" s="174"/>
      <c r="BM124" s="174"/>
      <c r="BN124" s="174"/>
      <c r="BO124" s="174"/>
      <c r="BP124" s="174"/>
      <c r="BQ124" s="174"/>
      <c r="BR124" s="174"/>
      <c r="BS124" s="174"/>
      <c r="BT124" s="174"/>
      <c r="BU124" s="174"/>
      <c r="BV124" s="174"/>
      <c r="BW124" s="174"/>
      <c r="BX124" s="174"/>
      <c r="BY124" s="174"/>
      <c r="BZ124" s="174"/>
      <c r="CA124" s="174"/>
      <c r="CB124" s="174"/>
      <c r="CC124" s="174"/>
      <c r="CD124" s="174"/>
      <c r="CE124" s="174"/>
      <c r="CF124" s="174"/>
      <c r="CG124" s="174"/>
      <c r="CH124" s="174"/>
      <c r="CI124" s="174"/>
      <c r="CJ124" s="174"/>
      <c r="CK124" s="174"/>
      <c r="CL124" s="174"/>
      <c r="CM124" s="174"/>
      <c r="CN124" s="174"/>
      <c r="CO124" s="174"/>
      <c r="CP124" s="174"/>
      <c r="CQ124" s="174"/>
      <c r="CR124" s="174"/>
      <c r="CS124" s="174"/>
      <c r="CT124" s="174"/>
      <c r="CU124" s="174"/>
      <c r="CV124" s="174"/>
      <c r="CW124" s="174"/>
      <c r="CX124" s="174"/>
      <c r="CY124" s="174"/>
      <c r="CZ124" s="174"/>
      <c r="DA124" s="174"/>
      <c r="DB124" s="174"/>
      <c r="DC124" s="174"/>
      <c r="DD124" s="174"/>
      <c r="DE124" s="174"/>
      <c r="DF124" s="174"/>
      <c r="DG124" s="174"/>
      <c r="DH124" s="174"/>
      <c r="DI124" s="174"/>
      <c r="DJ124" s="174"/>
      <c r="DK124" s="174"/>
      <c r="DL124" s="174"/>
      <c r="DM124" s="174"/>
      <c r="DN124" s="174"/>
      <c r="DO124" s="174"/>
      <c r="DP124" s="174"/>
      <c r="DQ124" s="174"/>
      <c r="DR124" s="174"/>
      <c r="DS124" s="174"/>
      <c r="DT124" s="174"/>
      <c r="DU124" s="174"/>
      <c r="DV124" s="174"/>
      <c r="DW124" s="174"/>
      <c r="DX124" s="174"/>
      <c r="DY124" s="174"/>
      <c r="DZ124" s="174"/>
      <c r="EA124" s="174"/>
      <c r="EB124" s="174"/>
      <c r="EC124" s="174"/>
      <c r="ED124" s="174"/>
      <c r="EE124" s="174"/>
      <c r="EF124" s="174"/>
      <c r="EG124" s="174"/>
      <c r="EH124" s="174"/>
      <c r="EI124" s="174"/>
      <c r="EJ124" s="174"/>
      <c r="EK124" s="174"/>
      <c r="EL124" s="174"/>
      <c r="EM124" s="174"/>
      <c r="EN124" s="174"/>
      <c r="EO124" s="174"/>
      <c r="EP124" s="174"/>
      <c r="EQ124" s="174"/>
      <c r="ER124" s="174"/>
      <c r="ES124" s="174"/>
      <c r="ET124" s="174"/>
      <c r="EU124" s="174"/>
      <c r="EV124" s="174"/>
      <c r="EW124" s="174"/>
      <c r="EX124" s="174"/>
      <c r="EY124" s="174"/>
      <c r="EZ124" s="174"/>
      <c r="FA124" s="174"/>
      <c r="FB124" s="174"/>
      <c r="FC124" s="174"/>
      <c r="FD124" s="174"/>
      <c r="FE124" s="174"/>
      <c r="FF124" s="174"/>
      <c r="FG124" s="174"/>
      <c r="FH124" s="174"/>
      <c r="FI124" s="174"/>
      <c r="FJ124" s="174"/>
      <c r="FK124" s="174"/>
      <c r="FL124" s="174"/>
      <c r="FM124" s="174"/>
      <c r="FN124" s="174"/>
      <c r="FO124" s="174"/>
      <c r="FP124" s="174"/>
      <c r="FQ124" s="174"/>
      <c r="FR124" s="174"/>
      <c r="FS124" s="174"/>
      <c r="FT124" s="174"/>
      <c r="FU124" s="174"/>
      <c r="FV124" s="174"/>
      <c r="FW124" s="174"/>
      <c r="FX124" s="174"/>
      <c r="FY124" s="174"/>
      <c r="FZ124" s="174"/>
      <c r="GA124" s="174"/>
      <c r="GB124" s="174"/>
      <c r="GC124" s="174"/>
      <c r="GD124" s="174"/>
      <c r="GE124" s="174"/>
      <c r="GF124" s="174"/>
      <c r="GG124" s="174"/>
      <c r="GH124" s="174"/>
      <c r="GI124" s="174"/>
      <c r="GJ124" s="174"/>
      <c r="GK124" s="174"/>
      <c r="GL124" s="174"/>
      <c r="GM124" s="174"/>
      <c r="GN124" s="174"/>
      <c r="GO124" s="174"/>
      <c r="GP124" s="174"/>
      <c r="GQ124" s="174"/>
      <c r="GR124" s="174"/>
      <c r="GS124" s="174"/>
      <c r="GT124" s="174"/>
      <c r="GU124" s="174"/>
      <c r="GV124" s="174"/>
      <c r="GW124" s="174"/>
      <c r="GX124" s="174"/>
      <c r="GY124" s="174"/>
      <c r="GZ124" s="174"/>
      <c r="HA124" s="174"/>
      <c r="HB124" s="174"/>
      <c r="HC124" s="174"/>
      <c r="HD124" s="174"/>
      <c r="HE124" s="174"/>
      <c r="HF124" s="174"/>
      <c r="HG124" s="174"/>
      <c r="HH124" s="174"/>
      <c r="HI124" s="174"/>
      <c r="HJ124" s="174"/>
      <c r="HK124" s="174"/>
      <c r="HL124" s="174"/>
      <c r="HM124" s="174"/>
      <c r="HN124" s="174"/>
      <c r="HO124" s="174"/>
      <c r="HP124" s="174"/>
      <c r="HQ124" s="174"/>
      <c r="HR124" s="174"/>
      <c r="HS124" s="174"/>
      <c r="HT124" s="174"/>
      <c r="HU124" s="174"/>
      <c r="HV124" s="174"/>
      <c r="HW124" s="174"/>
      <c r="HX124" s="174"/>
      <c r="HY124" s="174"/>
      <c r="HZ124" s="174"/>
      <c r="IA124" s="174"/>
      <c r="IB124" s="174"/>
      <c r="IC124" s="174"/>
      <c r="ID124" s="174"/>
      <c r="IE124" s="174"/>
      <c r="IF124" s="174"/>
      <c r="IG124" s="174"/>
      <c r="IH124" s="174"/>
      <c r="II124" s="174"/>
      <c r="IJ124" s="174"/>
      <c r="IK124" s="174"/>
      <c r="IL124" s="174"/>
      <c r="IM124" s="174"/>
      <c r="IN124" s="174"/>
      <c r="IO124" s="174"/>
      <c r="IP124" s="174"/>
      <c r="IQ124" s="174"/>
      <c r="IR124" s="174"/>
      <c r="IS124" s="174"/>
      <c r="IT124" s="174"/>
      <c r="IU124" s="174"/>
      <c r="IV124" s="174"/>
      <c r="IW124" s="174"/>
    </row>
    <row r="125" customFormat="false" ht="12.75" hidden="false" customHeight="false" outlineLevel="0" collapsed="false">
      <c r="A125" s="227"/>
      <c r="B125" s="132" t="s">
        <v>490</v>
      </c>
      <c r="C125" s="218"/>
      <c r="D125" s="174"/>
      <c r="E125" s="229"/>
      <c r="F125" s="174"/>
      <c r="G125" s="174"/>
      <c r="H125" s="174"/>
      <c r="I125" s="229"/>
      <c r="J125" s="174"/>
      <c r="L125" s="174"/>
      <c r="M125" s="95" t="n">
        <v>356828</v>
      </c>
      <c r="N125" s="174"/>
      <c r="O125" s="133" t="n">
        <f aca="false">SUM(K125:N125)</f>
        <v>356828</v>
      </c>
      <c r="P125" s="174"/>
      <c r="U125" s="96" t="n">
        <v>209239</v>
      </c>
      <c r="V125" s="136"/>
      <c r="W125" s="96" t="n">
        <v>17821</v>
      </c>
      <c r="Y125" s="96" t="n">
        <f aca="false">23019</f>
        <v>23019</v>
      </c>
      <c r="AC125" s="96" t="n">
        <v>62454</v>
      </c>
      <c r="AE125" s="96" t="n">
        <v>54096</v>
      </c>
      <c r="AG125" s="96" t="n">
        <f aca="false">70493+142326-32811</f>
        <v>180008</v>
      </c>
      <c r="AI125" s="96" t="n">
        <f aca="false">32811+155834-112252</f>
        <v>76393</v>
      </c>
      <c r="AK125" s="96" t="n">
        <v>41252</v>
      </c>
      <c r="AM125" s="136" t="n">
        <f aca="false">518143-600000</f>
        <v>-81857</v>
      </c>
      <c r="AN125" s="136"/>
      <c r="AO125" s="136" t="n">
        <v>-159204</v>
      </c>
      <c r="AP125" s="136"/>
      <c r="AQ125" s="136"/>
      <c r="AR125" s="174"/>
      <c r="AS125" s="95" t="n">
        <f aca="false">SUM(P125:AR125)</f>
        <v>423221</v>
      </c>
      <c r="AT125" s="174"/>
      <c r="AU125" s="96" t="n">
        <f aca="false">88085-91209-97940-39686-10472-159204</f>
        <v>-310426</v>
      </c>
      <c r="AV125" s="174"/>
      <c r="AW125" s="136" t="n">
        <f aca="false">IF(+O125-AS125+AU125&gt;0,O125-AS125+AU125,0)+1842444</f>
        <v>1842444</v>
      </c>
      <c r="AX125" s="174"/>
      <c r="AY125" s="135" t="n">
        <f aca="false">+AW125+AS125</f>
        <v>2265665</v>
      </c>
      <c r="AZ125" s="174"/>
      <c r="BA125" s="95" t="n">
        <f aca="false">O125-AS125-AW125</f>
        <v>-1908837</v>
      </c>
      <c r="BB125" s="95"/>
      <c r="BC125" s="95"/>
      <c r="BE125" s="174"/>
      <c r="BF125" s="174"/>
      <c r="BG125" s="174"/>
      <c r="BH125" s="174"/>
      <c r="BI125" s="174"/>
      <c r="BJ125" s="174"/>
      <c r="BK125" s="174"/>
      <c r="BL125" s="174"/>
      <c r="BM125" s="174"/>
      <c r="BN125" s="174"/>
      <c r="BO125" s="174"/>
      <c r="BP125" s="174"/>
      <c r="BQ125" s="174"/>
      <c r="BR125" s="174"/>
      <c r="BS125" s="174"/>
      <c r="BT125" s="174"/>
      <c r="BU125" s="174"/>
      <c r="BV125" s="174"/>
      <c r="BW125" s="174"/>
      <c r="BX125" s="174"/>
      <c r="BY125" s="174"/>
      <c r="BZ125" s="174"/>
      <c r="CA125" s="174"/>
      <c r="CB125" s="174"/>
      <c r="CC125" s="174"/>
      <c r="CD125" s="174"/>
      <c r="CE125" s="174"/>
      <c r="CF125" s="174"/>
      <c r="CG125" s="174"/>
      <c r="CH125" s="174"/>
      <c r="CI125" s="174"/>
      <c r="CJ125" s="174"/>
      <c r="CK125" s="174"/>
      <c r="CL125" s="174"/>
      <c r="CM125" s="174"/>
      <c r="CN125" s="174"/>
      <c r="CO125" s="174"/>
      <c r="CP125" s="174"/>
      <c r="CQ125" s="174"/>
      <c r="CR125" s="174"/>
      <c r="CS125" s="174"/>
      <c r="CT125" s="174"/>
      <c r="CU125" s="174"/>
      <c r="CV125" s="174"/>
      <c r="CW125" s="174"/>
      <c r="CX125" s="174"/>
      <c r="CY125" s="174"/>
      <c r="CZ125" s="174"/>
      <c r="DA125" s="174"/>
      <c r="DB125" s="174"/>
      <c r="DC125" s="174"/>
      <c r="DD125" s="174"/>
      <c r="DE125" s="174"/>
      <c r="DF125" s="174"/>
      <c r="DG125" s="174"/>
      <c r="DH125" s="174"/>
      <c r="DI125" s="174"/>
      <c r="DJ125" s="174"/>
      <c r="DK125" s="174"/>
      <c r="DL125" s="174"/>
      <c r="DM125" s="174"/>
      <c r="DN125" s="174"/>
      <c r="DO125" s="174"/>
      <c r="DP125" s="174"/>
      <c r="DQ125" s="174"/>
      <c r="DR125" s="174"/>
      <c r="DS125" s="174"/>
      <c r="DT125" s="174"/>
      <c r="DU125" s="174"/>
      <c r="DV125" s="174"/>
      <c r="DW125" s="174"/>
      <c r="DX125" s="174"/>
      <c r="DY125" s="174"/>
      <c r="DZ125" s="174"/>
      <c r="EA125" s="174"/>
      <c r="EB125" s="174"/>
      <c r="EC125" s="174"/>
      <c r="ED125" s="174"/>
      <c r="EE125" s="174"/>
      <c r="EF125" s="174"/>
      <c r="EG125" s="174"/>
      <c r="EH125" s="174"/>
      <c r="EI125" s="174"/>
      <c r="EJ125" s="174"/>
      <c r="EK125" s="174"/>
      <c r="EL125" s="174"/>
      <c r="EM125" s="174"/>
      <c r="EN125" s="174"/>
      <c r="EO125" s="174"/>
      <c r="EP125" s="174"/>
      <c r="EQ125" s="174"/>
      <c r="ER125" s="174"/>
      <c r="ES125" s="174"/>
      <c r="ET125" s="174"/>
      <c r="EU125" s="174"/>
      <c r="EV125" s="174"/>
      <c r="EW125" s="174"/>
      <c r="EX125" s="174"/>
      <c r="EY125" s="174"/>
      <c r="EZ125" s="174"/>
      <c r="FA125" s="174"/>
      <c r="FB125" s="174"/>
      <c r="FC125" s="174"/>
      <c r="FD125" s="174"/>
      <c r="FE125" s="174"/>
      <c r="FF125" s="174"/>
      <c r="FG125" s="174"/>
      <c r="FH125" s="174"/>
      <c r="FI125" s="174"/>
      <c r="FJ125" s="174"/>
      <c r="FK125" s="174"/>
      <c r="FL125" s="174"/>
      <c r="FM125" s="174"/>
      <c r="FN125" s="174"/>
      <c r="FO125" s="174"/>
      <c r="FP125" s="174"/>
      <c r="FQ125" s="174"/>
      <c r="FR125" s="174"/>
      <c r="FS125" s="174"/>
      <c r="FT125" s="174"/>
      <c r="FU125" s="174"/>
      <c r="FV125" s="174"/>
      <c r="FW125" s="174"/>
      <c r="FX125" s="174"/>
      <c r="FY125" s="174"/>
      <c r="FZ125" s="174"/>
      <c r="GA125" s="174"/>
      <c r="GB125" s="174"/>
      <c r="GC125" s="174"/>
      <c r="GD125" s="174"/>
      <c r="GE125" s="174"/>
      <c r="GF125" s="174"/>
      <c r="GG125" s="174"/>
      <c r="GH125" s="174"/>
      <c r="GI125" s="174"/>
      <c r="GJ125" s="174"/>
      <c r="GK125" s="174"/>
      <c r="GL125" s="174"/>
      <c r="GM125" s="174"/>
      <c r="GN125" s="174"/>
      <c r="GO125" s="174"/>
      <c r="GP125" s="174"/>
      <c r="GQ125" s="174"/>
      <c r="GR125" s="174"/>
      <c r="GS125" s="174"/>
      <c r="GT125" s="174"/>
      <c r="GU125" s="174"/>
      <c r="GV125" s="174"/>
      <c r="GW125" s="174"/>
      <c r="GX125" s="174"/>
      <c r="GY125" s="174"/>
      <c r="GZ125" s="174"/>
      <c r="HA125" s="174"/>
      <c r="HB125" s="174"/>
      <c r="HC125" s="174"/>
      <c r="HD125" s="174"/>
      <c r="HE125" s="174"/>
      <c r="HF125" s="174"/>
      <c r="HG125" s="174"/>
      <c r="HH125" s="174"/>
      <c r="HI125" s="174"/>
      <c r="HJ125" s="174"/>
      <c r="HK125" s="174"/>
      <c r="HL125" s="174"/>
      <c r="HM125" s="174"/>
      <c r="HN125" s="174"/>
      <c r="HO125" s="174"/>
      <c r="HP125" s="174"/>
      <c r="HQ125" s="174"/>
      <c r="HR125" s="174"/>
      <c r="HS125" s="174"/>
      <c r="HT125" s="174"/>
      <c r="HU125" s="174"/>
      <c r="HV125" s="174"/>
      <c r="HW125" s="174"/>
      <c r="HX125" s="174"/>
      <c r="HY125" s="174"/>
      <c r="HZ125" s="174"/>
      <c r="IA125" s="174"/>
      <c r="IB125" s="174"/>
      <c r="IC125" s="174"/>
      <c r="ID125" s="174"/>
      <c r="IE125" s="174"/>
      <c r="IF125" s="174"/>
      <c r="IG125" s="174"/>
      <c r="IH125" s="174"/>
      <c r="II125" s="174"/>
      <c r="IJ125" s="174"/>
      <c r="IK125" s="174"/>
      <c r="IL125" s="174"/>
      <c r="IM125" s="174"/>
      <c r="IN125" s="174"/>
      <c r="IO125" s="174"/>
      <c r="IP125" s="174"/>
      <c r="IQ125" s="174"/>
      <c r="IR125" s="174"/>
      <c r="IS125" s="174"/>
      <c r="IT125" s="174"/>
      <c r="IU125" s="174"/>
      <c r="IV125" s="174"/>
      <c r="IW125" s="174"/>
    </row>
    <row r="126" customFormat="false" ht="12.75" hidden="false" customHeight="false" outlineLevel="0" collapsed="false">
      <c r="A126" s="227"/>
      <c r="B126" s="132" t="s">
        <v>491</v>
      </c>
      <c r="C126" s="218"/>
      <c r="D126" s="174"/>
      <c r="E126" s="229"/>
      <c r="F126" s="174"/>
      <c r="G126" s="174"/>
      <c r="H126" s="174"/>
      <c r="I126" s="229"/>
      <c r="J126" s="174"/>
      <c r="L126" s="174"/>
      <c r="M126" s="95" t="n">
        <v>1194879</v>
      </c>
      <c r="N126" s="174"/>
      <c r="O126" s="133" t="n">
        <f aca="false">SUM(K126:N126)</f>
        <v>1194879</v>
      </c>
      <c r="P126" s="174"/>
      <c r="V126" s="136"/>
      <c r="W126" s="96" t="n">
        <v>11066</v>
      </c>
      <c r="Y126" s="96" t="n">
        <f aca="false">1221+40940</f>
        <v>42161</v>
      </c>
      <c r="AC126" s="96" t="n">
        <v>145566</v>
      </c>
      <c r="AE126" s="96" t="n">
        <v>77856</v>
      </c>
      <c r="AG126" s="96" t="n">
        <f aca="false">89037+165939</f>
        <v>254976</v>
      </c>
      <c r="AI126" s="96" t="n">
        <v>83020</v>
      </c>
      <c r="AK126" s="96" t="n">
        <v>147045</v>
      </c>
      <c r="AM126" s="96" t="n">
        <v>67769</v>
      </c>
      <c r="AO126" s="96" t="n">
        <v>126562</v>
      </c>
      <c r="AR126" s="174"/>
      <c r="AS126" s="95" t="n">
        <f aca="false">SUM(P126:AR126)</f>
        <v>956021</v>
      </c>
      <c r="AT126" s="174"/>
      <c r="AU126" s="96" t="n">
        <f aca="false">951863-1194879-111197+54246+46516+36245-148214+126562</f>
        <v>-238858</v>
      </c>
      <c r="AV126" s="174"/>
      <c r="AW126" s="95" t="n">
        <f aca="false">IF(+O126-AS126+AU126&gt;0,O126-AS126+AU126,0)</f>
        <v>0</v>
      </c>
      <c r="AX126" s="174"/>
      <c r="AY126" s="95" t="n">
        <f aca="false">+AW126+AS126</f>
        <v>956021</v>
      </c>
      <c r="AZ126" s="174"/>
      <c r="BA126" s="95" t="n">
        <f aca="false">O126-AS126-AW126</f>
        <v>238858</v>
      </c>
      <c r="BB126" s="95"/>
      <c r="BC126" s="95"/>
      <c r="BE126" s="174"/>
      <c r="BF126" s="174"/>
      <c r="BG126" s="174"/>
      <c r="BH126" s="174"/>
      <c r="BI126" s="174"/>
      <c r="BJ126" s="174"/>
      <c r="BK126" s="174"/>
      <c r="BL126" s="174"/>
      <c r="BM126" s="174"/>
      <c r="BN126" s="174"/>
      <c r="BO126" s="174"/>
      <c r="BP126" s="174"/>
      <c r="BQ126" s="174"/>
      <c r="BR126" s="174"/>
      <c r="BS126" s="174"/>
      <c r="BT126" s="174"/>
      <c r="BU126" s="174"/>
      <c r="BV126" s="174"/>
      <c r="BW126" s="174"/>
      <c r="BX126" s="174"/>
      <c r="BY126" s="174"/>
      <c r="BZ126" s="174"/>
      <c r="CA126" s="174"/>
      <c r="CB126" s="174"/>
      <c r="CC126" s="174"/>
      <c r="CD126" s="174"/>
      <c r="CE126" s="174"/>
      <c r="CF126" s="174"/>
      <c r="CG126" s="174"/>
      <c r="CH126" s="174"/>
      <c r="CI126" s="174"/>
      <c r="CJ126" s="174"/>
      <c r="CK126" s="174"/>
      <c r="CL126" s="174"/>
      <c r="CM126" s="174"/>
      <c r="CN126" s="174"/>
      <c r="CO126" s="174"/>
      <c r="CP126" s="174"/>
      <c r="CQ126" s="174"/>
      <c r="CR126" s="174"/>
      <c r="CS126" s="174"/>
      <c r="CT126" s="174"/>
      <c r="CU126" s="174"/>
      <c r="CV126" s="174"/>
      <c r="CW126" s="174"/>
      <c r="CX126" s="174"/>
      <c r="CY126" s="174"/>
      <c r="CZ126" s="174"/>
      <c r="DA126" s="174"/>
      <c r="DB126" s="174"/>
      <c r="DC126" s="174"/>
      <c r="DD126" s="174"/>
      <c r="DE126" s="174"/>
      <c r="DF126" s="174"/>
      <c r="DG126" s="174"/>
      <c r="DH126" s="174"/>
      <c r="DI126" s="174"/>
      <c r="DJ126" s="174"/>
      <c r="DK126" s="174"/>
      <c r="DL126" s="174"/>
      <c r="DM126" s="174"/>
      <c r="DN126" s="174"/>
      <c r="DO126" s="174"/>
      <c r="DP126" s="174"/>
      <c r="DQ126" s="174"/>
      <c r="DR126" s="174"/>
      <c r="DS126" s="174"/>
      <c r="DT126" s="174"/>
      <c r="DU126" s="174"/>
      <c r="DV126" s="174"/>
      <c r="DW126" s="174"/>
      <c r="DX126" s="174"/>
      <c r="DY126" s="174"/>
      <c r="DZ126" s="174"/>
      <c r="EA126" s="174"/>
      <c r="EB126" s="174"/>
      <c r="EC126" s="174"/>
      <c r="ED126" s="174"/>
      <c r="EE126" s="174"/>
      <c r="EF126" s="174"/>
      <c r="EG126" s="174"/>
      <c r="EH126" s="174"/>
      <c r="EI126" s="174"/>
      <c r="EJ126" s="174"/>
      <c r="EK126" s="174"/>
      <c r="EL126" s="174"/>
      <c r="EM126" s="174"/>
      <c r="EN126" s="174"/>
      <c r="EO126" s="174"/>
      <c r="EP126" s="174"/>
      <c r="EQ126" s="174"/>
      <c r="ER126" s="174"/>
      <c r="ES126" s="174"/>
      <c r="ET126" s="174"/>
      <c r="EU126" s="174"/>
      <c r="EV126" s="174"/>
      <c r="EW126" s="174"/>
      <c r="EX126" s="174"/>
      <c r="EY126" s="174"/>
      <c r="EZ126" s="174"/>
      <c r="FA126" s="174"/>
      <c r="FB126" s="174"/>
      <c r="FC126" s="174"/>
      <c r="FD126" s="174"/>
      <c r="FE126" s="174"/>
      <c r="FF126" s="174"/>
      <c r="FG126" s="174"/>
      <c r="FH126" s="174"/>
      <c r="FI126" s="174"/>
      <c r="FJ126" s="174"/>
      <c r="FK126" s="174"/>
      <c r="FL126" s="174"/>
      <c r="FM126" s="174"/>
      <c r="FN126" s="174"/>
      <c r="FO126" s="174"/>
      <c r="FP126" s="174"/>
      <c r="FQ126" s="174"/>
      <c r="FR126" s="174"/>
      <c r="FS126" s="174"/>
      <c r="FT126" s="174"/>
      <c r="FU126" s="174"/>
      <c r="FV126" s="174"/>
      <c r="FW126" s="174"/>
      <c r="FX126" s="174"/>
      <c r="FY126" s="174"/>
      <c r="FZ126" s="174"/>
      <c r="GA126" s="174"/>
      <c r="GB126" s="174"/>
      <c r="GC126" s="174"/>
      <c r="GD126" s="174"/>
      <c r="GE126" s="174"/>
      <c r="GF126" s="174"/>
      <c r="GG126" s="174"/>
      <c r="GH126" s="174"/>
      <c r="GI126" s="174"/>
      <c r="GJ126" s="174"/>
      <c r="GK126" s="174"/>
      <c r="GL126" s="174"/>
      <c r="GM126" s="174"/>
      <c r="GN126" s="174"/>
      <c r="GO126" s="174"/>
      <c r="GP126" s="174"/>
      <c r="GQ126" s="174"/>
      <c r="GR126" s="174"/>
      <c r="GS126" s="174"/>
      <c r="GT126" s="174"/>
      <c r="GU126" s="174"/>
      <c r="GV126" s="174"/>
      <c r="GW126" s="174"/>
      <c r="GX126" s="174"/>
      <c r="GY126" s="174"/>
      <c r="GZ126" s="174"/>
      <c r="HA126" s="174"/>
      <c r="HB126" s="174"/>
      <c r="HC126" s="174"/>
      <c r="HD126" s="174"/>
      <c r="HE126" s="174"/>
      <c r="HF126" s="174"/>
      <c r="HG126" s="174"/>
      <c r="HH126" s="174"/>
      <c r="HI126" s="174"/>
      <c r="HJ126" s="174"/>
      <c r="HK126" s="174"/>
      <c r="HL126" s="174"/>
      <c r="HM126" s="174"/>
      <c r="HN126" s="174"/>
      <c r="HO126" s="174"/>
      <c r="HP126" s="174"/>
      <c r="HQ126" s="174"/>
      <c r="HR126" s="174"/>
      <c r="HS126" s="174"/>
      <c r="HT126" s="174"/>
      <c r="HU126" s="174"/>
      <c r="HV126" s="174"/>
      <c r="HW126" s="174"/>
      <c r="HX126" s="174"/>
      <c r="HY126" s="174"/>
      <c r="HZ126" s="174"/>
      <c r="IA126" s="174"/>
      <c r="IB126" s="174"/>
      <c r="IC126" s="174"/>
      <c r="ID126" s="174"/>
      <c r="IE126" s="174"/>
      <c r="IF126" s="174"/>
      <c r="IG126" s="174"/>
      <c r="IH126" s="174"/>
      <c r="II126" s="174"/>
      <c r="IJ126" s="174"/>
      <c r="IK126" s="174"/>
      <c r="IL126" s="174"/>
      <c r="IM126" s="174"/>
      <c r="IN126" s="174"/>
      <c r="IO126" s="174"/>
      <c r="IP126" s="174"/>
      <c r="IQ126" s="174"/>
      <c r="IR126" s="174"/>
      <c r="IS126" s="174"/>
      <c r="IT126" s="174"/>
      <c r="IU126" s="174"/>
      <c r="IV126" s="174"/>
      <c r="IW126" s="174"/>
    </row>
    <row r="127" customFormat="false" ht="13.5" hidden="false" customHeight="true" outlineLevel="0" collapsed="false">
      <c r="A127" s="227"/>
      <c r="B127" s="132" t="s">
        <v>394</v>
      </c>
      <c r="C127" s="218"/>
      <c r="D127" s="174"/>
      <c r="E127" s="229"/>
      <c r="F127" s="174"/>
      <c r="G127" s="174"/>
      <c r="H127" s="174"/>
      <c r="I127" s="229"/>
      <c r="J127" s="174"/>
      <c r="L127" s="174"/>
      <c r="M127" s="95" t="n">
        <f aca="false">2998745+1312553+1463286</f>
        <v>5774584</v>
      </c>
      <c r="N127" s="174"/>
      <c r="O127" s="133" t="n">
        <f aca="false">SUM(K127:N127)</f>
        <v>5774584</v>
      </c>
      <c r="P127" s="174"/>
      <c r="V127" s="136"/>
      <c r="W127" s="96" t="n">
        <v>231203</v>
      </c>
      <c r="Y127" s="96" t="n">
        <f aca="false">225923+338731</f>
        <v>564654</v>
      </c>
      <c r="AC127" s="96" t="n">
        <v>502492</v>
      </c>
      <c r="AE127" s="96" t="n">
        <v>702372</v>
      </c>
      <c r="AG127" s="96" t="n">
        <f aca="false">860179+705034-911026</f>
        <v>654187</v>
      </c>
      <c r="AI127" s="96" t="n">
        <f aca="false">911026+609618+1282565</f>
        <v>2803209</v>
      </c>
      <c r="AK127" s="96" t="n">
        <v>843487</v>
      </c>
      <c r="AM127" s="96" t="n">
        <v>432007</v>
      </c>
      <c r="AR127" s="174"/>
      <c r="AS127" s="95" t="n">
        <f aca="false">SUM(P127:AR127)</f>
        <v>6733611</v>
      </c>
      <c r="AT127" s="174"/>
      <c r="AU127" s="96" t="n">
        <f aca="false">2862030-2998745+351093-378248+155246+314000-273311-13504+115571</f>
        <v>134132</v>
      </c>
      <c r="AV127" s="174"/>
      <c r="AW127" s="95" t="n">
        <f aca="false">IF(+O127-AS127+AU127&gt;0,O127-AS127+AU127,0)</f>
        <v>0</v>
      </c>
      <c r="AX127" s="174"/>
      <c r="AY127" s="95" t="n">
        <f aca="false">+AW127+AS127</f>
        <v>6733611</v>
      </c>
      <c r="AZ127" s="174"/>
      <c r="BA127" s="95" t="n">
        <f aca="false">O127-AS127-AW127</f>
        <v>-959027</v>
      </c>
      <c r="BB127" s="95"/>
      <c r="BC127" s="95"/>
      <c r="BE127" s="174"/>
      <c r="BF127" s="174"/>
      <c r="BG127" s="174"/>
      <c r="BH127" s="174"/>
      <c r="BI127" s="174"/>
      <c r="BJ127" s="174"/>
      <c r="BK127" s="174"/>
      <c r="BL127" s="174"/>
      <c r="BM127" s="174"/>
      <c r="BN127" s="174"/>
      <c r="BO127" s="174"/>
      <c r="BP127" s="174"/>
      <c r="BQ127" s="174"/>
      <c r="BR127" s="174"/>
      <c r="BS127" s="174"/>
      <c r="BT127" s="174"/>
      <c r="BU127" s="174"/>
      <c r="BV127" s="174"/>
      <c r="BW127" s="174"/>
      <c r="BX127" s="174"/>
      <c r="BY127" s="174"/>
      <c r="BZ127" s="174"/>
      <c r="CA127" s="174"/>
      <c r="CB127" s="174"/>
      <c r="CC127" s="174"/>
      <c r="CD127" s="174"/>
      <c r="CE127" s="174"/>
      <c r="CF127" s="174"/>
      <c r="CG127" s="174"/>
      <c r="CH127" s="174"/>
      <c r="CI127" s="174"/>
      <c r="CJ127" s="174"/>
      <c r="CK127" s="174"/>
      <c r="CL127" s="174"/>
      <c r="CM127" s="174"/>
      <c r="CN127" s="174"/>
      <c r="CO127" s="174"/>
      <c r="CP127" s="174"/>
      <c r="CQ127" s="174"/>
      <c r="CR127" s="174"/>
      <c r="CS127" s="174"/>
      <c r="CT127" s="174"/>
      <c r="CU127" s="174"/>
      <c r="CV127" s="174"/>
      <c r="CW127" s="174"/>
      <c r="CX127" s="174"/>
      <c r="CY127" s="174"/>
      <c r="CZ127" s="174"/>
      <c r="DA127" s="174"/>
      <c r="DB127" s="174"/>
      <c r="DC127" s="174"/>
      <c r="DD127" s="174"/>
      <c r="DE127" s="174"/>
      <c r="DF127" s="174"/>
      <c r="DG127" s="174"/>
      <c r="DH127" s="174"/>
      <c r="DI127" s="174"/>
      <c r="DJ127" s="174"/>
      <c r="DK127" s="174"/>
      <c r="DL127" s="174"/>
      <c r="DM127" s="174"/>
      <c r="DN127" s="174"/>
      <c r="DO127" s="174"/>
      <c r="DP127" s="174"/>
      <c r="DQ127" s="174"/>
      <c r="DR127" s="174"/>
      <c r="DS127" s="174"/>
      <c r="DT127" s="174"/>
      <c r="DU127" s="174"/>
      <c r="DV127" s="174"/>
      <c r="DW127" s="174"/>
      <c r="DX127" s="174"/>
      <c r="DY127" s="174"/>
      <c r="DZ127" s="174"/>
      <c r="EA127" s="174"/>
      <c r="EB127" s="174"/>
      <c r="EC127" s="174"/>
      <c r="ED127" s="174"/>
      <c r="EE127" s="174"/>
      <c r="EF127" s="174"/>
      <c r="EG127" s="174"/>
      <c r="EH127" s="174"/>
      <c r="EI127" s="174"/>
      <c r="EJ127" s="174"/>
      <c r="EK127" s="174"/>
      <c r="EL127" s="174"/>
      <c r="EM127" s="174"/>
      <c r="EN127" s="174"/>
      <c r="EO127" s="174"/>
      <c r="EP127" s="174"/>
      <c r="EQ127" s="174"/>
      <c r="ER127" s="174"/>
      <c r="ES127" s="174"/>
      <c r="ET127" s="174"/>
      <c r="EU127" s="174"/>
      <c r="EV127" s="174"/>
      <c r="EW127" s="174"/>
      <c r="EX127" s="174"/>
      <c r="EY127" s="174"/>
      <c r="EZ127" s="174"/>
      <c r="FA127" s="174"/>
      <c r="FB127" s="174"/>
      <c r="FC127" s="174"/>
      <c r="FD127" s="174"/>
      <c r="FE127" s="174"/>
      <c r="FF127" s="174"/>
      <c r="FG127" s="174"/>
      <c r="FH127" s="174"/>
      <c r="FI127" s="174"/>
      <c r="FJ127" s="174"/>
      <c r="FK127" s="174"/>
      <c r="FL127" s="174"/>
      <c r="FM127" s="174"/>
      <c r="FN127" s="174"/>
      <c r="FO127" s="174"/>
      <c r="FP127" s="174"/>
      <c r="FQ127" s="174"/>
      <c r="FR127" s="174"/>
      <c r="FS127" s="174"/>
      <c r="FT127" s="174"/>
      <c r="FU127" s="174"/>
      <c r="FV127" s="174"/>
      <c r="FW127" s="174"/>
      <c r="FX127" s="174"/>
      <c r="FY127" s="174"/>
      <c r="FZ127" s="174"/>
      <c r="GA127" s="174"/>
      <c r="GB127" s="174"/>
      <c r="GC127" s="174"/>
      <c r="GD127" s="174"/>
      <c r="GE127" s="174"/>
      <c r="GF127" s="174"/>
      <c r="GG127" s="174"/>
      <c r="GH127" s="174"/>
      <c r="GI127" s="174"/>
      <c r="GJ127" s="174"/>
      <c r="GK127" s="174"/>
      <c r="GL127" s="174"/>
      <c r="GM127" s="174"/>
      <c r="GN127" s="174"/>
      <c r="GO127" s="174"/>
      <c r="GP127" s="174"/>
      <c r="GQ127" s="174"/>
      <c r="GR127" s="174"/>
      <c r="GS127" s="174"/>
      <c r="GT127" s="174"/>
      <c r="GU127" s="174"/>
      <c r="GV127" s="174"/>
      <c r="GW127" s="174"/>
      <c r="GX127" s="174"/>
      <c r="GY127" s="174"/>
      <c r="GZ127" s="174"/>
      <c r="HA127" s="174"/>
      <c r="HB127" s="174"/>
      <c r="HC127" s="174"/>
      <c r="HD127" s="174"/>
      <c r="HE127" s="174"/>
      <c r="HF127" s="174"/>
      <c r="HG127" s="174"/>
      <c r="HH127" s="174"/>
      <c r="HI127" s="174"/>
      <c r="HJ127" s="174"/>
      <c r="HK127" s="174"/>
      <c r="HL127" s="174"/>
      <c r="HM127" s="174"/>
      <c r="HN127" s="174"/>
      <c r="HO127" s="174"/>
      <c r="HP127" s="174"/>
      <c r="HQ127" s="174"/>
      <c r="HR127" s="174"/>
      <c r="HS127" s="174"/>
      <c r="HT127" s="174"/>
      <c r="HU127" s="174"/>
      <c r="HV127" s="174"/>
      <c r="HW127" s="174"/>
      <c r="HX127" s="174"/>
      <c r="HY127" s="174"/>
      <c r="HZ127" s="174"/>
      <c r="IA127" s="174"/>
      <c r="IB127" s="174"/>
      <c r="IC127" s="174"/>
      <c r="ID127" s="174"/>
      <c r="IE127" s="174"/>
      <c r="IF127" s="174"/>
      <c r="IG127" s="174"/>
      <c r="IH127" s="174"/>
      <c r="II127" s="174"/>
      <c r="IJ127" s="174"/>
      <c r="IK127" s="174"/>
      <c r="IL127" s="174"/>
      <c r="IM127" s="174"/>
      <c r="IN127" s="174"/>
      <c r="IO127" s="174"/>
      <c r="IP127" s="174"/>
      <c r="IQ127" s="174"/>
      <c r="IR127" s="174"/>
      <c r="IS127" s="174"/>
      <c r="IT127" s="174"/>
      <c r="IU127" s="174"/>
      <c r="IV127" s="174"/>
      <c r="IW127" s="174"/>
    </row>
    <row r="128" customFormat="false" ht="12.75" hidden="false" customHeight="false" outlineLevel="0" collapsed="false">
      <c r="A128" s="227"/>
      <c r="B128" s="132" t="s">
        <v>395</v>
      </c>
      <c r="C128" s="218"/>
      <c r="D128" s="174"/>
      <c r="E128" s="229"/>
      <c r="F128" s="174"/>
      <c r="G128" s="174"/>
      <c r="H128" s="174"/>
      <c r="I128" s="229"/>
      <c r="J128" s="174"/>
      <c r="L128" s="174"/>
      <c r="M128" s="95" t="n">
        <f aca="false">1110485+1095310</f>
        <v>2205795</v>
      </c>
      <c r="N128" s="174"/>
      <c r="O128" s="133" t="n">
        <f aca="false">SUM(K128:N128)</f>
        <v>2205795</v>
      </c>
      <c r="P128" s="174"/>
      <c r="U128" s="96" t="n">
        <v>0</v>
      </c>
      <c r="V128" s="136"/>
      <c r="W128" s="96" t="n">
        <v>6069</v>
      </c>
      <c r="Y128" s="96" t="n">
        <f aca="false">29241+1111+3612</f>
        <v>33964</v>
      </c>
      <c r="AC128" s="96" t="n">
        <v>31530</v>
      </c>
      <c r="AE128" s="96" t="n">
        <v>113729</v>
      </c>
      <c r="AG128" s="96" t="n">
        <f aca="false">299667+446771</f>
        <v>746438</v>
      </c>
      <c r="AI128" s="96" t="n">
        <v>410118</v>
      </c>
      <c r="AK128" s="96" t="n">
        <v>344336</v>
      </c>
      <c r="AM128" s="96" t="n">
        <v>119527</v>
      </c>
      <c r="AO128" s="96" t="n">
        <v>257014</v>
      </c>
      <c r="AR128" s="174"/>
      <c r="AS128" s="95" t="n">
        <f aca="false">SUM(P128:AR128)</f>
        <v>2062725</v>
      </c>
      <c r="AT128" s="174"/>
      <c r="AU128" s="96" t="n">
        <f aca="false">847378-1110485-113+147785+316190-568870+400000-10364-330743+112532+32000-235394+257014</f>
        <v>-143070</v>
      </c>
      <c r="AV128" s="174"/>
      <c r="AW128" s="95" t="n">
        <f aca="false">IF(+O128-AS128+AU128&gt;0,O128-AS128+AU128,0)</f>
        <v>0</v>
      </c>
      <c r="AX128" s="174"/>
      <c r="AY128" s="95" t="n">
        <f aca="false">+AW128+AS128</f>
        <v>2062725</v>
      </c>
      <c r="AZ128" s="174"/>
      <c r="BA128" s="95" t="n">
        <f aca="false">O128-AS128-AW128</f>
        <v>143070</v>
      </c>
      <c r="BB128" s="95"/>
      <c r="BC128" s="95"/>
      <c r="BE128" s="174"/>
      <c r="BF128" s="174"/>
      <c r="BG128" s="174"/>
      <c r="BH128" s="174"/>
      <c r="BI128" s="174"/>
      <c r="BJ128" s="174"/>
      <c r="BK128" s="174"/>
      <c r="BL128" s="174"/>
      <c r="BM128" s="174"/>
      <c r="BN128" s="174"/>
      <c r="BO128" s="174"/>
      <c r="BP128" s="174"/>
      <c r="BQ128" s="174"/>
      <c r="BR128" s="174"/>
      <c r="BS128" s="174"/>
      <c r="BT128" s="174"/>
      <c r="BU128" s="174"/>
      <c r="BV128" s="174"/>
      <c r="BW128" s="174"/>
      <c r="BX128" s="174"/>
      <c r="BY128" s="174"/>
      <c r="BZ128" s="174"/>
      <c r="CA128" s="174"/>
      <c r="CB128" s="174"/>
      <c r="CC128" s="174"/>
      <c r="CD128" s="174"/>
      <c r="CE128" s="174"/>
      <c r="CF128" s="174"/>
      <c r="CG128" s="174"/>
      <c r="CH128" s="174"/>
      <c r="CI128" s="174"/>
      <c r="CJ128" s="174"/>
      <c r="CK128" s="174"/>
      <c r="CL128" s="174"/>
      <c r="CM128" s="174"/>
      <c r="CN128" s="174"/>
      <c r="CO128" s="174"/>
      <c r="CP128" s="174"/>
      <c r="CQ128" s="174"/>
      <c r="CR128" s="174"/>
      <c r="CS128" s="174"/>
      <c r="CT128" s="174"/>
      <c r="CU128" s="174"/>
      <c r="CV128" s="174"/>
      <c r="CW128" s="174"/>
      <c r="CX128" s="174"/>
      <c r="CY128" s="174"/>
      <c r="CZ128" s="174"/>
      <c r="DA128" s="174"/>
      <c r="DB128" s="174"/>
      <c r="DC128" s="174"/>
      <c r="DD128" s="174"/>
      <c r="DE128" s="174"/>
      <c r="DF128" s="174"/>
      <c r="DG128" s="174"/>
      <c r="DH128" s="174"/>
      <c r="DI128" s="174"/>
      <c r="DJ128" s="174"/>
      <c r="DK128" s="174"/>
      <c r="DL128" s="174"/>
      <c r="DM128" s="174"/>
      <c r="DN128" s="174"/>
      <c r="DO128" s="174"/>
      <c r="DP128" s="174"/>
      <c r="DQ128" s="174"/>
      <c r="DR128" s="174"/>
      <c r="DS128" s="174"/>
      <c r="DT128" s="174"/>
      <c r="DU128" s="174"/>
      <c r="DV128" s="174"/>
      <c r="DW128" s="174"/>
      <c r="DX128" s="174"/>
      <c r="DY128" s="174"/>
      <c r="DZ128" s="174"/>
      <c r="EA128" s="174"/>
      <c r="EB128" s="174"/>
      <c r="EC128" s="174"/>
      <c r="ED128" s="174"/>
      <c r="EE128" s="174"/>
      <c r="EF128" s="174"/>
      <c r="EG128" s="174"/>
      <c r="EH128" s="174"/>
      <c r="EI128" s="174"/>
      <c r="EJ128" s="174"/>
      <c r="EK128" s="174"/>
      <c r="EL128" s="174"/>
      <c r="EM128" s="174"/>
      <c r="EN128" s="174"/>
      <c r="EO128" s="174"/>
      <c r="EP128" s="174"/>
      <c r="EQ128" s="174"/>
      <c r="ER128" s="174"/>
      <c r="ES128" s="174"/>
      <c r="ET128" s="174"/>
      <c r="EU128" s="174"/>
      <c r="EV128" s="174"/>
      <c r="EW128" s="174"/>
      <c r="EX128" s="174"/>
      <c r="EY128" s="174"/>
      <c r="EZ128" s="174"/>
      <c r="FA128" s="174"/>
      <c r="FB128" s="174"/>
      <c r="FC128" s="174"/>
      <c r="FD128" s="174"/>
      <c r="FE128" s="174"/>
      <c r="FF128" s="174"/>
      <c r="FG128" s="174"/>
      <c r="FH128" s="174"/>
      <c r="FI128" s="174"/>
      <c r="FJ128" s="174"/>
      <c r="FK128" s="174"/>
      <c r="FL128" s="174"/>
      <c r="FM128" s="174"/>
      <c r="FN128" s="174"/>
      <c r="FO128" s="174"/>
      <c r="FP128" s="174"/>
      <c r="FQ128" s="174"/>
      <c r="FR128" s="174"/>
      <c r="FS128" s="174"/>
      <c r="FT128" s="174"/>
      <c r="FU128" s="174"/>
      <c r="FV128" s="174"/>
      <c r="FW128" s="174"/>
      <c r="FX128" s="174"/>
      <c r="FY128" s="174"/>
      <c r="FZ128" s="174"/>
      <c r="GA128" s="174"/>
      <c r="GB128" s="174"/>
      <c r="GC128" s="174"/>
      <c r="GD128" s="174"/>
      <c r="GE128" s="174"/>
      <c r="GF128" s="174"/>
      <c r="GG128" s="174"/>
      <c r="GH128" s="174"/>
      <c r="GI128" s="174"/>
      <c r="GJ128" s="174"/>
      <c r="GK128" s="174"/>
      <c r="GL128" s="174"/>
      <c r="GM128" s="174"/>
      <c r="GN128" s="174"/>
      <c r="GO128" s="174"/>
      <c r="GP128" s="174"/>
      <c r="GQ128" s="174"/>
      <c r="GR128" s="174"/>
      <c r="GS128" s="174"/>
      <c r="GT128" s="174"/>
      <c r="GU128" s="174"/>
      <c r="GV128" s="174"/>
      <c r="GW128" s="174"/>
      <c r="GX128" s="174"/>
      <c r="GY128" s="174"/>
      <c r="GZ128" s="174"/>
      <c r="HA128" s="174"/>
      <c r="HB128" s="174"/>
      <c r="HC128" s="174"/>
      <c r="HD128" s="174"/>
      <c r="HE128" s="174"/>
      <c r="HF128" s="174"/>
      <c r="HG128" s="174"/>
      <c r="HH128" s="174"/>
      <c r="HI128" s="174"/>
      <c r="HJ128" s="174"/>
      <c r="HK128" s="174"/>
      <c r="HL128" s="174"/>
      <c r="HM128" s="174"/>
      <c r="HN128" s="174"/>
      <c r="HO128" s="174"/>
      <c r="HP128" s="174"/>
      <c r="HQ128" s="174"/>
      <c r="HR128" s="174"/>
      <c r="HS128" s="174"/>
      <c r="HT128" s="174"/>
      <c r="HU128" s="174"/>
      <c r="HV128" s="174"/>
      <c r="HW128" s="174"/>
      <c r="HX128" s="174"/>
      <c r="HY128" s="174"/>
      <c r="HZ128" s="174"/>
      <c r="IA128" s="174"/>
      <c r="IB128" s="174"/>
      <c r="IC128" s="174"/>
      <c r="ID128" s="174"/>
      <c r="IE128" s="174"/>
      <c r="IF128" s="174"/>
      <c r="IG128" s="174"/>
      <c r="IH128" s="174"/>
      <c r="II128" s="174"/>
      <c r="IJ128" s="174"/>
      <c r="IK128" s="174"/>
      <c r="IL128" s="174"/>
      <c r="IM128" s="174"/>
      <c r="IN128" s="174"/>
      <c r="IO128" s="174"/>
      <c r="IP128" s="174"/>
      <c r="IQ128" s="174"/>
      <c r="IR128" s="174"/>
      <c r="IS128" s="174"/>
      <c r="IT128" s="174"/>
      <c r="IU128" s="174"/>
      <c r="IV128" s="174"/>
      <c r="IW128" s="174"/>
    </row>
    <row r="129" customFormat="false" ht="12.75" hidden="false" customHeight="false" outlineLevel="0" collapsed="false">
      <c r="A129" s="227"/>
      <c r="B129" s="132" t="s">
        <v>492</v>
      </c>
      <c r="C129" s="218" t="s">
        <v>207</v>
      </c>
      <c r="D129" s="174"/>
      <c r="E129" s="229" t="s">
        <v>173</v>
      </c>
      <c r="F129" s="174"/>
      <c r="G129" s="229" t="s">
        <v>208</v>
      </c>
      <c r="H129" s="174"/>
      <c r="I129" s="229" t="s">
        <v>174</v>
      </c>
      <c r="J129" s="174"/>
      <c r="K129" s="133" t="n">
        <v>710800</v>
      </c>
      <c r="L129" s="174"/>
      <c r="M129" s="133" t="n">
        <v>-710800</v>
      </c>
      <c r="N129" s="174"/>
      <c r="O129" s="133" t="n">
        <f aca="false">SUM(K129:N129)</f>
        <v>0</v>
      </c>
      <c r="P129" s="174"/>
      <c r="Q129" s="96" t="n">
        <v>0</v>
      </c>
      <c r="S129" s="96" t="n">
        <v>0</v>
      </c>
      <c r="U129" s="96" t="n">
        <v>0</v>
      </c>
      <c r="V129" s="136"/>
      <c r="AR129" s="174"/>
      <c r="AS129" s="95" t="n">
        <f aca="false">SUM(P129:AR129)</f>
        <v>0</v>
      </c>
      <c r="AT129" s="174"/>
      <c r="AV129" s="174"/>
      <c r="AW129" s="95" t="n">
        <f aca="false">IF(+O129-AS129+AU129&gt;0,O129-AS129+AU129,0)</f>
        <v>0</v>
      </c>
      <c r="AX129" s="174"/>
      <c r="AY129" s="95" t="n">
        <f aca="false">+AW129+AS129</f>
        <v>0</v>
      </c>
      <c r="AZ129" s="174"/>
      <c r="BA129" s="95" t="n">
        <f aca="false">O129-AS129-AW129</f>
        <v>0</v>
      </c>
      <c r="BB129" s="136"/>
      <c r="BC129" s="95"/>
      <c r="BE129" s="174"/>
      <c r="BF129" s="174"/>
      <c r="BG129" s="174"/>
      <c r="BH129" s="174"/>
      <c r="BI129" s="174"/>
      <c r="BJ129" s="174"/>
      <c r="BK129" s="174"/>
      <c r="BL129" s="174"/>
      <c r="BM129" s="174"/>
      <c r="BN129" s="174"/>
      <c r="BO129" s="174"/>
      <c r="BP129" s="174"/>
      <c r="BQ129" s="174"/>
      <c r="BR129" s="174"/>
      <c r="BS129" s="174"/>
      <c r="BT129" s="174"/>
      <c r="BU129" s="174"/>
      <c r="BV129" s="174"/>
      <c r="BW129" s="174"/>
      <c r="BX129" s="174"/>
      <c r="BY129" s="174"/>
      <c r="BZ129" s="174"/>
      <c r="CA129" s="174"/>
      <c r="CB129" s="174"/>
      <c r="CC129" s="174"/>
      <c r="CD129" s="174"/>
      <c r="CE129" s="174"/>
      <c r="CF129" s="174"/>
      <c r="CG129" s="174"/>
      <c r="CH129" s="174"/>
      <c r="CI129" s="174"/>
      <c r="CJ129" s="174"/>
      <c r="CK129" s="174"/>
      <c r="CL129" s="174"/>
      <c r="CM129" s="174"/>
      <c r="CN129" s="174"/>
      <c r="CO129" s="174"/>
      <c r="CP129" s="174"/>
      <c r="CQ129" s="174"/>
      <c r="CR129" s="174"/>
      <c r="CS129" s="174"/>
      <c r="CT129" s="174"/>
      <c r="CU129" s="174"/>
      <c r="CV129" s="174"/>
      <c r="CW129" s="174"/>
      <c r="CX129" s="174"/>
      <c r="CY129" s="174"/>
      <c r="CZ129" s="174"/>
      <c r="DA129" s="174"/>
      <c r="DB129" s="174"/>
      <c r="DC129" s="174"/>
      <c r="DD129" s="174"/>
      <c r="DE129" s="174"/>
      <c r="DF129" s="174"/>
      <c r="DG129" s="174"/>
      <c r="DH129" s="174"/>
      <c r="DI129" s="174"/>
      <c r="DJ129" s="174"/>
      <c r="DK129" s="174"/>
      <c r="DL129" s="174"/>
      <c r="DM129" s="174"/>
      <c r="DN129" s="174"/>
      <c r="DO129" s="174"/>
      <c r="DP129" s="174"/>
      <c r="DQ129" s="174"/>
      <c r="DR129" s="174"/>
      <c r="DS129" s="174"/>
      <c r="DT129" s="174"/>
      <c r="DU129" s="174"/>
      <c r="DV129" s="174"/>
      <c r="DW129" s="174"/>
      <c r="DX129" s="174"/>
      <c r="DY129" s="174"/>
      <c r="DZ129" s="174"/>
      <c r="EA129" s="174"/>
      <c r="EB129" s="174"/>
      <c r="EC129" s="174"/>
      <c r="ED129" s="174"/>
      <c r="EE129" s="174"/>
      <c r="EF129" s="174"/>
      <c r="EG129" s="174"/>
      <c r="EH129" s="174"/>
      <c r="EI129" s="174"/>
      <c r="EJ129" s="174"/>
      <c r="EK129" s="174"/>
      <c r="EL129" s="174"/>
      <c r="EM129" s="174"/>
      <c r="EN129" s="174"/>
      <c r="EO129" s="174"/>
      <c r="EP129" s="174"/>
      <c r="EQ129" s="174"/>
      <c r="ER129" s="174"/>
      <c r="ES129" s="174"/>
      <c r="ET129" s="174"/>
      <c r="EU129" s="174"/>
      <c r="EV129" s="174"/>
      <c r="EW129" s="174"/>
      <c r="EX129" s="174"/>
      <c r="EY129" s="174"/>
      <c r="EZ129" s="174"/>
      <c r="FA129" s="174"/>
      <c r="FB129" s="174"/>
      <c r="FC129" s="174"/>
      <c r="FD129" s="174"/>
      <c r="FE129" s="174"/>
      <c r="FF129" s="174"/>
      <c r="FG129" s="174"/>
      <c r="FH129" s="174"/>
      <c r="FI129" s="174"/>
      <c r="FJ129" s="174"/>
      <c r="FK129" s="174"/>
      <c r="FL129" s="174"/>
      <c r="FM129" s="174"/>
      <c r="FN129" s="174"/>
      <c r="FO129" s="174"/>
      <c r="FP129" s="174"/>
      <c r="FQ129" s="174"/>
      <c r="FR129" s="174"/>
      <c r="FS129" s="174"/>
      <c r="FT129" s="174"/>
      <c r="FU129" s="174"/>
      <c r="FV129" s="174"/>
      <c r="FW129" s="174"/>
      <c r="FX129" s="174"/>
      <c r="FY129" s="174"/>
      <c r="FZ129" s="174"/>
      <c r="GA129" s="174"/>
      <c r="GB129" s="174"/>
      <c r="GC129" s="174"/>
      <c r="GD129" s="174"/>
      <c r="GE129" s="174"/>
      <c r="GF129" s="174"/>
      <c r="GG129" s="174"/>
      <c r="GH129" s="174"/>
      <c r="GI129" s="174"/>
      <c r="GJ129" s="174"/>
      <c r="GK129" s="174"/>
      <c r="GL129" s="174"/>
      <c r="GM129" s="174"/>
      <c r="GN129" s="174"/>
      <c r="GO129" s="174"/>
      <c r="GP129" s="174"/>
      <c r="GQ129" s="174"/>
      <c r="GR129" s="174"/>
      <c r="GS129" s="174"/>
      <c r="GT129" s="174"/>
      <c r="GU129" s="174"/>
      <c r="GV129" s="174"/>
      <c r="GW129" s="174"/>
      <c r="GX129" s="174"/>
      <c r="GY129" s="174"/>
      <c r="GZ129" s="174"/>
      <c r="HA129" s="174"/>
      <c r="HB129" s="174"/>
      <c r="HC129" s="174"/>
      <c r="HD129" s="174"/>
      <c r="HE129" s="174"/>
      <c r="HF129" s="174"/>
      <c r="HG129" s="174"/>
      <c r="HH129" s="174"/>
      <c r="HI129" s="174"/>
      <c r="HJ129" s="174"/>
      <c r="HK129" s="174"/>
      <c r="HL129" s="174"/>
      <c r="HM129" s="174"/>
      <c r="HN129" s="174"/>
      <c r="HO129" s="174"/>
      <c r="HP129" s="174"/>
      <c r="HQ129" s="174"/>
      <c r="HR129" s="174"/>
      <c r="HS129" s="174"/>
      <c r="HT129" s="174"/>
      <c r="HU129" s="174"/>
      <c r="HV129" s="174"/>
      <c r="HW129" s="174"/>
      <c r="HX129" s="174"/>
      <c r="HY129" s="174"/>
      <c r="HZ129" s="174"/>
      <c r="IA129" s="174"/>
      <c r="IB129" s="174"/>
      <c r="IC129" s="174"/>
      <c r="ID129" s="174"/>
      <c r="IE129" s="174"/>
      <c r="IF129" s="174"/>
      <c r="IG129" s="174"/>
      <c r="IH129" s="174"/>
      <c r="II129" s="174"/>
      <c r="IJ129" s="174"/>
      <c r="IK129" s="174"/>
      <c r="IL129" s="174"/>
      <c r="IM129" s="174"/>
      <c r="IN129" s="174"/>
      <c r="IO129" s="174"/>
      <c r="IP129" s="174"/>
      <c r="IQ129" s="174"/>
      <c r="IR129" s="174"/>
      <c r="IS129" s="174"/>
      <c r="IT129" s="174"/>
      <c r="IU129" s="174"/>
      <c r="IV129" s="174"/>
      <c r="IW129" s="174"/>
    </row>
    <row r="130" customFormat="false" ht="12.75" hidden="false" customHeight="false" outlineLevel="0" collapsed="false">
      <c r="A130" s="227"/>
      <c r="B130" s="132" t="s">
        <v>493</v>
      </c>
      <c r="C130" s="218"/>
      <c r="D130" s="174"/>
      <c r="E130" s="229" t="s">
        <v>173</v>
      </c>
      <c r="F130" s="174"/>
      <c r="G130" s="229" t="s">
        <v>208</v>
      </c>
      <c r="H130" s="174"/>
      <c r="I130" s="229" t="s">
        <v>174</v>
      </c>
      <c r="J130" s="174"/>
      <c r="K130" s="133" t="n">
        <v>3163053</v>
      </c>
      <c r="L130" s="174"/>
      <c r="M130" s="133" t="n">
        <v>-3163053</v>
      </c>
      <c r="N130" s="174"/>
      <c r="O130" s="133" t="n">
        <f aca="false">SUM(K130:N130)</f>
        <v>0</v>
      </c>
      <c r="P130" s="174"/>
      <c r="Q130" s="96" t="n">
        <v>0</v>
      </c>
      <c r="S130" s="96" t="n">
        <v>0</v>
      </c>
      <c r="V130" s="136"/>
      <c r="AR130" s="174"/>
      <c r="AS130" s="95" t="n">
        <f aca="false">SUM(P130:AR130)</f>
        <v>0</v>
      </c>
      <c r="AT130" s="174"/>
      <c r="AV130" s="174"/>
      <c r="AW130" s="95" t="n">
        <f aca="false">IF(+O130-AS130+AU130&gt;0,O130-AS130+AU130,0)</f>
        <v>0</v>
      </c>
      <c r="AX130" s="174"/>
      <c r="AY130" s="95" t="n">
        <f aca="false">+AW130+AS130</f>
        <v>0</v>
      </c>
      <c r="AZ130" s="174"/>
      <c r="BA130" s="95" t="n">
        <f aca="false">O130-AS130-AW130</f>
        <v>0</v>
      </c>
      <c r="BB130" s="136"/>
      <c r="BC130" s="95"/>
      <c r="BE130" s="174"/>
      <c r="BF130" s="174"/>
      <c r="BG130" s="174"/>
      <c r="BH130" s="174"/>
      <c r="BI130" s="174"/>
      <c r="BJ130" s="174"/>
      <c r="BK130" s="174"/>
      <c r="BL130" s="174"/>
      <c r="BM130" s="174"/>
      <c r="BN130" s="174"/>
      <c r="BO130" s="174"/>
      <c r="BP130" s="174"/>
      <c r="BQ130" s="174"/>
      <c r="BR130" s="174"/>
      <c r="BS130" s="174"/>
      <c r="BT130" s="174"/>
      <c r="BU130" s="174"/>
      <c r="BV130" s="174"/>
      <c r="BW130" s="174"/>
      <c r="BX130" s="174"/>
      <c r="BY130" s="174"/>
      <c r="BZ130" s="174"/>
      <c r="CA130" s="174"/>
      <c r="CB130" s="174"/>
      <c r="CC130" s="174"/>
      <c r="CD130" s="174"/>
      <c r="CE130" s="174"/>
      <c r="CF130" s="174"/>
      <c r="CG130" s="174"/>
      <c r="CH130" s="174"/>
      <c r="CI130" s="174"/>
      <c r="CJ130" s="174"/>
      <c r="CK130" s="174"/>
      <c r="CL130" s="174"/>
      <c r="CM130" s="174"/>
      <c r="CN130" s="174"/>
      <c r="CO130" s="174"/>
      <c r="CP130" s="174"/>
      <c r="CQ130" s="174"/>
      <c r="CR130" s="174"/>
      <c r="CS130" s="174"/>
      <c r="CT130" s="174"/>
      <c r="CU130" s="174"/>
      <c r="CV130" s="174"/>
      <c r="CW130" s="174"/>
      <c r="CX130" s="174"/>
      <c r="CY130" s="174"/>
      <c r="CZ130" s="174"/>
      <c r="DA130" s="174"/>
      <c r="DB130" s="174"/>
      <c r="DC130" s="174"/>
      <c r="DD130" s="174"/>
      <c r="DE130" s="174"/>
      <c r="DF130" s="174"/>
      <c r="DG130" s="174"/>
      <c r="DH130" s="174"/>
      <c r="DI130" s="174"/>
      <c r="DJ130" s="174"/>
      <c r="DK130" s="174"/>
      <c r="DL130" s="174"/>
      <c r="DM130" s="174"/>
      <c r="DN130" s="174"/>
      <c r="DO130" s="174"/>
      <c r="DP130" s="174"/>
      <c r="DQ130" s="174"/>
      <c r="DR130" s="174"/>
      <c r="DS130" s="174"/>
      <c r="DT130" s="174"/>
      <c r="DU130" s="174"/>
      <c r="DV130" s="174"/>
      <c r="DW130" s="174"/>
      <c r="DX130" s="174"/>
      <c r="DY130" s="174"/>
      <c r="DZ130" s="174"/>
      <c r="EA130" s="174"/>
      <c r="EB130" s="174"/>
      <c r="EC130" s="174"/>
      <c r="ED130" s="174"/>
      <c r="EE130" s="174"/>
      <c r="EF130" s="174"/>
      <c r="EG130" s="174"/>
      <c r="EH130" s="174"/>
      <c r="EI130" s="174"/>
      <c r="EJ130" s="174"/>
      <c r="EK130" s="174"/>
      <c r="EL130" s="174"/>
      <c r="EM130" s="174"/>
      <c r="EN130" s="174"/>
      <c r="EO130" s="174"/>
      <c r="EP130" s="174"/>
      <c r="EQ130" s="174"/>
      <c r="ER130" s="174"/>
      <c r="ES130" s="174"/>
      <c r="ET130" s="174"/>
      <c r="EU130" s="174"/>
      <c r="EV130" s="174"/>
      <c r="EW130" s="174"/>
      <c r="EX130" s="174"/>
      <c r="EY130" s="174"/>
      <c r="EZ130" s="174"/>
      <c r="FA130" s="174"/>
      <c r="FB130" s="174"/>
      <c r="FC130" s="174"/>
      <c r="FD130" s="174"/>
      <c r="FE130" s="174"/>
      <c r="FF130" s="174"/>
      <c r="FG130" s="174"/>
      <c r="FH130" s="174"/>
      <c r="FI130" s="174"/>
      <c r="FJ130" s="174"/>
      <c r="FK130" s="174"/>
      <c r="FL130" s="174"/>
      <c r="FM130" s="174"/>
      <c r="FN130" s="174"/>
      <c r="FO130" s="174"/>
      <c r="FP130" s="174"/>
      <c r="FQ130" s="174"/>
      <c r="FR130" s="174"/>
      <c r="FS130" s="174"/>
      <c r="FT130" s="174"/>
      <c r="FU130" s="174"/>
      <c r="FV130" s="174"/>
      <c r="FW130" s="174"/>
      <c r="FX130" s="174"/>
      <c r="FY130" s="174"/>
      <c r="FZ130" s="174"/>
      <c r="GA130" s="174"/>
      <c r="GB130" s="174"/>
      <c r="GC130" s="174"/>
      <c r="GD130" s="174"/>
      <c r="GE130" s="174"/>
      <c r="GF130" s="174"/>
      <c r="GG130" s="174"/>
      <c r="GH130" s="174"/>
      <c r="GI130" s="174"/>
      <c r="GJ130" s="174"/>
      <c r="GK130" s="174"/>
      <c r="GL130" s="174"/>
      <c r="GM130" s="174"/>
      <c r="GN130" s="174"/>
      <c r="GO130" s="174"/>
      <c r="GP130" s="174"/>
      <c r="GQ130" s="174"/>
      <c r="GR130" s="174"/>
      <c r="GS130" s="174"/>
      <c r="GT130" s="174"/>
      <c r="GU130" s="174"/>
      <c r="GV130" s="174"/>
      <c r="GW130" s="174"/>
      <c r="GX130" s="174"/>
      <c r="GY130" s="174"/>
      <c r="GZ130" s="174"/>
      <c r="HA130" s="174"/>
      <c r="HB130" s="174"/>
      <c r="HC130" s="174"/>
      <c r="HD130" s="174"/>
      <c r="HE130" s="174"/>
      <c r="HF130" s="174"/>
      <c r="HG130" s="174"/>
      <c r="HH130" s="174"/>
      <c r="HI130" s="174"/>
      <c r="HJ130" s="174"/>
      <c r="HK130" s="174"/>
      <c r="HL130" s="174"/>
      <c r="HM130" s="174"/>
      <c r="HN130" s="174"/>
      <c r="HO130" s="174"/>
      <c r="HP130" s="174"/>
      <c r="HQ130" s="174"/>
      <c r="HR130" s="174"/>
      <c r="HS130" s="174"/>
      <c r="HT130" s="174"/>
      <c r="HU130" s="174"/>
      <c r="HV130" s="174"/>
      <c r="HW130" s="174"/>
      <c r="HX130" s="174"/>
      <c r="HY130" s="174"/>
      <c r="HZ130" s="174"/>
      <c r="IA130" s="174"/>
      <c r="IB130" s="174"/>
      <c r="IC130" s="174"/>
      <c r="ID130" s="174"/>
      <c r="IE130" s="174"/>
      <c r="IF130" s="174"/>
      <c r="IG130" s="174"/>
      <c r="IH130" s="174"/>
      <c r="II130" s="174"/>
      <c r="IJ130" s="174"/>
      <c r="IK130" s="174"/>
      <c r="IL130" s="174"/>
      <c r="IM130" s="174"/>
      <c r="IN130" s="174"/>
      <c r="IO130" s="174"/>
      <c r="IP130" s="174"/>
      <c r="IQ130" s="174"/>
      <c r="IR130" s="174"/>
      <c r="IS130" s="174"/>
      <c r="IT130" s="174"/>
      <c r="IU130" s="174"/>
      <c r="IV130" s="174"/>
      <c r="IW130" s="174"/>
    </row>
    <row r="131" customFormat="false" ht="12.75" hidden="false" customHeight="false" outlineLevel="0" collapsed="false">
      <c r="A131" s="227"/>
      <c r="B131" s="132" t="s">
        <v>494</v>
      </c>
      <c r="C131" s="218"/>
      <c r="D131" s="174"/>
      <c r="E131" s="229" t="s">
        <v>173</v>
      </c>
      <c r="F131" s="174"/>
      <c r="G131" s="229" t="s">
        <v>208</v>
      </c>
      <c r="H131" s="174"/>
      <c r="I131" s="229" t="s">
        <v>174</v>
      </c>
      <c r="J131" s="174"/>
      <c r="K131" s="138" t="n">
        <v>1128260</v>
      </c>
      <c r="L131" s="174"/>
      <c r="M131" s="138" t="n">
        <v>-1128260</v>
      </c>
      <c r="N131" s="174"/>
      <c r="O131" s="138" t="n">
        <f aca="false">SUM(K131:N131)</f>
        <v>0</v>
      </c>
      <c r="P131" s="174"/>
      <c r="Q131" s="139" t="n">
        <v>0</v>
      </c>
      <c r="S131" s="139" t="n">
        <v>0</v>
      </c>
      <c r="U131" s="139"/>
      <c r="V131" s="136"/>
      <c r="W131" s="139"/>
      <c r="Y131" s="139"/>
      <c r="AA131" s="139"/>
      <c r="AC131" s="139"/>
      <c r="AE131" s="139"/>
      <c r="AG131" s="139"/>
      <c r="AI131" s="139"/>
      <c r="AK131" s="139"/>
      <c r="AL131" s="139"/>
      <c r="AM131" s="139"/>
      <c r="AO131" s="139"/>
      <c r="AQ131" s="139"/>
      <c r="AR131" s="174"/>
      <c r="AS131" s="95" t="n">
        <f aca="false">SUM(P131:AR131)</f>
        <v>0</v>
      </c>
      <c r="AT131" s="174"/>
      <c r="AU131" s="139"/>
      <c r="AV131" s="174"/>
      <c r="AW131" s="140" t="n">
        <f aca="false">IF(+O131-AS131+AU131&gt;0,O131-AS131+AU131,0)</f>
        <v>0</v>
      </c>
      <c r="AX131" s="174"/>
      <c r="AY131" s="140" t="n">
        <f aca="false">+AW131+AS131</f>
        <v>0</v>
      </c>
      <c r="AZ131" s="174"/>
      <c r="BA131" s="140" t="n">
        <f aca="false">O131-AS131-AW131</f>
        <v>0</v>
      </c>
      <c r="BB131" s="136"/>
      <c r="BC131" s="95"/>
      <c r="BE131" s="174"/>
      <c r="BF131" s="174"/>
      <c r="BG131" s="174"/>
      <c r="BH131" s="174"/>
      <c r="BI131" s="174"/>
      <c r="BJ131" s="174"/>
      <c r="BK131" s="174"/>
      <c r="BL131" s="174"/>
      <c r="BM131" s="174"/>
      <c r="BN131" s="174"/>
      <c r="BO131" s="174"/>
      <c r="BP131" s="174"/>
      <c r="BQ131" s="174"/>
      <c r="BR131" s="174"/>
      <c r="BS131" s="174"/>
      <c r="BT131" s="174"/>
      <c r="BU131" s="174"/>
      <c r="BV131" s="174"/>
      <c r="BW131" s="174"/>
      <c r="BX131" s="174"/>
      <c r="BY131" s="174"/>
      <c r="BZ131" s="174"/>
      <c r="CA131" s="174"/>
      <c r="CB131" s="174"/>
      <c r="CC131" s="174"/>
      <c r="CD131" s="174"/>
      <c r="CE131" s="174"/>
      <c r="CF131" s="174"/>
      <c r="CG131" s="174"/>
      <c r="CH131" s="174"/>
      <c r="CI131" s="174"/>
      <c r="CJ131" s="174"/>
      <c r="CK131" s="174"/>
      <c r="CL131" s="174"/>
      <c r="CM131" s="174"/>
      <c r="CN131" s="174"/>
      <c r="CO131" s="174"/>
      <c r="CP131" s="174"/>
      <c r="CQ131" s="174"/>
      <c r="CR131" s="174"/>
      <c r="CS131" s="174"/>
      <c r="CT131" s="174"/>
      <c r="CU131" s="174"/>
      <c r="CV131" s="174"/>
      <c r="CW131" s="174"/>
      <c r="CX131" s="174"/>
      <c r="CY131" s="174"/>
      <c r="CZ131" s="174"/>
      <c r="DA131" s="174"/>
      <c r="DB131" s="174"/>
      <c r="DC131" s="174"/>
      <c r="DD131" s="174"/>
      <c r="DE131" s="174"/>
      <c r="DF131" s="174"/>
      <c r="DG131" s="174"/>
      <c r="DH131" s="174"/>
      <c r="DI131" s="174"/>
      <c r="DJ131" s="174"/>
      <c r="DK131" s="174"/>
      <c r="DL131" s="174"/>
      <c r="DM131" s="174"/>
      <c r="DN131" s="174"/>
      <c r="DO131" s="174"/>
      <c r="DP131" s="174"/>
      <c r="DQ131" s="174"/>
      <c r="DR131" s="174"/>
      <c r="DS131" s="174"/>
      <c r="DT131" s="174"/>
      <c r="DU131" s="174"/>
      <c r="DV131" s="174"/>
      <c r="DW131" s="174"/>
      <c r="DX131" s="174"/>
      <c r="DY131" s="174"/>
      <c r="DZ131" s="174"/>
      <c r="EA131" s="174"/>
      <c r="EB131" s="174"/>
      <c r="EC131" s="174"/>
      <c r="ED131" s="174"/>
      <c r="EE131" s="174"/>
      <c r="EF131" s="174"/>
      <c r="EG131" s="174"/>
      <c r="EH131" s="174"/>
      <c r="EI131" s="174"/>
      <c r="EJ131" s="174"/>
      <c r="EK131" s="174"/>
      <c r="EL131" s="174"/>
      <c r="EM131" s="174"/>
      <c r="EN131" s="174"/>
      <c r="EO131" s="174"/>
      <c r="EP131" s="174"/>
      <c r="EQ131" s="174"/>
      <c r="ER131" s="174"/>
      <c r="ES131" s="174"/>
      <c r="ET131" s="174"/>
      <c r="EU131" s="174"/>
      <c r="EV131" s="174"/>
      <c r="EW131" s="174"/>
      <c r="EX131" s="174"/>
      <c r="EY131" s="174"/>
      <c r="EZ131" s="174"/>
      <c r="FA131" s="174"/>
      <c r="FB131" s="174"/>
      <c r="FC131" s="174"/>
      <c r="FD131" s="174"/>
      <c r="FE131" s="174"/>
      <c r="FF131" s="174"/>
      <c r="FG131" s="174"/>
      <c r="FH131" s="174"/>
      <c r="FI131" s="174"/>
      <c r="FJ131" s="174"/>
      <c r="FK131" s="174"/>
      <c r="FL131" s="174"/>
      <c r="FM131" s="174"/>
      <c r="FN131" s="174"/>
      <c r="FO131" s="174"/>
      <c r="FP131" s="174"/>
      <c r="FQ131" s="174"/>
      <c r="FR131" s="174"/>
      <c r="FS131" s="174"/>
      <c r="FT131" s="174"/>
      <c r="FU131" s="174"/>
      <c r="FV131" s="174"/>
      <c r="FW131" s="174"/>
      <c r="FX131" s="174"/>
      <c r="FY131" s="174"/>
      <c r="FZ131" s="174"/>
      <c r="GA131" s="174"/>
      <c r="GB131" s="174"/>
      <c r="GC131" s="174"/>
      <c r="GD131" s="174"/>
      <c r="GE131" s="174"/>
      <c r="GF131" s="174"/>
      <c r="GG131" s="174"/>
      <c r="GH131" s="174"/>
      <c r="GI131" s="174"/>
      <c r="GJ131" s="174"/>
      <c r="GK131" s="174"/>
      <c r="GL131" s="174"/>
      <c r="GM131" s="174"/>
      <c r="GN131" s="174"/>
      <c r="GO131" s="174"/>
      <c r="GP131" s="174"/>
      <c r="GQ131" s="174"/>
      <c r="GR131" s="174"/>
      <c r="GS131" s="174"/>
      <c r="GT131" s="174"/>
      <c r="GU131" s="174"/>
      <c r="GV131" s="174"/>
      <c r="GW131" s="174"/>
      <c r="GX131" s="174"/>
      <c r="GY131" s="174"/>
      <c r="GZ131" s="174"/>
      <c r="HA131" s="174"/>
      <c r="HB131" s="174"/>
      <c r="HC131" s="174"/>
      <c r="HD131" s="174"/>
      <c r="HE131" s="174"/>
      <c r="HF131" s="174"/>
      <c r="HG131" s="174"/>
      <c r="HH131" s="174"/>
      <c r="HI131" s="174"/>
      <c r="HJ131" s="174"/>
      <c r="HK131" s="174"/>
      <c r="HL131" s="174"/>
      <c r="HM131" s="174"/>
      <c r="HN131" s="174"/>
      <c r="HO131" s="174"/>
      <c r="HP131" s="174"/>
      <c r="HQ131" s="174"/>
      <c r="HR131" s="174"/>
      <c r="HS131" s="174"/>
      <c r="HT131" s="174"/>
      <c r="HU131" s="174"/>
      <c r="HV131" s="174"/>
      <c r="HW131" s="174"/>
      <c r="HX131" s="174"/>
      <c r="HY131" s="174"/>
      <c r="HZ131" s="174"/>
      <c r="IA131" s="174"/>
      <c r="IB131" s="174"/>
      <c r="IC131" s="174"/>
      <c r="ID131" s="174"/>
      <c r="IE131" s="174"/>
      <c r="IF131" s="174"/>
      <c r="IG131" s="174"/>
      <c r="IH131" s="174"/>
      <c r="II131" s="174"/>
      <c r="IJ131" s="174"/>
      <c r="IK131" s="174"/>
      <c r="IL131" s="174"/>
      <c r="IM131" s="174"/>
      <c r="IN131" s="174"/>
      <c r="IO131" s="174"/>
      <c r="IP131" s="174"/>
      <c r="IQ131" s="174"/>
      <c r="IR131" s="174"/>
      <c r="IS131" s="174"/>
      <c r="IT131" s="174"/>
      <c r="IU131" s="174"/>
      <c r="IV131" s="174"/>
      <c r="IW131" s="174"/>
    </row>
    <row r="132" customFormat="false" ht="12.75" hidden="false" customHeight="false" outlineLevel="0" collapsed="false">
      <c r="A132" s="262"/>
      <c r="B132" s="226" t="s">
        <v>396</v>
      </c>
      <c r="C132" s="218"/>
      <c r="D132" s="174"/>
      <c r="E132" s="229"/>
      <c r="F132" s="174"/>
      <c r="G132" s="229"/>
      <c r="H132" s="174"/>
      <c r="I132" s="229"/>
      <c r="J132" s="174"/>
      <c r="K132" s="24" t="n">
        <f aca="false">SUM(K124:K131)</f>
        <v>5002113</v>
      </c>
      <c r="L132" s="174"/>
      <c r="M132" s="24" t="n">
        <f aca="false">SUM(M124:M131)</f>
        <v>4529973</v>
      </c>
      <c r="N132" s="174"/>
      <c r="O132" s="155" t="n">
        <f aca="false">SUM(O124:O131)</f>
        <v>9532086</v>
      </c>
      <c r="P132" s="174"/>
      <c r="Q132" s="155" t="n">
        <f aca="false">SUM(Q124:Q131)</f>
        <v>0</v>
      </c>
      <c r="R132" s="244"/>
      <c r="S132" s="155" t="n">
        <f aca="false">SUM(S124:S131)</f>
        <v>0</v>
      </c>
      <c r="T132" s="244"/>
      <c r="U132" s="155" t="n">
        <f aca="false">SUM(U124:U131)</f>
        <v>209239</v>
      </c>
      <c r="V132" s="136"/>
      <c r="W132" s="155" t="n">
        <f aca="false">SUM(W124:W131)</f>
        <v>266159</v>
      </c>
      <c r="X132" s="24"/>
      <c r="Y132" s="155" t="n">
        <f aca="false">SUM(Y124:Y131)</f>
        <v>663798</v>
      </c>
      <c r="Z132" s="24"/>
      <c r="AA132" s="155" t="n">
        <f aca="false">SUM(AA124:AA131)</f>
        <v>0</v>
      </c>
      <c r="AB132" s="24"/>
      <c r="AC132" s="155" t="n">
        <f aca="false">SUM(AC124:AC131)</f>
        <v>742042</v>
      </c>
      <c r="AD132" s="24"/>
      <c r="AE132" s="155" t="n">
        <f aca="false">SUM(AE124:AE131)</f>
        <v>948053</v>
      </c>
      <c r="AF132" s="24"/>
      <c r="AG132" s="155" t="n">
        <f aca="false">SUM(AG124:AG131)</f>
        <v>1835609</v>
      </c>
      <c r="AH132" s="24"/>
      <c r="AI132" s="155" t="n">
        <f aca="false">SUM(AI124:AI131)</f>
        <v>3372740</v>
      </c>
      <c r="AJ132" s="24"/>
      <c r="AK132" s="155" t="n">
        <f aca="false">SUM(AK124:AK131)</f>
        <v>1376120</v>
      </c>
      <c r="AL132" s="155"/>
      <c r="AM132" s="155" t="n">
        <f aca="false">SUM(AM124:AM131)</f>
        <v>537446</v>
      </c>
      <c r="AN132" s="24"/>
      <c r="AO132" s="155" t="n">
        <f aca="false">SUM(AO124:AO131)</f>
        <v>224372</v>
      </c>
      <c r="AP132" s="24"/>
      <c r="AQ132" s="155" t="n">
        <f aca="false">SUM(AQ124:AQ131)</f>
        <v>0</v>
      </c>
      <c r="AR132" s="174"/>
      <c r="AS132" s="155" t="n">
        <f aca="false">SUM(AS124:AS131)</f>
        <v>10175578</v>
      </c>
      <c r="AT132" s="174"/>
      <c r="AU132" s="24" t="n">
        <f aca="false">SUM(AU124:AU131)</f>
        <v>-558222</v>
      </c>
      <c r="AV132" s="174"/>
      <c r="AW132" s="24" t="n">
        <f aca="false">SUM(AW124:AW131)</f>
        <v>1842444</v>
      </c>
      <c r="AX132" s="174"/>
      <c r="AY132" s="24" t="n">
        <f aca="false">SUM(AY124:AY131)</f>
        <v>12018022</v>
      </c>
      <c r="AZ132" s="174"/>
      <c r="BA132" s="155" t="n">
        <f aca="false">SUM(BA124:BA131)</f>
        <v>-2485936</v>
      </c>
      <c r="BB132" s="136"/>
      <c r="BC132" s="24"/>
      <c r="BE132" s="174"/>
      <c r="BF132" s="174"/>
      <c r="BG132" s="174"/>
      <c r="BH132" s="174"/>
      <c r="BI132" s="174"/>
      <c r="BJ132" s="174"/>
      <c r="BK132" s="174"/>
      <c r="BL132" s="174"/>
      <c r="BM132" s="174"/>
      <c r="BN132" s="174"/>
      <c r="BO132" s="174"/>
      <c r="BP132" s="174"/>
      <c r="BQ132" s="174"/>
      <c r="BR132" s="174"/>
      <c r="BS132" s="174"/>
      <c r="BT132" s="174"/>
      <c r="BU132" s="174"/>
      <c r="BV132" s="174"/>
      <c r="BW132" s="174"/>
      <c r="BX132" s="174"/>
      <c r="BY132" s="174"/>
      <c r="BZ132" s="174"/>
      <c r="CA132" s="174"/>
      <c r="CB132" s="174"/>
      <c r="CC132" s="174"/>
      <c r="CD132" s="174"/>
      <c r="CE132" s="174"/>
      <c r="CF132" s="174"/>
      <c r="CG132" s="174"/>
      <c r="CH132" s="174"/>
      <c r="CI132" s="174"/>
      <c r="CJ132" s="174"/>
      <c r="CK132" s="174"/>
      <c r="CL132" s="174"/>
      <c r="CM132" s="174"/>
      <c r="CN132" s="174"/>
      <c r="CO132" s="174"/>
      <c r="CP132" s="174"/>
      <c r="CQ132" s="174"/>
      <c r="CR132" s="174"/>
      <c r="CS132" s="174"/>
      <c r="CT132" s="174"/>
      <c r="CU132" s="174"/>
      <c r="CV132" s="174"/>
      <c r="CW132" s="174"/>
      <c r="CX132" s="174"/>
      <c r="CY132" s="174"/>
      <c r="CZ132" s="174"/>
      <c r="DA132" s="174"/>
      <c r="DB132" s="174"/>
      <c r="DC132" s="174"/>
      <c r="DD132" s="174"/>
      <c r="DE132" s="174"/>
      <c r="DF132" s="174"/>
      <c r="DG132" s="174"/>
      <c r="DH132" s="174"/>
      <c r="DI132" s="174"/>
      <c r="DJ132" s="174"/>
      <c r="DK132" s="174"/>
      <c r="DL132" s="174"/>
      <c r="DM132" s="174"/>
      <c r="DN132" s="174"/>
      <c r="DO132" s="174"/>
      <c r="DP132" s="174"/>
      <c r="DQ132" s="174"/>
      <c r="DR132" s="174"/>
      <c r="DS132" s="174"/>
      <c r="DT132" s="174"/>
      <c r="DU132" s="174"/>
      <c r="DV132" s="174"/>
      <c r="DW132" s="174"/>
      <c r="DX132" s="174"/>
      <c r="DY132" s="174"/>
      <c r="DZ132" s="174"/>
      <c r="EA132" s="174"/>
      <c r="EB132" s="174"/>
      <c r="EC132" s="174"/>
      <c r="ED132" s="174"/>
      <c r="EE132" s="174"/>
      <c r="EF132" s="174"/>
      <c r="EG132" s="174"/>
      <c r="EH132" s="174"/>
      <c r="EI132" s="174"/>
      <c r="EJ132" s="174"/>
      <c r="EK132" s="174"/>
      <c r="EL132" s="174"/>
      <c r="EM132" s="174"/>
      <c r="EN132" s="174"/>
      <c r="EO132" s="174"/>
      <c r="EP132" s="174"/>
      <c r="EQ132" s="174"/>
      <c r="ER132" s="174"/>
      <c r="ES132" s="174"/>
      <c r="ET132" s="174"/>
      <c r="EU132" s="174"/>
      <c r="EV132" s="174"/>
      <c r="EW132" s="174"/>
      <c r="EX132" s="174"/>
      <c r="EY132" s="174"/>
      <c r="EZ132" s="174"/>
      <c r="FA132" s="174"/>
      <c r="FB132" s="174"/>
      <c r="FC132" s="174"/>
      <c r="FD132" s="174"/>
      <c r="FE132" s="174"/>
      <c r="FF132" s="174"/>
      <c r="FG132" s="174"/>
      <c r="FH132" s="174"/>
      <c r="FI132" s="174"/>
      <c r="FJ132" s="174"/>
      <c r="FK132" s="174"/>
      <c r="FL132" s="174"/>
      <c r="FM132" s="174"/>
      <c r="FN132" s="174"/>
      <c r="FO132" s="174"/>
      <c r="FP132" s="174"/>
      <c r="FQ132" s="174"/>
      <c r="FR132" s="174"/>
      <c r="FS132" s="174"/>
      <c r="FT132" s="174"/>
      <c r="FU132" s="174"/>
      <c r="FV132" s="174"/>
      <c r="FW132" s="174"/>
      <c r="FX132" s="174"/>
      <c r="FY132" s="174"/>
      <c r="FZ132" s="174"/>
      <c r="GA132" s="174"/>
      <c r="GB132" s="174"/>
      <c r="GC132" s="174"/>
      <c r="GD132" s="174"/>
      <c r="GE132" s="174"/>
      <c r="GF132" s="174"/>
      <c r="GG132" s="174"/>
      <c r="GH132" s="174"/>
      <c r="GI132" s="174"/>
      <c r="GJ132" s="174"/>
      <c r="GK132" s="174"/>
      <c r="GL132" s="174"/>
      <c r="GM132" s="174"/>
      <c r="GN132" s="174"/>
      <c r="GO132" s="174"/>
      <c r="GP132" s="174"/>
      <c r="GQ132" s="174"/>
      <c r="GR132" s="174"/>
      <c r="GS132" s="174"/>
      <c r="GT132" s="174"/>
      <c r="GU132" s="174"/>
      <c r="GV132" s="174"/>
      <c r="GW132" s="174"/>
      <c r="GX132" s="174"/>
      <c r="GY132" s="174"/>
      <c r="GZ132" s="174"/>
      <c r="HA132" s="174"/>
      <c r="HB132" s="174"/>
      <c r="HC132" s="174"/>
      <c r="HD132" s="174"/>
      <c r="HE132" s="174"/>
      <c r="HF132" s="174"/>
      <c r="HG132" s="174"/>
      <c r="HH132" s="174"/>
      <c r="HI132" s="174"/>
      <c r="HJ132" s="174"/>
      <c r="HK132" s="174"/>
      <c r="HL132" s="174"/>
      <c r="HM132" s="174"/>
      <c r="HN132" s="174"/>
      <c r="HO132" s="174"/>
      <c r="HP132" s="174"/>
      <c r="HQ132" s="174"/>
      <c r="HR132" s="174"/>
      <c r="HS132" s="174"/>
      <c r="HT132" s="174"/>
      <c r="HU132" s="174"/>
      <c r="HV132" s="174"/>
      <c r="HW132" s="174"/>
      <c r="HX132" s="174"/>
      <c r="HY132" s="174"/>
      <c r="HZ132" s="174"/>
      <c r="IA132" s="174"/>
      <c r="IB132" s="174"/>
      <c r="IC132" s="174"/>
      <c r="ID132" s="174"/>
      <c r="IE132" s="174"/>
      <c r="IF132" s="174"/>
      <c r="IG132" s="174"/>
      <c r="IH132" s="174"/>
      <c r="II132" s="174"/>
      <c r="IJ132" s="174"/>
      <c r="IK132" s="174"/>
      <c r="IL132" s="174"/>
      <c r="IM132" s="174"/>
      <c r="IN132" s="174"/>
      <c r="IO132" s="174"/>
      <c r="IP132" s="174"/>
      <c r="IQ132" s="174"/>
      <c r="IR132" s="174"/>
      <c r="IS132" s="174"/>
      <c r="IT132" s="174"/>
      <c r="IU132" s="174"/>
      <c r="IV132" s="174"/>
      <c r="IW132" s="174"/>
    </row>
    <row r="133" customFormat="false" ht="12.75" hidden="false" customHeight="false" outlineLevel="0" collapsed="false">
      <c r="A133" s="262"/>
      <c r="B133" s="226"/>
      <c r="C133" s="218"/>
      <c r="D133" s="174"/>
      <c r="E133" s="229"/>
      <c r="F133" s="174"/>
      <c r="G133" s="229"/>
      <c r="H133" s="174"/>
      <c r="I133" s="229"/>
      <c r="J133" s="174"/>
      <c r="K133" s="24"/>
      <c r="L133" s="174"/>
      <c r="M133" s="24"/>
      <c r="N133" s="174"/>
      <c r="O133" s="24"/>
      <c r="P133" s="174"/>
      <c r="Q133" s="129"/>
      <c r="R133" s="244"/>
      <c r="S133" s="129"/>
      <c r="T133" s="244"/>
      <c r="U133" s="129"/>
      <c r="V133" s="136"/>
      <c r="W133" s="129"/>
      <c r="X133" s="24"/>
      <c r="Y133" s="129"/>
      <c r="Z133" s="24"/>
      <c r="AA133" s="129"/>
      <c r="AB133" s="24"/>
      <c r="AC133" s="129"/>
      <c r="AD133" s="24"/>
      <c r="AE133" s="129"/>
      <c r="AF133" s="129"/>
      <c r="AG133" s="129"/>
      <c r="AH133" s="129"/>
      <c r="AI133" s="129"/>
      <c r="AJ133" s="129"/>
      <c r="AK133" s="129"/>
      <c r="AL133" s="129"/>
      <c r="AM133" s="129"/>
      <c r="AN133" s="129"/>
      <c r="AO133" s="129"/>
      <c r="AP133" s="129"/>
      <c r="AQ133" s="129"/>
      <c r="AR133" s="174"/>
      <c r="AS133" s="24"/>
      <c r="AT133" s="174"/>
      <c r="AU133" s="129"/>
      <c r="AV133" s="174"/>
      <c r="AW133" s="24"/>
      <c r="AX133" s="174"/>
      <c r="AY133" s="24"/>
      <c r="AZ133" s="174"/>
      <c r="BA133" s="24"/>
      <c r="BB133" s="24"/>
      <c r="BC133" s="24"/>
      <c r="BE133" s="174"/>
      <c r="BF133" s="174"/>
      <c r="BG133" s="174"/>
      <c r="BH133" s="174"/>
      <c r="BI133" s="174"/>
      <c r="BJ133" s="174"/>
      <c r="BK133" s="174"/>
      <c r="BL133" s="174"/>
      <c r="BM133" s="174"/>
      <c r="BN133" s="174"/>
      <c r="BO133" s="174"/>
      <c r="BP133" s="174"/>
      <c r="BQ133" s="174"/>
      <c r="BR133" s="174"/>
      <c r="BS133" s="174"/>
      <c r="BT133" s="174"/>
      <c r="BU133" s="174"/>
      <c r="BV133" s="174"/>
      <c r="BW133" s="174"/>
      <c r="BX133" s="174"/>
      <c r="BY133" s="174"/>
      <c r="BZ133" s="174"/>
      <c r="CA133" s="174"/>
      <c r="CB133" s="174"/>
      <c r="CC133" s="174"/>
      <c r="CD133" s="174"/>
      <c r="CE133" s="174"/>
      <c r="CF133" s="174"/>
      <c r="CG133" s="174"/>
      <c r="CH133" s="174"/>
      <c r="CI133" s="174"/>
      <c r="CJ133" s="174"/>
      <c r="CK133" s="174"/>
      <c r="CL133" s="174"/>
      <c r="CM133" s="174"/>
      <c r="CN133" s="174"/>
      <c r="CO133" s="174"/>
      <c r="CP133" s="174"/>
      <c r="CQ133" s="174"/>
      <c r="CR133" s="174"/>
      <c r="CS133" s="174"/>
      <c r="CT133" s="174"/>
      <c r="CU133" s="174"/>
      <c r="CV133" s="174"/>
      <c r="CW133" s="174"/>
      <c r="CX133" s="174"/>
      <c r="CY133" s="174"/>
      <c r="CZ133" s="174"/>
      <c r="DA133" s="174"/>
      <c r="DB133" s="174"/>
      <c r="DC133" s="174"/>
      <c r="DD133" s="174"/>
      <c r="DE133" s="174"/>
      <c r="DF133" s="174"/>
      <c r="DG133" s="174"/>
      <c r="DH133" s="174"/>
      <c r="DI133" s="174"/>
      <c r="DJ133" s="174"/>
      <c r="DK133" s="174"/>
      <c r="DL133" s="174"/>
      <c r="DM133" s="174"/>
      <c r="DN133" s="174"/>
      <c r="DO133" s="174"/>
      <c r="DP133" s="174"/>
      <c r="DQ133" s="174"/>
      <c r="DR133" s="174"/>
      <c r="DS133" s="174"/>
      <c r="DT133" s="174"/>
      <c r="DU133" s="174"/>
      <c r="DV133" s="174"/>
      <c r="DW133" s="174"/>
      <c r="DX133" s="174"/>
      <c r="DY133" s="174"/>
      <c r="DZ133" s="174"/>
      <c r="EA133" s="174"/>
      <c r="EB133" s="174"/>
      <c r="EC133" s="174"/>
      <c r="ED133" s="174"/>
      <c r="EE133" s="174"/>
      <c r="EF133" s="174"/>
      <c r="EG133" s="174"/>
      <c r="EH133" s="174"/>
      <c r="EI133" s="174"/>
      <c r="EJ133" s="174"/>
      <c r="EK133" s="174"/>
      <c r="EL133" s="174"/>
      <c r="EM133" s="174"/>
      <c r="EN133" s="174"/>
      <c r="EO133" s="174"/>
      <c r="EP133" s="174"/>
      <c r="EQ133" s="174"/>
      <c r="ER133" s="174"/>
      <c r="ES133" s="174"/>
      <c r="ET133" s="174"/>
      <c r="EU133" s="174"/>
      <c r="EV133" s="174"/>
      <c r="EW133" s="174"/>
      <c r="EX133" s="174"/>
      <c r="EY133" s="174"/>
      <c r="EZ133" s="174"/>
      <c r="FA133" s="174"/>
      <c r="FB133" s="174"/>
      <c r="FC133" s="174"/>
      <c r="FD133" s="174"/>
      <c r="FE133" s="174"/>
      <c r="FF133" s="174"/>
      <c r="FG133" s="174"/>
      <c r="FH133" s="174"/>
      <c r="FI133" s="174"/>
      <c r="FJ133" s="174"/>
      <c r="FK133" s="174"/>
      <c r="FL133" s="174"/>
      <c r="FM133" s="174"/>
      <c r="FN133" s="174"/>
      <c r="FO133" s="174"/>
      <c r="FP133" s="174"/>
      <c r="FQ133" s="174"/>
      <c r="FR133" s="174"/>
      <c r="FS133" s="174"/>
      <c r="FT133" s="174"/>
      <c r="FU133" s="174"/>
      <c r="FV133" s="174"/>
      <c r="FW133" s="174"/>
      <c r="FX133" s="174"/>
      <c r="FY133" s="174"/>
      <c r="FZ133" s="174"/>
      <c r="GA133" s="174"/>
      <c r="GB133" s="174"/>
      <c r="GC133" s="174"/>
      <c r="GD133" s="174"/>
      <c r="GE133" s="174"/>
      <c r="GF133" s="174"/>
      <c r="GG133" s="174"/>
      <c r="GH133" s="174"/>
      <c r="GI133" s="174"/>
      <c r="GJ133" s="174"/>
      <c r="GK133" s="174"/>
      <c r="GL133" s="174"/>
      <c r="GM133" s="174"/>
      <c r="GN133" s="174"/>
      <c r="GO133" s="174"/>
      <c r="GP133" s="174"/>
      <c r="GQ133" s="174"/>
      <c r="GR133" s="174"/>
      <c r="GS133" s="174"/>
      <c r="GT133" s="174"/>
      <c r="GU133" s="174"/>
      <c r="GV133" s="174"/>
      <c r="GW133" s="174"/>
      <c r="GX133" s="174"/>
      <c r="GY133" s="174"/>
      <c r="GZ133" s="174"/>
      <c r="HA133" s="174"/>
      <c r="HB133" s="174"/>
      <c r="HC133" s="174"/>
      <c r="HD133" s="174"/>
      <c r="HE133" s="174"/>
      <c r="HF133" s="174"/>
      <c r="HG133" s="174"/>
      <c r="HH133" s="174"/>
      <c r="HI133" s="174"/>
      <c r="HJ133" s="174"/>
      <c r="HK133" s="174"/>
      <c r="HL133" s="174"/>
      <c r="HM133" s="174"/>
      <c r="HN133" s="174"/>
      <c r="HO133" s="174"/>
      <c r="HP133" s="174"/>
      <c r="HQ133" s="174"/>
      <c r="HR133" s="174"/>
      <c r="HS133" s="174"/>
      <c r="HT133" s="174"/>
      <c r="HU133" s="174"/>
      <c r="HV133" s="174"/>
      <c r="HW133" s="174"/>
      <c r="HX133" s="174"/>
      <c r="HY133" s="174"/>
      <c r="HZ133" s="174"/>
      <c r="IA133" s="174"/>
      <c r="IB133" s="174"/>
      <c r="IC133" s="174"/>
      <c r="ID133" s="174"/>
      <c r="IE133" s="174"/>
      <c r="IF133" s="174"/>
      <c r="IG133" s="174"/>
      <c r="IH133" s="174"/>
      <c r="II133" s="174"/>
      <c r="IJ133" s="174"/>
      <c r="IK133" s="174"/>
      <c r="IL133" s="174"/>
      <c r="IM133" s="174"/>
      <c r="IN133" s="174"/>
      <c r="IO133" s="174"/>
      <c r="IP133" s="174"/>
      <c r="IQ133" s="174"/>
      <c r="IR133" s="174"/>
      <c r="IS133" s="174"/>
      <c r="IT133" s="174"/>
      <c r="IU133" s="174"/>
      <c r="IV133" s="174"/>
      <c r="IW133" s="174"/>
    </row>
    <row r="134" customFormat="false" ht="12.75" hidden="false" customHeight="false" outlineLevel="0" collapsed="false">
      <c r="A134" s="227" t="s">
        <v>263</v>
      </c>
      <c r="B134" s="132"/>
      <c r="C134" s="218" t="s">
        <v>207</v>
      </c>
      <c r="E134" s="94" t="s">
        <v>173</v>
      </c>
      <c r="G134" s="94" t="s">
        <v>208</v>
      </c>
      <c r="I134" s="94" t="s">
        <v>174</v>
      </c>
      <c r="K134" s="163" t="n">
        <v>954000</v>
      </c>
      <c r="M134" s="163" t="n">
        <f aca="false">975000-954000</f>
        <v>21000</v>
      </c>
      <c r="O134" s="163" t="n">
        <f aca="false">SUM(K134:N134)</f>
        <v>975000</v>
      </c>
      <c r="Q134" s="129" t="n">
        <v>0</v>
      </c>
      <c r="R134" s="244"/>
      <c r="S134" s="129" t="n">
        <v>0</v>
      </c>
      <c r="T134" s="244"/>
      <c r="U134" s="129" t="n">
        <v>3788</v>
      </c>
      <c r="V134" s="136"/>
      <c r="W134" s="129" t="n">
        <v>5112</v>
      </c>
      <c r="X134" s="24"/>
      <c r="Y134" s="129" t="n">
        <f aca="false">1756963.15-1725897</f>
        <v>31066.1499999999</v>
      </c>
      <c r="Z134" s="24"/>
      <c r="AA134" s="129"/>
      <c r="AB134" s="24"/>
      <c r="AC134" s="129" t="n">
        <v>77634</v>
      </c>
      <c r="AD134" s="24"/>
      <c r="AE134" s="129" t="n">
        <v>77947</v>
      </c>
      <c r="AF134" s="129"/>
      <c r="AG134" s="129" t="n">
        <f aca="false">84531+84156</f>
        <v>168687</v>
      </c>
      <c r="AH134" s="129"/>
      <c r="AI134" s="129" t="n">
        <v>56620</v>
      </c>
      <c r="AJ134" s="129"/>
      <c r="AK134" s="129" t="n">
        <v>66155</v>
      </c>
      <c r="AL134" s="129"/>
      <c r="AM134" s="129" t="n">
        <v>29590</v>
      </c>
      <c r="AN134" s="129"/>
      <c r="AO134" s="129" t="n">
        <v>20326</v>
      </c>
      <c r="AP134" s="129"/>
      <c r="AQ134" s="129"/>
      <c r="AS134" s="95" t="n">
        <f aca="false">SUM(P134:AR134)</f>
        <v>536925.15</v>
      </c>
      <c r="AU134" s="129" t="n">
        <f aca="false">-458401+20326</f>
        <v>-438075</v>
      </c>
      <c r="AW134" s="24" t="n">
        <f aca="false">IF(+O134-AS134+AU134&gt;0,O134-AS134+AU134,0)</f>
        <v>0</v>
      </c>
      <c r="AX134" s="90"/>
      <c r="AY134" s="24" t="n">
        <f aca="false">+AW134+AS134</f>
        <v>536925.15</v>
      </c>
      <c r="AZ134" s="90"/>
      <c r="BA134" s="95" t="n">
        <f aca="false">O134-AS134-AW134</f>
        <v>438074.85</v>
      </c>
      <c r="BB134" s="136"/>
      <c r="BC134" s="24"/>
    </row>
    <row r="135" customFormat="false" ht="12.75" hidden="false" customHeight="false" outlineLevel="0" collapsed="false">
      <c r="A135" s="227"/>
      <c r="B135" s="132" t="s">
        <v>495</v>
      </c>
      <c r="C135" s="218"/>
      <c r="K135" s="163" t="n">
        <v>275432</v>
      </c>
      <c r="M135" s="163" t="n">
        <v>-275432</v>
      </c>
      <c r="O135" s="163" t="n">
        <f aca="false">SUM(K135:N135)</f>
        <v>0</v>
      </c>
      <c r="Q135" s="129" t="n">
        <v>0</v>
      </c>
      <c r="R135" s="244"/>
      <c r="S135" s="129" t="n">
        <v>0</v>
      </c>
      <c r="T135" s="244"/>
      <c r="U135" s="129"/>
      <c r="V135" s="136"/>
      <c r="W135" s="129"/>
      <c r="X135" s="24"/>
      <c r="Y135" s="129"/>
      <c r="Z135" s="24"/>
      <c r="AA135" s="129"/>
      <c r="AB135" s="24"/>
      <c r="AC135" s="129"/>
      <c r="AD135" s="24"/>
      <c r="AE135" s="129"/>
      <c r="AF135" s="129"/>
      <c r="AG135" s="129"/>
      <c r="AH135" s="129"/>
      <c r="AI135" s="129"/>
      <c r="AJ135" s="129"/>
      <c r="AK135" s="129"/>
      <c r="AL135" s="129"/>
      <c r="AM135" s="129"/>
      <c r="AN135" s="129"/>
      <c r="AO135" s="129"/>
      <c r="AP135" s="129"/>
      <c r="AQ135" s="129"/>
      <c r="AS135" s="95" t="n">
        <f aca="false">SUM(P135:AR135)</f>
        <v>0</v>
      </c>
      <c r="AU135" s="129"/>
      <c r="AW135" s="24" t="n">
        <f aca="false">IF(+O135-AS135+AU135&gt;0,O135-AS135+AU135,0)</f>
        <v>0</v>
      </c>
      <c r="AX135" s="90"/>
      <c r="AY135" s="24" t="n">
        <f aca="false">+AW135+AS135</f>
        <v>0</v>
      </c>
      <c r="AZ135" s="90"/>
      <c r="BA135" s="95" t="n">
        <f aca="false">O135-AS135-AW135</f>
        <v>0</v>
      </c>
      <c r="BB135" s="136"/>
      <c r="BC135" s="24"/>
    </row>
    <row r="136" customFormat="false" ht="12.75" hidden="false" customHeight="false" outlineLevel="0" collapsed="false">
      <c r="A136" s="227"/>
      <c r="B136" s="132"/>
      <c r="C136" s="218"/>
      <c r="K136" s="133"/>
      <c r="M136" s="133"/>
      <c r="O136" s="133"/>
      <c r="V136" s="136"/>
      <c r="AX136" s="90"/>
      <c r="AZ136" s="90"/>
      <c r="BB136" s="95"/>
      <c r="BC136" s="95"/>
    </row>
    <row r="137" customFormat="false" ht="12.75" hidden="false" customHeight="false" outlineLevel="0" collapsed="false">
      <c r="A137" s="227" t="s">
        <v>262</v>
      </c>
      <c r="B137" s="132"/>
      <c r="C137" s="218"/>
      <c r="G137" s="94" t="s">
        <v>208</v>
      </c>
      <c r="K137" s="133" t="n">
        <v>0</v>
      </c>
      <c r="M137" s="133" t="n">
        <v>0</v>
      </c>
      <c r="O137" s="163" t="n">
        <f aca="false">SUM(K137:N137)</f>
        <v>0</v>
      </c>
      <c r="V137" s="136"/>
      <c r="AO137" s="96" t="n">
        <v>0</v>
      </c>
      <c r="AS137" s="95" t="n">
        <f aca="false">SUM(P137:AR137)</f>
        <v>0</v>
      </c>
      <c r="AU137" s="96" t="n">
        <v>0</v>
      </c>
      <c r="AW137" s="24" t="n">
        <v>260000</v>
      </c>
      <c r="AX137" s="90"/>
      <c r="AY137" s="24" t="n">
        <f aca="false">+AW137+AS137</f>
        <v>260000</v>
      </c>
      <c r="AZ137" s="90"/>
      <c r="BA137" s="95" t="n">
        <f aca="false">O137-AS137-AW137</f>
        <v>-260000</v>
      </c>
      <c r="BB137" s="95"/>
      <c r="BC137" s="95"/>
    </row>
    <row r="138" customFormat="false" ht="12.75" hidden="false" customHeight="false" outlineLevel="0" collapsed="false">
      <c r="A138" s="152"/>
      <c r="C138" s="218"/>
      <c r="G138" s="229"/>
      <c r="K138" s="163"/>
      <c r="M138" s="163"/>
      <c r="O138" s="163"/>
      <c r="Q138" s="129"/>
      <c r="R138" s="244"/>
      <c r="S138" s="129"/>
      <c r="T138" s="244"/>
      <c r="U138" s="129"/>
      <c r="V138" s="136"/>
      <c r="W138" s="129"/>
      <c r="X138" s="24"/>
      <c r="Y138" s="129"/>
      <c r="Z138" s="24"/>
      <c r="AA138" s="129"/>
      <c r="AB138" s="24"/>
      <c r="AC138" s="129"/>
      <c r="AD138" s="24"/>
      <c r="AE138" s="129"/>
      <c r="AF138" s="129"/>
      <c r="AG138" s="129"/>
      <c r="AH138" s="129"/>
      <c r="AI138" s="129"/>
      <c r="AJ138" s="129"/>
      <c r="AK138" s="129"/>
      <c r="AL138" s="129"/>
      <c r="AM138" s="129"/>
      <c r="AN138" s="129"/>
      <c r="AO138" s="129"/>
      <c r="AP138" s="129"/>
      <c r="AQ138" s="129"/>
      <c r="AS138" s="24"/>
      <c r="AU138" s="129"/>
      <c r="AW138" s="24"/>
      <c r="AX138" s="90"/>
      <c r="AY138" s="24"/>
      <c r="AZ138" s="90"/>
      <c r="BB138" s="136"/>
      <c r="BC138" s="24"/>
    </row>
    <row r="139" customFormat="false" ht="12.75" hidden="true" customHeight="false" outlineLevel="0" collapsed="false">
      <c r="A139" s="152" t="s">
        <v>496</v>
      </c>
      <c r="C139" s="218" t="s">
        <v>207</v>
      </c>
      <c r="E139" s="94" t="s">
        <v>173</v>
      </c>
      <c r="G139" s="94" t="s">
        <v>208</v>
      </c>
      <c r="K139" s="163" t="n">
        <v>0</v>
      </c>
      <c r="M139" s="163" t="n">
        <v>0</v>
      </c>
      <c r="O139" s="163" t="n">
        <f aca="false">SUM(K139:N139)</f>
        <v>0</v>
      </c>
      <c r="Q139" s="129" t="n">
        <v>0</v>
      </c>
      <c r="R139" s="244"/>
      <c r="S139" s="129" t="n">
        <v>0</v>
      </c>
      <c r="T139" s="244"/>
      <c r="U139" s="129"/>
      <c r="V139" s="136"/>
      <c r="W139" s="129"/>
      <c r="X139" s="24"/>
      <c r="Y139" s="129"/>
      <c r="Z139" s="24"/>
      <c r="AA139" s="129"/>
      <c r="AB139" s="24"/>
      <c r="AC139" s="129"/>
      <c r="AD139" s="24"/>
      <c r="AE139" s="129"/>
      <c r="AF139" s="129"/>
      <c r="AG139" s="129"/>
      <c r="AH139" s="129"/>
      <c r="AI139" s="129"/>
      <c r="AJ139" s="129"/>
      <c r="AK139" s="129"/>
      <c r="AL139" s="129"/>
      <c r="AM139" s="129"/>
      <c r="AN139" s="129"/>
      <c r="AO139" s="129"/>
      <c r="AP139" s="129"/>
      <c r="AQ139" s="129"/>
      <c r="AS139" s="95" t="n">
        <f aca="false">SUM(P139:AR139)</f>
        <v>0</v>
      </c>
      <c r="AU139" s="129"/>
      <c r="AW139" s="24" t="n">
        <f aca="false">IF(+O139-AS139+AU139&gt;0,O139-AS139+AU139,0)</f>
        <v>0</v>
      </c>
      <c r="AX139" s="90"/>
      <c r="AY139" s="24" t="n">
        <f aca="false">+AW139+AS139</f>
        <v>0</v>
      </c>
      <c r="AZ139" s="90"/>
      <c r="BA139" s="95" t="n">
        <f aca="false">O139-AS139-AW139</f>
        <v>0</v>
      </c>
      <c r="BB139" s="136"/>
      <c r="BC139" s="24"/>
    </row>
    <row r="140" customFormat="false" ht="12.75" hidden="true" customHeight="false" outlineLevel="0" collapsed="false">
      <c r="A140" s="152"/>
      <c r="C140" s="218"/>
      <c r="G140" s="229"/>
      <c r="K140" s="163"/>
      <c r="M140" s="163"/>
      <c r="O140" s="163"/>
      <c r="Q140" s="129"/>
      <c r="R140" s="244"/>
      <c r="S140" s="129"/>
      <c r="T140" s="244"/>
      <c r="U140" s="129"/>
      <c r="V140" s="136"/>
      <c r="W140" s="129"/>
      <c r="X140" s="24"/>
      <c r="Y140" s="129"/>
      <c r="Z140" s="24"/>
      <c r="AA140" s="129"/>
      <c r="AB140" s="24"/>
      <c r="AC140" s="129"/>
      <c r="AD140" s="24"/>
      <c r="AE140" s="129"/>
      <c r="AF140" s="129"/>
      <c r="AG140" s="129"/>
      <c r="AH140" s="129"/>
      <c r="AI140" s="129"/>
      <c r="AJ140" s="129"/>
      <c r="AK140" s="129"/>
      <c r="AL140" s="129"/>
      <c r="AM140" s="129"/>
      <c r="AN140" s="129"/>
      <c r="AO140" s="129"/>
      <c r="AP140" s="129"/>
      <c r="AQ140" s="129"/>
      <c r="AS140" s="24"/>
      <c r="AU140" s="129"/>
      <c r="AW140" s="24"/>
      <c r="AX140" s="90"/>
      <c r="AY140" s="24"/>
      <c r="AZ140" s="90"/>
      <c r="BB140" s="136"/>
      <c r="BC140" s="24"/>
    </row>
    <row r="141" customFormat="false" ht="12.75" hidden="false" customHeight="false" outlineLevel="0" collapsed="false">
      <c r="A141" s="152" t="s">
        <v>497</v>
      </c>
      <c r="C141" s="218"/>
      <c r="G141" s="229"/>
      <c r="K141" s="163" t="n">
        <f aca="false">K139+K135+K134+K132+K121+K87+K80+K137</f>
        <v>24669900</v>
      </c>
      <c r="M141" s="163" t="n">
        <f aca="false">M139+M135+M134+M132+M121+M87+M80+M137</f>
        <v>6436546</v>
      </c>
      <c r="O141" s="24" t="n">
        <f aca="false">O139+O135+O134+O132+O121+O87+O80+O137</f>
        <v>31106446</v>
      </c>
      <c r="Q141" s="129" t="n">
        <f aca="false">Q139+Q135+Q134+Q132+Q121+Q87+Q80+Q137</f>
        <v>31643</v>
      </c>
      <c r="R141" s="244"/>
      <c r="S141" s="129" t="n">
        <f aca="false">S139+S135+S134+S132+S121+S87+S80+S137</f>
        <v>239101.46</v>
      </c>
      <c r="T141" s="244"/>
      <c r="U141" s="129" t="n">
        <f aca="false">U139+U135+U134+U132+U121+U87+U80+U137</f>
        <v>392941.24</v>
      </c>
      <c r="V141" s="136"/>
      <c r="W141" s="129" t="n">
        <f aca="false">W139+W135+W134+W132+W121+W87+W80+W137</f>
        <v>674363.3</v>
      </c>
      <c r="X141" s="163"/>
      <c r="Y141" s="129" t="n">
        <f aca="false">Y139+Y135+Y134+Y132+Y121+Y87+Y80+Y137</f>
        <v>1756963.15</v>
      </c>
      <c r="Z141" s="163"/>
      <c r="AA141" s="129" t="n">
        <f aca="false">AA139+AA135+AA134+AA132+AA121+AA87+AA80+AA137</f>
        <v>0</v>
      </c>
      <c r="AB141" s="163"/>
      <c r="AC141" s="129" t="n">
        <f aca="false">AC139+AC135+AC134+AC132+AC121+AC87+AC80+AC137</f>
        <v>4390660</v>
      </c>
      <c r="AD141" s="163"/>
      <c r="AE141" s="129" t="n">
        <f aca="false">AE139+AE135+AE134+AE132+AE121+AE87+AE80+AE137</f>
        <v>4408350</v>
      </c>
      <c r="AF141" s="129"/>
      <c r="AG141" s="129" t="n">
        <f aca="false">AG139+AG135+AG134+AG132+AG121+AG87+AG80+AG137</f>
        <v>7502651</v>
      </c>
      <c r="AH141" s="129"/>
      <c r="AI141" s="129" t="n">
        <f aca="false">AI139+AI135+AI134+AI132+AI121+AI87+AI80+AI137</f>
        <v>5239722</v>
      </c>
      <c r="AJ141" s="129"/>
      <c r="AK141" s="129" t="n">
        <f aca="false">AK139+AK135+AK134+AK132+AK121+AK87+AK80+AK137</f>
        <v>3901235.95</v>
      </c>
      <c r="AL141" s="129"/>
      <c r="AM141" s="129" t="n">
        <f aca="false">AM139+AM135+AM134+AM132+AM121+AM87+AM80+AM137</f>
        <v>1735394.57</v>
      </c>
      <c r="AN141" s="129"/>
      <c r="AO141" s="129" t="n">
        <f aca="false">AO139+AO135+AO134+AO132+AO121+AO87+AO80+AO137</f>
        <v>1149530</v>
      </c>
      <c r="AP141" s="129"/>
      <c r="AQ141" s="129" t="n">
        <f aca="false">AQ139+AQ135+AQ134+AQ132+AQ121+AQ87+AQ80+AQ137</f>
        <v>0</v>
      </c>
      <c r="AS141" s="24" t="n">
        <f aca="false">AS139+AS135+AS134+AS132+AS121+AS87+AS80+AS137</f>
        <v>31422555.67</v>
      </c>
      <c r="AU141" s="129" t="n">
        <f aca="false">AU139+AU135+AU134+AU132+AU121+AU87+AU80+AU137</f>
        <v>-1248398</v>
      </c>
      <c r="AW141" s="24" t="n">
        <f aca="false">AW139+AW135+AW134+AW132+AW121+AW87+AW80+AW13-1</f>
        <v>1842443.5</v>
      </c>
      <c r="AX141" s="90"/>
      <c r="AY141" s="24" t="n">
        <f aca="false">AY139+AY135+AY134+AY132+AY121+AY87+AY80+AY137</f>
        <v>33525000.17</v>
      </c>
      <c r="AZ141" s="90"/>
      <c r="BA141" s="24" t="n">
        <f aca="false">BA139+BA135+BA134+BA132+BA121+BA87+BA80+BA137</f>
        <v>-2418554.17</v>
      </c>
      <c r="BB141" s="136"/>
      <c r="BC141" s="24"/>
      <c r="BE141" s="16" t="n">
        <f aca="false">+AY141+BE51</f>
        <v>132976472.34</v>
      </c>
    </row>
    <row r="142" customFormat="false" ht="12.75" hidden="false" customHeight="false" outlineLevel="0" collapsed="false">
      <c r="A142" s="152"/>
      <c r="C142" s="218"/>
      <c r="G142" s="229"/>
      <c r="K142" s="24"/>
      <c r="M142" s="24"/>
      <c r="O142" s="24"/>
      <c r="Q142" s="129"/>
      <c r="R142" s="244"/>
      <c r="S142" s="129"/>
      <c r="T142" s="244"/>
      <c r="U142" s="129"/>
      <c r="V142" s="136"/>
      <c r="W142" s="129"/>
      <c r="X142" s="24"/>
      <c r="Y142" s="129"/>
      <c r="Z142" s="24"/>
      <c r="AA142" s="129"/>
      <c r="AB142" s="24"/>
      <c r="AC142" s="129"/>
      <c r="AD142" s="24"/>
      <c r="AE142" s="129"/>
      <c r="AF142" s="129"/>
      <c r="AG142" s="129"/>
      <c r="AH142" s="129"/>
      <c r="AI142" s="129"/>
      <c r="AJ142" s="129"/>
      <c r="AK142" s="129"/>
      <c r="AL142" s="129"/>
      <c r="AM142" s="129"/>
      <c r="AN142" s="129"/>
      <c r="AO142" s="129"/>
      <c r="AP142" s="129"/>
      <c r="AQ142" s="129"/>
      <c r="AS142" s="24"/>
      <c r="AU142" s="129"/>
      <c r="AW142" s="24"/>
      <c r="AX142" s="90"/>
      <c r="AY142" s="24"/>
      <c r="AZ142" s="90"/>
      <c r="BA142" s="24"/>
      <c r="BB142" s="24"/>
      <c r="BC142" s="24"/>
    </row>
    <row r="143" customFormat="false" ht="12.75" hidden="false" customHeight="false" outlineLevel="0" collapsed="false">
      <c r="A143" s="185"/>
      <c r="B143" s="165" t="s">
        <v>265</v>
      </c>
      <c r="C143" s="232"/>
      <c r="D143" s="171"/>
      <c r="E143" s="233"/>
      <c r="F143" s="171"/>
      <c r="G143" s="233"/>
      <c r="H143" s="171"/>
      <c r="I143" s="233"/>
      <c r="J143" s="171"/>
      <c r="K143" s="168" t="n">
        <f aca="false">K141+K51+K43</f>
        <v>95898725</v>
      </c>
      <c r="L143" s="171"/>
      <c r="M143" s="168" t="n">
        <f aca="false">M141+M51+M43</f>
        <v>26382961</v>
      </c>
      <c r="N143" s="171"/>
      <c r="O143" s="168" t="n">
        <f aca="false">O141+O51+O43</f>
        <v>116916586</v>
      </c>
      <c r="P143" s="171"/>
      <c r="Q143" s="169" t="n">
        <f aca="false">Q141+Q51+Q43</f>
        <v>62254247.66</v>
      </c>
      <c r="R143" s="234"/>
      <c r="S143" s="169" t="n">
        <f aca="false">S141+S51+S43</f>
        <v>374080.76</v>
      </c>
      <c r="T143" s="234"/>
      <c r="U143" s="169" t="n">
        <f aca="false">U141+U51+U43</f>
        <v>18153596.21</v>
      </c>
      <c r="V143" s="264"/>
      <c r="W143" s="169" t="n">
        <f aca="false">W141+W51+W43</f>
        <v>-32322.2</v>
      </c>
      <c r="X143" s="168"/>
      <c r="Y143" s="169" t="n">
        <f aca="false">Y141+Y51+Y43</f>
        <v>-626433.389999999</v>
      </c>
      <c r="Z143" s="168"/>
      <c r="AA143" s="169" t="n">
        <f aca="false">AA141+AA51+AA43</f>
        <v>6990646.54</v>
      </c>
      <c r="AB143" s="168"/>
      <c r="AC143" s="169" t="n">
        <f aca="false">AC141+AC51+AC43</f>
        <v>14896470.49</v>
      </c>
      <c r="AD143" s="168"/>
      <c r="AE143" s="169" t="n">
        <f aca="false">AE141+AE51+AE43</f>
        <v>6413474.36</v>
      </c>
      <c r="AF143" s="169"/>
      <c r="AG143" s="169" t="n">
        <f aca="false">AG141+AG51+AG43</f>
        <v>8752404.54</v>
      </c>
      <c r="AH143" s="169"/>
      <c r="AI143" s="169" t="n">
        <f aca="false">AI141+AI51+AI43</f>
        <v>6141003.46</v>
      </c>
      <c r="AJ143" s="169"/>
      <c r="AK143" s="169" t="n">
        <f aca="false">AK141+AK51+AK43</f>
        <v>5957376.44</v>
      </c>
      <c r="AL143" s="169"/>
      <c r="AM143" s="169" t="n">
        <f aca="false">AM141+AM51+AM43</f>
        <v>1978225.78</v>
      </c>
      <c r="AN143" s="169"/>
      <c r="AO143" s="169" t="n">
        <f aca="false">AO141+AO51+AO43</f>
        <v>1214926.13</v>
      </c>
      <c r="AP143" s="169"/>
      <c r="AQ143" s="169" t="n">
        <f aca="false">AQ141+AQ51+AQ43</f>
        <v>51444.89</v>
      </c>
      <c r="AR143" s="171"/>
      <c r="AS143" s="168" t="n">
        <f aca="false">AS141+AS51+AS43</f>
        <v>132519141.67</v>
      </c>
      <c r="AT143" s="171"/>
      <c r="AU143" s="169" t="n">
        <f aca="false">AU141+AU51+AU43</f>
        <v>3063452</v>
      </c>
      <c r="AV143" s="171"/>
      <c r="AW143" s="168" t="n">
        <f aca="false">AW141+AW51+AW43+AW137</f>
        <v>4188257.67</v>
      </c>
      <c r="AX143" s="171"/>
      <c r="AY143" s="168" t="n">
        <f aca="false">+AW143+AS143</f>
        <v>136707399.34</v>
      </c>
      <c r="AZ143" s="171"/>
      <c r="BA143" s="168" t="n">
        <f aca="false">BA141+BA51+BA43</f>
        <v>-19790814.34</v>
      </c>
      <c r="BB143" s="168"/>
      <c r="BC143" s="24"/>
      <c r="BD143" s="95" t="n">
        <f aca="false">+BD43</f>
        <v>-3730928</v>
      </c>
      <c r="BE143" s="16" t="n">
        <f aca="false">+AY143+BD143</f>
        <v>132976471.34</v>
      </c>
      <c r="BF143" s="174"/>
      <c r="BG143" s="174"/>
      <c r="BH143" s="174"/>
      <c r="BI143" s="174"/>
      <c r="BJ143" s="174"/>
      <c r="BK143" s="174"/>
      <c r="BL143" s="174"/>
      <c r="BM143" s="174"/>
      <c r="BN143" s="174"/>
      <c r="BO143" s="174"/>
      <c r="BP143" s="174"/>
      <c r="BQ143" s="174"/>
      <c r="BR143" s="174"/>
      <c r="BS143" s="174"/>
      <c r="BT143" s="174"/>
      <c r="BU143" s="174"/>
      <c r="BV143" s="174"/>
      <c r="BW143" s="174"/>
      <c r="BX143" s="174"/>
      <c r="BY143" s="174"/>
      <c r="BZ143" s="174"/>
      <c r="CA143" s="174"/>
      <c r="CB143" s="174"/>
      <c r="CC143" s="174"/>
      <c r="CD143" s="174"/>
      <c r="CE143" s="174"/>
      <c r="CF143" s="174"/>
      <c r="CG143" s="174"/>
      <c r="CH143" s="174"/>
      <c r="CI143" s="174"/>
      <c r="CJ143" s="174"/>
      <c r="CK143" s="174"/>
      <c r="CL143" s="174"/>
      <c r="CM143" s="174"/>
      <c r="CN143" s="174"/>
      <c r="CO143" s="174"/>
      <c r="CP143" s="174"/>
      <c r="CQ143" s="174"/>
      <c r="CR143" s="174"/>
      <c r="CS143" s="174"/>
      <c r="CT143" s="174"/>
      <c r="CU143" s="174"/>
      <c r="CV143" s="174"/>
      <c r="CW143" s="174"/>
      <c r="CX143" s="174"/>
      <c r="CY143" s="174"/>
      <c r="CZ143" s="174"/>
      <c r="DA143" s="174"/>
      <c r="DB143" s="174"/>
      <c r="DC143" s="174"/>
      <c r="DD143" s="174"/>
      <c r="DE143" s="174"/>
      <c r="DF143" s="174"/>
      <c r="DG143" s="174"/>
      <c r="DH143" s="174"/>
      <c r="DI143" s="174"/>
      <c r="DJ143" s="174"/>
      <c r="DK143" s="174"/>
      <c r="DL143" s="174"/>
      <c r="DM143" s="174"/>
      <c r="DN143" s="174"/>
      <c r="DO143" s="174"/>
      <c r="DP143" s="174"/>
      <c r="DQ143" s="174"/>
      <c r="DR143" s="174"/>
      <c r="DS143" s="174"/>
      <c r="DT143" s="174"/>
      <c r="DU143" s="174"/>
      <c r="DV143" s="174"/>
      <c r="DW143" s="174"/>
      <c r="DX143" s="174"/>
      <c r="DY143" s="174"/>
      <c r="DZ143" s="174"/>
      <c r="EA143" s="174"/>
      <c r="EB143" s="174"/>
      <c r="EC143" s="174"/>
      <c r="ED143" s="174"/>
      <c r="EE143" s="174"/>
      <c r="EF143" s="174"/>
      <c r="EG143" s="174"/>
      <c r="EH143" s="174"/>
      <c r="EI143" s="174"/>
      <c r="EJ143" s="174"/>
      <c r="EK143" s="174"/>
      <c r="EL143" s="174"/>
      <c r="EM143" s="174"/>
      <c r="EN143" s="174"/>
      <c r="EO143" s="174"/>
      <c r="EP143" s="174"/>
      <c r="EQ143" s="174"/>
      <c r="ER143" s="174"/>
      <c r="ES143" s="174"/>
      <c r="ET143" s="174"/>
      <c r="EU143" s="174"/>
      <c r="EV143" s="174"/>
      <c r="EW143" s="174"/>
      <c r="EX143" s="174"/>
      <c r="EY143" s="174"/>
      <c r="EZ143" s="174"/>
      <c r="FA143" s="174"/>
      <c r="FB143" s="174"/>
      <c r="FC143" s="174"/>
      <c r="FD143" s="174"/>
      <c r="FE143" s="174"/>
      <c r="FF143" s="174"/>
      <c r="FG143" s="174"/>
      <c r="FH143" s="174"/>
      <c r="FI143" s="174"/>
      <c r="FJ143" s="174"/>
      <c r="FK143" s="174"/>
      <c r="FL143" s="174"/>
      <c r="FM143" s="174"/>
      <c r="FN143" s="174"/>
      <c r="FO143" s="174"/>
      <c r="FP143" s="174"/>
      <c r="FQ143" s="174"/>
      <c r="FR143" s="174"/>
      <c r="FS143" s="174"/>
      <c r="FT143" s="174"/>
      <c r="FU143" s="174"/>
      <c r="FV143" s="174"/>
      <c r="FW143" s="174"/>
      <c r="FX143" s="174"/>
      <c r="FY143" s="174"/>
      <c r="FZ143" s="174"/>
      <c r="GA143" s="174"/>
      <c r="GB143" s="174"/>
      <c r="GC143" s="174"/>
      <c r="GD143" s="174"/>
      <c r="GE143" s="174"/>
      <c r="GF143" s="174"/>
      <c r="GG143" s="174"/>
      <c r="GH143" s="174"/>
      <c r="GI143" s="174"/>
      <c r="GJ143" s="174"/>
      <c r="GK143" s="174"/>
      <c r="GL143" s="174"/>
      <c r="GM143" s="174"/>
      <c r="GN143" s="174"/>
      <c r="GO143" s="174"/>
      <c r="GP143" s="174"/>
      <c r="GQ143" s="174"/>
      <c r="GR143" s="174"/>
      <c r="GS143" s="174"/>
      <c r="GT143" s="174"/>
      <c r="GU143" s="174"/>
      <c r="GV143" s="174"/>
      <c r="GW143" s="174"/>
      <c r="GX143" s="174"/>
      <c r="GY143" s="174"/>
      <c r="GZ143" s="174"/>
      <c r="HA143" s="174"/>
      <c r="HB143" s="174"/>
      <c r="HC143" s="174"/>
      <c r="HD143" s="174"/>
      <c r="HE143" s="174"/>
      <c r="HF143" s="174"/>
      <c r="HG143" s="174"/>
      <c r="HH143" s="174"/>
      <c r="HI143" s="174"/>
      <c r="HJ143" s="174"/>
      <c r="HK143" s="174"/>
      <c r="HL143" s="174"/>
      <c r="HM143" s="174"/>
      <c r="HN143" s="174"/>
      <c r="HO143" s="174"/>
      <c r="HP143" s="174"/>
      <c r="HQ143" s="174"/>
      <c r="HR143" s="174"/>
      <c r="HS143" s="174"/>
      <c r="HT143" s="174"/>
      <c r="HU143" s="174"/>
      <c r="HV143" s="174"/>
      <c r="HW143" s="174"/>
      <c r="HX143" s="174"/>
      <c r="HY143" s="174"/>
      <c r="HZ143" s="174"/>
      <c r="IA143" s="174"/>
      <c r="IB143" s="174"/>
      <c r="IC143" s="174"/>
      <c r="ID143" s="174"/>
      <c r="IE143" s="174"/>
      <c r="IF143" s="174"/>
      <c r="IG143" s="174"/>
      <c r="IH143" s="174"/>
      <c r="II143" s="174"/>
      <c r="IJ143" s="174"/>
      <c r="IK143" s="174"/>
      <c r="IL143" s="174"/>
      <c r="IM143" s="174"/>
      <c r="IN143" s="174"/>
      <c r="IO143" s="174"/>
      <c r="IP143" s="174"/>
      <c r="IQ143" s="174"/>
      <c r="IR143" s="174"/>
      <c r="IS143" s="174"/>
      <c r="IT143" s="174"/>
      <c r="IU143" s="174"/>
      <c r="IV143" s="174"/>
      <c r="IW143" s="174"/>
    </row>
    <row r="144" customFormat="false" ht="12.75" hidden="false" customHeight="false" outlineLevel="0" collapsed="false">
      <c r="A144" s="152"/>
      <c r="B144" s="127"/>
      <c r="C144" s="218"/>
      <c r="D144" s="174"/>
      <c r="E144" s="229"/>
      <c r="F144" s="174"/>
      <c r="G144" s="229"/>
      <c r="H144" s="174"/>
      <c r="I144" s="229"/>
      <c r="J144" s="174"/>
      <c r="K144" s="24"/>
      <c r="L144" s="174"/>
      <c r="M144" s="24"/>
      <c r="N144" s="174"/>
      <c r="O144" s="24"/>
      <c r="P144" s="174"/>
      <c r="Q144" s="129"/>
      <c r="R144" s="244"/>
      <c r="S144" s="129"/>
      <c r="T144" s="244"/>
      <c r="U144" s="129"/>
      <c r="V144" s="24"/>
      <c r="W144" s="129"/>
      <c r="X144" s="24"/>
      <c r="Y144" s="129"/>
      <c r="Z144" s="24"/>
      <c r="AA144" s="129"/>
      <c r="AB144" s="24"/>
      <c r="AC144" s="129"/>
      <c r="AD144" s="24"/>
      <c r="AE144" s="129"/>
      <c r="AF144" s="129"/>
      <c r="AG144" s="129"/>
      <c r="AH144" s="129"/>
      <c r="AI144" s="129"/>
      <c r="AJ144" s="129"/>
      <c r="AK144" s="129"/>
      <c r="AL144" s="129"/>
      <c r="AM144" s="129"/>
      <c r="AN144" s="129"/>
      <c r="AO144" s="129"/>
      <c r="AP144" s="129"/>
      <c r="AQ144" s="129"/>
      <c r="AS144" s="24"/>
      <c r="AU144" s="129"/>
      <c r="AW144" s="24"/>
      <c r="AX144" s="174"/>
      <c r="AY144" s="24"/>
      <c r="AZ144" s="174"/>
      <c r="BA144" s="24"/>
      <c r="BB144" s="24"/>
      <c r="BC144" s="24"/>
    </row>
    <row r="145" customFormat="false" ht="12.75" hidden="false" customHeight="false" outlineLevel="0" collapsed="false">
      <c r="A145" s="152" t="s">
        <v>397</v>
      </c>
      <c r="B145" s="127"/>
      <c r="C145" s="214" t="s">
        <v>267</v>
      </c>
      <c r="D145" s="174"/>
      <c r="E145" s="229" t="s">
        <v>268</v>
      </c>
      <c r="F145" s="229"/>
      <c r="G145" s="229" t="s">
        <v>269</v>
      </c>
      <c r="H145" s="174"/>
      <c r="I145" s="229"/>
      <c r="J145" s="174"/>
      <c r="K145" s="24" t="n">
        <v>600000</v>
      </c>
      <c r="L145" s="174"/>
      <c r="M145" s="24" t="n">
        <v>68000</v>
      </c>
      <c r="N145" s="174"/>
      <c r="O145" s="24" t="n">
        <f aca="false">SUM(K145:N145)</f>
        <v>668000</v>
      </c>
      <c r="P145" s="174"/>
      <c r="Q145" s="129" t="n">
        <f aca="false">4583+1527.75</f>
        <v>6110.75</v>
      </c>
      <c r="R145" s="244"/>
      <c r="S145" s="129"/>
      <c r="T145" s="244"/>
      <c r="U145" s="129" t="n">
        <f aca="false">1954.84+9531.93</f>
        <v>11486.77</v>
      </c>
      <c r="V145" s="24"/>
      <c r="W145" s="129"/>
      <c r="X145" s="24"/>
      <c r="Y145" s="129"/>
      <c r="Z145" s="24"/>
      <c r="AA145" s="129" t="n">
        <v>91858</v>
      </c>
      <c r="AB145" s="24"/>
      <c r="AC145" s="129" t="n">
        <v>166373</v>
      </c>
      <c r="AD145" s="24"/>
      <c r="AE145" s="129" t="n">
        <v>242196.48</v>
      </c>
      <c r="AF145" s="129"/>
      <c r="AG145" s="129" t="n">
        <v>108545.95</v>
      </c>
      <c r="AH145" s="129"/>
      <c r="AI145" s="129" t="n">
        <v>112784.15</v>
      </c>
      <c r="AJ145" s="129"/>
      <c r="AK145" s="129" t="n">
        <v>37104.92</v>
      </c>
      <c r="AL145" s="129"/>
      <c r="AM145" s="129" t="n">
        <v>7825.49</v>
      </c>
      <c r="AN145" s="129"/>
      <c r="AO145" s="129" t="n">
        <f aca="false">3064-740.92</f>
        <v>2323.08</v>
      </c>
      <c r="AP145" s="129"/>
      <c r="AQ145" s="129" t="n">
        <v>0</v>
      </c>
      <c r="AR145" s="24"/>
      <c r="AS145" s="95" t="n">
        <f aca="false">SUM(P145:AR145)</f>
        <v>786608.59</v>
      </c>
      <c r="AU145" s="129" t="n">
        <f aca="false">706219-668000+83333.33-35845</f>
        <v>85707.33</v>
      </c>
      <c r="AW145" s="95" t="n">
        <f aca="false">IF(+O145-AS145+AU145&gt;0,O145-AS145+AU145,0)</f>
        <v>0</v>
      </c>
      <c r="AX145" s="174"/>
      <c r="AY145" s="24" t="n">
        <f aca="false">+AW145+AS145</f>
        <v>786608.59</v>
      </c>
      <c r="AZ145" s="174"/>
      <c r="BA145" s="95" t="n">
        <f aca="false">O145-AS145-AW145</f>
        <v>-118608.59</v>
      </c>
      <c r="BB145" s="136"/>
      <c r="BC145" s="174" t="s">
        <v>498</v>
      </c>
    </row>
    <row r="146" customFormat="false" ht="12.75" hidden="false" customHeight="false" outlineLevel="0" collapsed="false">
      <c r="A146" s="152"/>
      <c r="B146" s="127" t="s">
        <v>270</v>
      </c>
      <c r="C146" s="214" t="s">
        <v>267</v>
      </c>
      <c r="D146" s="174"/>
      <c r="E146" s="229" t="s">
        <v>268</v>
      </c>
      <c r="F146" s="229"/>
      <c r="G146" s="229" t="s">
        <v>269</v>
      </c>
      <c r="H146" s="174"/>
      <c r="I146" s="229"/>
      <c r="J146" s="174"/>
      <c r="K146" s="24" t="n">
        <v>25000</v>
      </c>
      <c r="L146" s="174"/>
      <c r="M146" s="24" t="n">
        <v>0</v>
      </c>
      <c r="N146" s="174"/>
      <c r="O146" s="24" t="n">
        <f aca="false">SUM(K146:N146)</f>
        <v>25000</v>
      </c>
      <c r="P146" s="174"/>
      <c r="Q146" s="129"/>
      <c r="R146" s="244"/>
      <c r="S146" s="129"/>
      <c r="T146" s="244"/>
      <c r="U146" s="129"/>
      <c r="V146" s="24"/>
      <c r="W146" s="129"/>
      <c r="X146" s="24"/>
      <c r="Y146" s="129"/>
      <c r="Z146" s="24"/>
      <c r="AA146" s="129"/>
      <c r="AB146" s="24"/>
      <c r="AC146" s="129"/>
      <c r="AD146" s="24"/>
      <c r="AE146" s="129"/>
      <c r="AF146" s="129"/>
      <c r="AG146" s="129"/>
      <c r="AH146" s="129"/>
      <c r="AI146" s="129"/>
      <c r="AJ146" s="129"/>
      <c r="AK146" s="129"/>
      <c r="AL146" s="129"/>
      <c r="AM146" s="129"/>
      <c r="AN146" s="129"/>
      <c r="AO146" s="129"/>
      <c r="AP146" s="129"/>
      <c r="AQ146" s="129"/>
      <c r="AR146" s="24"/>
      <c r="AS146" s="95" t="n">
        <f aca="false">SUM(P146:AR146)</f>
        <v>0</v>
      </c>
      <c r="AU146" s="129" t="n">
        <v>-25000</v>
      </c>
      <c r="AW146" s="95" t="n">
        <f aca="false">IF(+O146-AS146+AU146&gt;0,O146-AS146+AU146,0)</f>
        <v>0</v>
      </c>
      <c r="AX146" s="174"/>
      <c r="AY146" s="24" t="n">
        <f aca="false">+AW146+AS146</f>
        <v>0</v>
      </c>
      <c r="AZ146" s="174"/>
      <c r="BA146" s="95" t="n">
        <f aca="false">O146-AS146-AW146</f>
        <v>25000</v>
      </c>
      <c r="BB146" s="136"/>
      <c r="BC146" s="174" t="s">
        <v>498</v>
      </c>
    </row>
    <row r="147" customFormat="false" ht="12.75" hidden="false" customHeight="false" outlineLevel="0" collapsed="false">
      <c r="A147" s="152"/>
      <c r="B147" s="127" t="s">
        <v>499</v>
      </c>
      <c r="C147" s="214"/>
      <c r="D147" s="174"/>
      <c r="E147" s="229"/>
      <c r="F147" s="229"/>
      <c r="G147" s="229"/>
      <c r="H147" s="174"/>
      <c r="I147" s="229"/>
      <c r="J147" s="174"/>
      <c r="K147" s="155" t="n">
        <f aca="false">SUM(K145:K146)</f>
        <v>625000</v>
      </c>
      <c r="L147" s="174"/>
      <c r="M147" s="155" t="n">
        <f aca="false">SUM(M145:M146)</f>
        <v>68000</v>
      </c>
      <c r="N147" s="174"/>
      <c r="O147" s="155" t="n">
        <f aca="false">SUM(O145:O146)</f>
        <v>693000</v>
      </c>
      <c r="P147" s="174"/>
      <c r="Q147" s="155" t="n">
        <f aca="false">SUM(Q145:Q146)</f>
        <v>6110.75</v>
      </c>
      <c r="R147" s="244"/>
      <c r="S147" s="155" t="n">
        <f aca="false">SUM(S145:S146)</f>
        <v>0</v>
      </c>
      <c r="T147" s="244"/>
      <c r="U147" s="155" t="n">
        <f aca="false">SUM(U145:U146)</f>
        <v>11486.77</v>
      </c>
      <c r="V147" s="24"/>
      <c r="W147" s="155" t="n">
        <f aca="false">SUM(W145:W146)</f>
        <v>0</v>
      </c>
      <c r="X147" s="24"/>
      <c r="Y147" s="155" t="n">
        <f aca="false">SUM(Y145:Y146)</f>
        <v>0</v>
      </c>
      <c r="Z147" s="24"/>
      <c r="AA147" s="155" t="n">
        <f aca="false">SUM(AA145:AA146)</f>
        <v>91858</v>
      </c>
      <c r="AB147" s="24"/>
      <c r="AC147" s="155" t="n">
        <f aca="false">SUM(AC145:AC146)</f>
        <v>166373</v>
      </c>
      <c r="AD147" s="24"/>
      <c r="AE147" s="155" t="n">
        <f aca="false">SUM(AE145:AE146)</f>
        <v>242196.48</v>
      </c>
      <c r="AF147" s="24"/>
      <c r="AG147" s="155" t="n">
        <f aca="false">SUM(AG145:AG146)</f>
        <v>108545.95</v>
      </c>
      <c r="AH147" s="24"/>
      <c r="AI147" s="155" t="n">
        <f aca="false">SUM(AI145:AI146)</f>
        <v>112784.15</v>
      </c>
      <c r="AJ147" s="24"/>
      <c r="AK147" s="155" t="n">
        <f aca="false">SUM(AK145:AK146)</f>
        <v>37104.92</v>
      </c>
      <c r="AL147" s="155"/>
      <c r="AM147" s="155" t="n">
        <f aca="false">SUM(AM145:AM146)</f>
        <v>7825.49</v>
      </c>
      <c r="AN147" s="24"/>
      <c r="AO147" s="155" t="n">
        <f aca="false">SUM(AO145:AO146)</f>
        <v>2323.08</v>
      </c>
      <c r="AP147" s="24"/>
      <c r="AQ147" s="155" t="n">
        <f aca="false">SUM(AQ145:AQ146)</f>
        <v>0</v>
      </c>
      <c r="AR147" s="24"/>
      <c r="AS147" s="155" t="n">
        <f aca="false">SUM(AS145:AS146)</f>
        <v>786608.59</v>
      </c>
      <c r="AU147" s="155" t="n">
        <f aca="false">SUM(AU145:AU146)</f>
        <v>60707.33</v>
      </c>
      <c r="AW147" s="155" t="n">
        <f aca="false">SUM(AW145:AW146)</f>
        <v>0</v>
      </c>
      <c r="AX147" s="174"/>
      <c r="AY147" s="155" t="n">
        <f aca="false">SUM(AY145:AY146)</f>
        <v>786608.59</v>
      </c>
      <c r="AZ147" s="174"/>
      <c r="BA147" s="155" t="n">
        <f aca="false">SUM(BA145:BA146)</f>
        <v>-93608.59</v>
      </c>
      <c r="BB147" s="136"/>
      <c r="BC147" s="174"/>
    </row>
    <row r="148" customFormat="false" ht="12.75" hidden="false" customHeight="false" outlineLevel="0" collapsed="false">
      <c r="A148" s="152"/>
      <c r="B148" s="127"/>
      <c r="C148" s="218"/>
      <c r="D148" s="174"/>
      <c r="E148" s="229"/>
      <c r="F148" s="174"/>
      <c r="H148" s="174"/>
      <c r="I148" s="229"/>
      <c r="J148" s="174"/>
      <c r="K148" s="24"/>
      <c r="L148" s="174"/>
      <c r="M148" s="24"/>
      <c r="N148" s="174"/>
      <c r="O148" s="24"/>
      <c r="P148" s="174"/>
      <c r="Q148" s="129"/>
      <c r="R148" s="244"/>
      <c r="S148" s="129"/>
      <c r="T148" s="244"/>
      <c r="U148" s="129"/>
      <c r="V148" s="24"/>
      <c r="W148" s="129"/>
      <c r="X148" s="24"/>
      <c r="Y148" s="129"/>
      <c r="Z148" s="24"/>
      <c r="AA148" s="129"/>
      <c r="AB148" s="24"/>
      <c r="AC148" s="129"/>
      <c r="AD148" s="24"/>
      <c r="AE148" s="129"/>
      <c r="AF148" s="129"/>
      <c r="AG148" s="129"/>
      <c r="AH148" s="129"/>
      <c r="AI148" s="129"/>
      <c r="AJ148" s="129"/>
      <c r="AK148" s="129"/>
      <c r="AL148" s="129"/>
      <c r="AM148" s="129"/>
      <c r="AN148" s="129"/>
      <c r="AO148" s="129"/>
      <c r="AP148" s="129"/>
      <c r="AQ148" s="129"/>
      <c r="AS148" s="24"/>
      <c r="AU148" s="129"/>
      <c r="AW148" s="24"/>
      <c r="AX148" s="174"/>
      <c r="AY148" s="24"/>
      <c r="AZ148" s="174"/>
      <c r="BA148" s="24"/>
      <c r="BB148" s="24"/>
      <c r="BC148" s="24"/>
    </row>
    <row r="149" customFormat="false" ht="12.75" hidden="false" customHeight="false" outlineLevel="0" collapsed="false">
      <c r="A149" s="152" t="s">
        <v>271</v>
      </c>
      <c r="B149" s="127"/>
      <c r="C149" s="218" t="s">
        <v>147</v>
      </c>
      <c r="D149" s="174"/>
      <c r="E149" s="229" t="s">
        <v>272</v>
      </c>
      <c r="F149" s="174"/>
      <c r="G149" s="94" t="s">
        <v>273</v>
      </c>
      <c r="H149" s="174"/>
      <c r="I149" s="229"/>
      <c r="J149" s="174"/>
      <c r="K149" s="24" t="n">
        <v>2000000</v>
      </c>
      <c r="L149" s="174"/>
      <c r="M149" s="24" t="n">
        <v>-1186950</v>
      </c>
      <c r="N149" s="174"/>
      <c r="O149" s="24" t="n">
        <f aca="false">SUM(K149:N149)</f>
        <v>813050</v>
      </c>
      <c r="P149" s="174"/>
      <c r="Q149" s="129" t="n">
        <v>0</v>
      </c>
      <c r="R149" s="244"/>
      <c r="S149" s="129" t="n">
        <v>0</v>
      </c>
      <c r="T149" s="244"/>
      <c r="U149" s="129"/>
      <c r="V149" s="162"/>
      <c r="W149" s="129"/>
      <c r="X149" s="162"/>
      <c r="Y149" s="129"/>
      <c r="Z149" s="162"/>
      <c r="AA149" s="129"/>
      <c r="AB149" s="162"/>
      <c r="AC149" s="129"/>
      <c r="AD149" s="162"/>
      <c r="AE149" s="129"/>
      <c r="AF149" s="129"/>
      <c r="AG149" s="129"/>
      <c r="AH149" s="129"/>
      <c r="AI149" s="129" t="n">
        <v>39922.66</v>
      </c>
      <c r="AJ149" s="129"/>
      <c r="AK149" s="129" t="n">
        <v>689523.59</v>
      </c>
      <c r="AL149" s="129"/>
      <c r="AM149" s="129" t="n">
        <v>18841.83</v>
      </c>
      <c r="AN149" s="129"/>
      <c r="AO149" s="129" t="n">
        <v>0</v>
      </c>
      <c r="AP149" s="129"/>
      <c r="AQ149" s="129" t="n">
        <v>0</v>
      </c>
      <c r="AS149" s="95" t="n">
        <f aca="false">SUM(P149:AR149)</f>
        <v>748288.08</v>
      </c>
      <c r="AU149" s="129"/>
      <c r="AW149" s="95" t="n">
        <f aca="false">IF(+O149-AS149+AU149&gt;0,O149-AS149+AU149,0)</f>
        <v>64761.92</v>
      </c>
      <c r="AX149" s="174"/>
      <c r="AY149" s="95" t="n">
        <f aca="false">+AW149+AS149</f>
        <v>813050</v>
      </c>
      <c r="AZ149" s="174"/>
      <c r="BA149" s="95" t="n">
        <f aca="false">O149-AS149-AW149</f>
        <v>0</v>
      </c>
      <c r="BB149" s="136"/>
      <c r="BC149" s="24" t="s">
        <v>500</v>
      </c>
    </row>
    <row r="150" customFormat="false" ht="12.75" hidden="false" customHeight="false" outlineLevel="0" collapsed="false">
      <c r="A150" s="152"/>
      <c r="B150" s="127"/>
      <c r="C150" s="218"/>
      <c r="D150" s="174"/>
      <c r="E150" s="229"/>
      <c r="F150" s="174"/>
      <c r="H150" s="174"/>
      <c r="I150" s="229"/>
      <c r="J150" s="174"/>
      <c r="K150" s="24"/>
      <c r="L150" s="174"/>
      <c r="M150" s="24"/>
      <c r="N150" s="174"/>
      <c r="O150" s="24"/>
      <c r="P150" s="174"/>
      <c r="V150" s="136"/>
      <c r="X150" s="136"/>
      <c r="Z150" s="136"/>
      <c r="AB150" s="136"/>
      <c r="AD150" s="136"/>
      <c r="AX150" s="174"/>
      <c r="AZ150" s="174"/>
      <c r="BB150" s="136"/>
      <c r="BC150" s="24"/>
    </row>
    <row r="151" customFormat="false" ht="12.75" hidden="false" customHeight="false" outlineLevel="0" collapsed="false">
      <c r="A151" s="152" t="s">
        <v>274</v>
      </c>
      <c r="B151" s="219"/>
      <c r="C151" s="218" t="s">
        <v>147</v>
      </c>
      <c r="E151" s="94" t="s">
        <v>275</v>
      </c>
      <c r="G151" s="94" t="s">
        <v>501</v>
      </c>
      <c r="K151" s="24" t="n">
        <f aca="false">169275</f>
        <v>169275</v>
      </c>
      <c r="M151" s="24" t="n">
        <v>0</v>
      </c>
      <c r="O151" s="24" t="n">
        <f aca="false">SUM(K151:N151)</f>
        <v>169275</v>
      </c>
      <c r="Q151" s="96" t="n">
        <f aca="false">159276+10000</f>
        <v>169276</v>
      </c>
      <c r="V151" s="136"/>
      <c r="X151" s="136"/>
      <c r="Z151" s="136"/>
      <c r="AB151" s="136"/>
      <c r="AC151" s="96" t="n">
        <v>3333.34</v>
      </c>
      <c r="AD151" s="136"/>
      <c r="AS151" s="95" t="n">
        <f aca="false">SUM(P151:AR151)</f>
        <v>172609.34</v>
      </c>
      <c r="AW151" s="95" t="n">
        <f aca="false">IF(+O151-AS151+AU151&gt;0,O151-AS151+AU151,0)</f>
        <v>0</v>
      </c>
      <c r="AX151" s="90"/>
      <c r="AY151" s="95" t="n">
        <f aca="false">+AW151+AS151</f>
        <v>172609.34</v>
      </c>
      <c r="AZ151" s="90"/>
      <c r="BA151" s="95" t="n">
        <f aca="false">O151-AS151-AW151</f>
        <v>-3334.34</v>
      </c>
      <c r="BB151" s="136"/>
      <c r="BC151" s="95" t="s">
        <v>502</v>
      </c>
    </row>
    <row r="152" customFormat="false" ht="12.75" hidden="false" customHeight="false" outlineLevel="0" collapsed="false">
      <c r="A152" s="175"/>
      <c r="B152" s="242" t="s">
        <v>503</v>
      </c>
      <c r="C152" s="239"/>
      <c r="D152" s="240"/>
      <c r="E152" s="241"/>
      <c r="F152" s="240"/>
      <c r="H152" s="240"/>
      <c r="I152" s="241"/>
      <c r="J152" s="240"/>
      <c r="K152" s="162" t="n">
        <v>150000</v>
      </c>
      <c r="L152" s="240"/>
      <c r="M152" s="162" t="n">
        <v>0</v>
      </c>
      <c r="N152" s="240"/>
      <c r="O152" s="162" t="n">
        <f aca="false">SUM(K152:N152)</f>
        <v>150000</v>
      </c>
      <c r="P152" s="240"/>
      <c r="Q152" s="96" t="n">
        <v>0</v>
      </c>
      <c r="S152" s="96" t="n">
        <v>0</v>
      </c>
      <c r="V152" s="136"/>
      <c r="X152" s="136"/>
      <c r="Z152" s="136"/>
      <c r="AB152" s="136"/>
      <c r="AD152" s="136"/>
      <c r="AS152" s="95" t="n">
        <f aca="false">SUM(P152:AR152)</f>
        <v>0</v>
      </c>
      <c r="AT152" s="240"/>
      <c r="AV152" s="240"/>
      <c r="AW152" s="95" t="n">
        <v>0</v>
      </c>
      <c r="AX152" s="90"/>
      <c r="AY152" s="95" t="n">
        <f aca="false">+AW152+AS152</f>
        <v>0</v>
      </c>
      <c r="AZ152" s="90"/>
      <c r="BA152" s="95" t="n">
        <f aca="false">O152-AS152-AW152</f>
        <v>150000</v>
      </c>
      <c r="BB152" s="136"/>
      <c r="BC152" s="136"/>
      <c r="BD152" s="136"/>
      <c r="BE152" s="240"/>
      <c r="BF152" s="240"/>
      <c r="BG152" s="240"/>
      <c r="BH152" s="240"/>
      <c r="BI152" s="240"/>
      <c r="BJ152" s="240"/>
      <c r="BK152" s="240"/>
      <c r="BL152" s="240"/>
      <c r="BM152" s="240"/>
      <c r="BN152" s="240"/>
      <c r="BO152" s="240"/>
      <c r="BP152" s="240"/>
      <c r="BQ152" s="240"/>
      <c r="BR152" s="240"/>
      <c r="BS152" s="240"/>
      <c r="BT152" s="240"/>
      <c r="BU152" s="240"/>
      <c r="BV152" s="240"/>
      <c r="BW152" s="240"/>
      <c r="BX152" s="240"/>
      <c r="BY152" s="240"/>
      <c r="BZ152" s="240"/>
      <c r="CA152" s="240"/>
      <c r="CB152" s="240"/>
      <c r="CC152" s="240"/>
      <c r="CD152" s="240"/>
      <c r="CE152" s="240"/>
      <c r="CF152" s="240"/>
      <c r="CG152" s="240"/>
      <c r="CH152" s="240"/>
      <c r="CI152" s="240"/>
      <c r="CJ152" s="240"/>
      <c r="CK152" s="240"/>
      <c r="CL152" s="240"/>
      <c r="CM152" s="240"/>
      <c r="CN152" s="240"/>
      <c r="CO152" s="240"/>
      <c r="CP152" s="240"/>
      <c r="CQ152" s="240"/>
      <c r="CR152" s="240"/>
      <c r="CS152" s="240"/>
      <c r="CT152" s="240"/>
      <c r="CU152" s="240"/>
      <c r="CV152" s="240"/>
      <c r="CW152" s="240"/>
      <c r="CX152" s="240"/>
      <c r="CY152" s="240"/>
      <c r="CZ152" s="240"/>
      <c r="DA152" s="240"/>
      <c r="DB152" s="240"/>
      <c r="DC152" s="240"/>
      <c r="DD152" s="240"/>
      <c r="DE152" s="240"/>
      <c r="DF152" s="240"/>
      <c r="DG152" s="240"/>
      <c r="DH152" s="240"/>
      <c r="DI152" s="240"/>
      <c r="DJ152" s="240"/>
      <c r="DK152" s="240"/>
      <c r="DL152" s="240"/>
      <c r="DM152" s="240"/>
      <c r="DN152" s="240"/>
      <c r="DO152" s="240"/>
      <c r="DP152" s="240"/>
      <c r="DQ152" s="240"/>
      <c r="DR152" s="240"/>
      <c r="DS152" s="240"/>
      <c r="DT152" s="240"/>
      <c r="DU152" s="240"/>
      <c r="DV152" s="240"/>
      <c r="DW152" s="240"/>
      <c r="DX152" s="240"/>
      <c r="DY152" s="240"/>
      <c r="DZ152" s="240"/>
      <c r="EA152" s="240"/>
      <c r="EB152" s="240"/>
      <c r="EC152" s="240"/>
      <c r="ED152" s="240"/>
      <c r="EE152" s="240"/>
      <c r="EF152" s="240"/>
      <c r="EG152" s="240"/>
      <c r="EH152" s="240"/>
      <c r="EI152" s="240"/>
      <c r="EJ152" s="240"/>
      <c r="EK152" s="240"/>
      <c r="EL152" s="240"/>
      <c r="EM152" s="240"/>
      <c r="EN152" s="240"/>
      <c r="EO152" s="240"/>
      <c r="EP152" s="240"/>
      <c r="EQ152" s="240"/>
      <c r="ER152" s="240"/>
      <c r="ES152" s="240"/>
      <c r="ET152" s="240"/>
      <c r="EU152" s="240"/>
      <c r="EV152" s="240"/>
      <c r="EW152" s="240"/>
      <c r="EX152" s="240"/>
      <c r="EY152" s="240"/>
      <c r="EZ152" s="240"/>
      <c r="FA152" s="240"/>
      <c r="FB152" s="240"/>
      <c r="FC152" s="240"/>
      <c r="FD152" s="240"/>
      <c r="FE152" s="240"/>
      <c r="FF152" s="240"/>
      <c r="FG152" s="240"/>
      <c r="FH152" s="240"/>
      <c r="FI152" s="240"/>
      <c r="FJ152" s="240"/>
      <c r="FK152" s="240"/>
      <c r="FL152" s="240"/>
      <c r="FM152" s="240"/>
      <c r="FN152" s="240"/>
      <c r="FO152" s="240"/>
      <c r="FP152" s="240"/>
      <c r="FQ152" s="240"/>
      <c r="FR152" s="240"/>
      <c r="FS152" s="240"/>
      <c r="FT152" s="240"/>
      <c r="FU152" s="240"/>
      <c r="FV152" s="240"/>
      <c r="FW152" s="240"/>
      <c r="FX152" s="240"/>
      <c r="FY152" s="240"/>
      <c r="FZ152" s="240"/>
      <c r="GA152" s="240"/>
      <c r="GB152" s="240"/>
      <c r="GC152" s="240"/>
      <c r="GD152" s="240"/>
      <c r="GE152" s="240"/>
      <c r="GF152" s="240"/>
      <c r="GG152" s="240"/>
      <c r="GH152" s="240"/>
      <c r="GI152" s="240"/>
      <c r="GJ152" s="240"/>
      <c r="GK152" s="240"/>
      <c r="GL152" s="240"/>
      <c r="GM152" s="240"/>
      <c r="GN152" s="240"/>
      <c r="GO152" s="240"/>
      <c r="GP152" s="240"/>
      <c r="GQ152" s="240"/>
      <c r="GR152" s="240"/>
      <c r="GS152" s="240"/>
      <c r="GT152" s="240"/>
      <c r="GU152" s="240"/>
      <c r="GV152" s="240"/>
      <c r="GW152" s="240"/>
      <c r="GX152" s="240"/>
      <c r="GY152" s="240"/>
      <c r="GZ152" s="240"/>
      <c r="HA152" s="240"/>
      <c r="HB152" s="240"/>
      <c r="HC152" s="240"/>
      <c r="HD152" s="240"/>
      <c r="HE152" s="240"/>
      <c r="HF152" s="240"/>
      <c r="HG152" s="240"/>
      <c r="HH152" s="240"/>
      <c r="HI152" s="240"/>
      <c r="HJ152" s="240"/>
      <c r="HK152" s="240"/>
      <c r="HL152" s="240"/>
      <c r="HM152" s="240"/>
      <c r="HN152" s="240"/>
      <c r="HO152" s="240"/>
      <c r="HP152" s="240"/>
      <c r="HQ152" s="240"/>
      <c r="HR152" s="240"/>
      <c r="HS152" s="240"/>
      <c r="HT152" s="240"/>
      <c r="HU152" s="240"/>
      <c r="HV152" s="240"/>
      <c r="HW152" s="240"/>
      <c r="HX152" s="240"/>
      <c r="HY152" s="240"/>
      <c r="HZ152" s="240"/>
      <c r="IA152" s="240"/>
      <c r="IB152" s="240"/>
      <c r="IC152" s="240"/>
      <c r="ID152" s="240"/>
      <c r="IE152" s="240"/>
      <c r="IF152" s="240"/>
      <c r="IG152" s="240"/>
      <c r="IH152" s="240"/>
      <c r="II152" s="240"/>
      <c r="IJ152" s="240"/>
      <c r="IK152" s="240"/>
      <c r="IL152" s="240"/>
      <c r="IM152" s="240"/>
      <c r="IN152" s="240"/>
      <c r="IO152" s="240"/>
      <c r="IP152" s="240"/>
      <c r="IQ152" s="240"/>
      <c r="IR152" s="240"/>
      <c r="IS152" s="240"/>
      <c r="IT152" s="240"/>
      <c r="IU152" s="240"/>
      <c r="IV152" s="240"/>
      <c r="IW152" s="240"/>
    </row>
    <row r="153" customFormat="false" ht="12.75" hidden="false" customHeight="false" outlineLevel="0" collapsed="false">
      <c r="A153" s="175"/>
      <c r="B153" s="219" t="s">
        <v>504</v>
      </c>
      <c r="C153" s="239"/>
      <c r="D153" s="240"/>
      <c r="E153" s="241"/>
      <c r="F153" s="240"/>
      <c r="H153" s="240"/>
      <c r="I153" s="241"/>
      <c r="J153" s="240"/>
      <c r="K153" s="155" t="n">
        <f aca="false">SUM(K151:K152)</f>
        <v>319275</v>
      </c>
      <c r="L153" s="240"/>
      <c r="M153" s="155" t="n">
        <f aca="false">SUM(M151:M152)</f>
        <v>0</v>
      </c>
      <c r="N153" s="240"/>
      <c r="O153" s="155" t="n">
        <f aca="false">SUM(O151:O152)</f>
        <v>319275</v>
      </c>
      <c r="P153" s="240"/>
      <c r="Q153" s="155" t="n">
        <f aca="false">SUM(Q151:Q152)</f>
        <v>169276</v>
      </c>
      <c r="S153" s="155" t="n">
        <f aca="false">SUM(S151:S152)</f>
        <v>0</v>
      </c>
      <c r="U153" s="155" t="n">
        <f aca="false">SUM(U151:U152)</f>
        <v>0</v>
      </c>
      <c r="V153" s="136"/>
      <c r="W153" s="155" t="n">
        <f aca="false">SUM(W151:W152)</f>
        <v>0</v>
      </c>
      <c r="X153" s="136"/>
      <c r="Y153" s="155" t="n">
        <f aca="false">SUM(Y151:Y152)</f>
        <v>0</v>
      </c>
      <c r="Z153" s="136"/>
      <c r="AA153" s="155" t="n">
        <f aca="false">SUM(AA151:AA152)</f>
        <v>0</v>
      </c>
      <c r="AB153" s="136"/>
      <c r="AC153" s="155" t="n">
        <f aca="false">SUM(AC151:AC152)</f>
        <v>3333.34</v>
      </c>
      <c r="AD153" s="136"/>
      <c r="AE153" s="155" t="n">
        <f aca="false">SUM(AE151:AE152)</f>
        <v>0</v>
      </c>
      <c r="AF153" s="24"/>
      <c r="AG153" s="155" t="n">
        <f aca="false">SUM(AG151:AG152)</f>
        <v>0</v>
      </c>
      <c r="AH153" s="24"/>
      <c r="AI153" s="155" t="n">
        <f aca="false">SUM(AI151:AI152)</f>
        <v>0</v>
      </c>
      <c r="AJ153" s="24"/>
      <c r="AK153" s="155" t="n">
        <f aca="false">SUM(AK151:AK152)</f>
        <v>0</v>
      </c>
      <c r="AL153" s="155"/>
      <c r="AM153" s="155" t="n">
        <f aca="false">SUM(AM151:AM152)</f>
        <v>0</v>
      </c>
      <c r="AN153" s="24"/>
      <c r="AO153" s="155" t="n">
        <f aca="false">SUM(AO151:AO152)</f>
        <v>0</v>
      </c>
      <c r="AP153" s="24"/>
      <c r="AQ153" s="155" t="n">
        <f aca="false">SUM(AQ151:AQ152)</f>
        <v>0</v>
      </c>
      <c r="AS153" s="155" t="n">
        <f aca="false">SUM(AS151:AS152)</f>
        <v>172609.34</v>
      </c>
      <c r="AT153" s="240"/>
      <c r="AU153" s="155" t="n">
        <f aca="false">SUM(AU151:AU152)</f>
        <v>0</v>
      </c>
      <c r="AV153" s="240"/>
      <c r="AW153" s="155" t="n">
        <f aca="false">SUM(AW151:AW152)</f>
        <v>0</v>
      </c>
      <c r="AX153" s="90"/>
      <c r="AY153" s="155" t="n">
        <f aca="false">SUM(AY151:AY152)</f>
        <v>172609.34</v>
      </c>
      <c r="AZ153" s="90"/>
      <c r="BA153" s="155" t="n">
        <f aca="false">SUM(BA151:BA152)</f>
        <v>146665.66</v>
      </c>
      <c r="BB153" s="136"/>
      <c r="BC153" s="136"/>
      <c r="BD153" s="136"/>
      <c r="BE153" s="240"/>
      <c r="BF153" s="240"/>
      <c r="BG153" s="240"/>
      <c r="BH153" s="240"/>
      <c r="BI153" s="240"/>
      <c r="BJ153" s="240"/>
      <c r="BK153" s="240"/>
      <c r="BL153" s="240"/>
      <c r="BM153" s="240"/>
      <c r="BN153" s="240"/>
      <c r="BO153" s="240"/>
      <c r="BP153" s="240"/>
      <c r="BQ153" s="240"/>
      <c r="BR153" s="240"/>
      <c r="BS153" s="240"/>
      <c r="BT153" s="240"/>
      <c r="BU153" s="240"/>
      <c r="BV153" s="240"/>
      <c r="BW153" s="240"/>
      <c r="BX153" s="240"/>
      <c r="BY153" s="240"/>
      <c r="BZ153" s="240"/>
      <c r="CA153" s="240"/>
      <c r="CB153" s="240"/>
      <c r="CC153" s="240"/>
      <c r="CD153" s="240"/>
      <c r="CE153" s="240"/>
      <c r="CF153" s="240"/>
      <c r="CG153" s="240"/>
      <c r="CH153" s="240"/>
      <c r="CI153" s="240"/>
      <c r="CJ153" s="240"/>
      <c r="CK153" s="240"/>
      <c r="CL153" s="240"/>
      <c r="CM153" s="240"/>
      <c r="CN153" s="240"/>
      <c r="CO153" s="240"/>
      <c r="CP153" s="240"/>
      <c r="CQ153" s="240"/>
      <c r="CR153" s="240"/>
      <c r="CS153" s="240"/>
      <c r="CT153" s="240"/>
      <c r="CU153" s="240"/>
      <c r="CV153" s="240"/>
      <c r="CW153" s="240"/>
      <c r="CX153" s="240"/>
      <c r="CY153" s="240"/>
      <c r="CZ153" s="240"/>
      <c r="DA153" s="240"/>
      <c r="DB153" s="240"/>
      <c r="DC153" s="240"/>
      <c r="DD153" s="240"/>
      <c r="DE153" s="240"/>
      <c r="DF153" s="240"/>
      <c r="DG153" s="240"/>
      <c r="DH153" s="240"/>
      <c r="DI153" s="240"/>
      <c r="DJ153" s="240"/>
      <c r="DK153" s="240"/>
      <c r="DL153" s="240"/>
      <c r="DM153" s="240"/>
      <c r="DN153" s="240"/>
      <c r="DO153" s="240"/>
      <c r="DP153" s="240"/>
      <c r="DQ153" s="240"/>
      <c r="DR153" s="240"/>
      <c r="DS153" s="240"/>
      <c r="DT153" s="240"/>
      <c r="DU153" s="240"/>
      <c r="DV153" s="240"/>
      <c r="DW153" s="240"/>
      <c r="DX153" s="240"/>
      <c r="DY153" s="240"/>
      <c r="DZ153" s="240"/>
      <c r="EA153" s="240"/>
      <c r="EB153" s="240"/>
      <c r="EC153" s="240"/>
      <c r="ED153" s="240"/>
      <c r="EE153" s="240"/>
      <c r="EF153" s="240"/>
      <c r="EG153" s="240"/>
      <c r="EH153" s="240"/>
      <c r="EI153" s="240"/>
      <c r="EJ153" s="240"/>
      <c r="EK153" s="240"/>
      <c r="EL153" s="240"/>
      <c r="EM153" s="240"/>
      <c r="EN153" s="240"/>
      <c r="EO153" s="240"/>
      <c r="EP153" s="240"/>
      <c r="EQ153" s="240"/>
      <c r="ER153" s="240"/>
      <c r="ES153" s="240"/>
      <c r="ET153" s="240"/>
      <c r="EU153" s="240"/>
      <c r="EV153" s="240"/>
      <c r="EW153" s="240"/>
      <c r="EX153" s="240"/>
      <c r="EY153" s="240"/>
      <c r="EZ153" s="240"/>
      <c r="FA153" s="240"/>
      <c r="FB153" s="240"/>
      <c r="FC153" s="240"/>
      <c r="FD153" s="240"/>
      <c r="FE153" s="240"/>
      <c r="FF153" s="240"/>
      <c r="FG153" s="240"/>
      <c r="FH153" s="240"/>
      <c r="FI153" s="240"/>
      <c r="FJ153" s="240"/>
      <c r="FK153" s="240"/>
      <c r="FL153" s="240"/>
      <c r="FM153" s="240"/>
      <c r="FN153" s="240"/>
      <c r="FO153" s="240"/>
      <c r="FP153" s="240"/>
      <c r="FQ153" s="240"/>
      <c r="FR153" s="240"/>
      <c r="FS153" s="240"/>
      <c r="FT153" s="240"/>
      <c r="FU153" s="240"/>
      <c r="FV153" s="240"/>
      <c r="FW153" s="240"/>
      <c r="FX153" s="240"/>
      <c r="FY153" s="240"/>
      <c r="FZ153" s="240"/>
      <c r="GA153" s="240"/>
      <c r="GB153" s="240"/>
      <c r="GC153" s="240"/>
      <c r="GD153" s="240"/>
      <c r="GE153" s="240"/>
      <c r="GF153" s="240"/>
      <c r="GG153" s="240"/>
      <c r="GH153" s="240"/>
      <c r="GI153" s="240"/>
      <c r="GJ153" s="240"/>
      <c r="GK153" s="240"/>
      <c r="GL153" s="240"/>
      <c r="GM153" s="240"/>
      <c r="GN153" s="240"/>
      <c r="GO153" s="240"/>
      <c r="GP153" s="240"/>
      <c r="GQ153" s="240"/>
      <c r="GR153" s="240"/>
      <c r="GS153" s="240"/>
      <c r="GT153" s="240"/>
      <c r="GU153" s="240"/>
      <c r="GV153" s="240"/>
      <c r="GW153" s="240"/>
      <c r="GX153" s="240"/>
      <c r="GY153" s="240"/>
      <c r="GZ153" s="240"/>
      <c r="HA153" s="240"/>
      <c r="HB153" s="240"/>
      <c r="HC153" s="240"/>
      <c r="HD153" s="240"/>
      <c r="HE153" s="240"/>
      <c r="HF153" s="240"/>
      <c r="HG153" s="240"/>
      <c r="HH153" s="240"/>
      <c r="HI153" s="240"/>
      <c r="HJ153" s="240"/>
      <c r="HK153" s="240"/>
      <c r="HL153" s="240"/>
      <c r="HM153" s="240"/>
      <c r="HN153" s="240"/>
      <c r="HO153" s="240"/>
      <c r="HP153" s="240"/>
      <c r="HQ153" s="240"/>
      <c r="HR153" s="240"/>
      <c r="HS153" s="240"/>
      <c r="HT153" s="240"/>
      <c r="HU153" s="240"/>
      <c r="HV153" s="240"/>
      <c r="HW153" s="240"/>
      <c r="HX153" s="240"/>
      <c r="HY153" s="240"/>
      <c r="HZ153" s="240"/>
      <c r="IA153" s="240"/>
      <c r="IB153" s="240"/>
      <c r="IC153" s="240"/>
      <c r="ID153" s="240"/>
      <c r="IE153" s="240"/>
      <c r="IF153" s="240"/>
      <c r="IG153" s="240"/>
      <c r="IH153" s="240"/>
      <c r="II153" s="240"/>
      <c r="IJ153" s="240"/>
      <c r="IK153" s="240"/>
      <c r="IL153" s="240"/>
      <c r="IM153" s="240"/>
      <c r="IN153" s="240"/>
      <c r="IO153" s="240"/>
      <c r="IP153" s="240"/>
      <c r="IQ153" s="240"/>
      <c r="IR153" s="240"/>
      <c r="IS153" s="240"/>
      <c r="IT153" s="240"/>
      <c r="IU153" s="240"/>
      <c r="IV153" s="240"/>
      <c r="IW153" s="240"/>
    </row>
    <row r="154" customFormat="false" ht="12.75" hidden="false" customHeight="false" outlineLevel="0" collapsed="false">
      <c r="A154" s="225"/>
      <c r="B154" s="132"/>
      <c r="C154" s="218"/>
      <c r="K154" s="24"/>
      <c r="M154" s="24"/>
      <c r="O154" s="24"/>
      <c r="AX154" s="90"/>
      <c r="AZ154" s="90"/>
      <c r="BB154" s="95"/>
      <c r="BC154" s="95"/>
    </row>
    <row r="155" customFormat="false" ht="12.75" hidden="false" customHeight="false" outlineLevel="0" collapsed="false">
      <c r="A155" s="152" t="s">
        <v>281</v>
      </c>
      <c r="B155" s="219"/>
      <c r="C155" s="218" t="s">
        <v>147</v>
      </c>
      <c r="E155" s="94" t="s">
        <v>169</v>
      </c>
      <c r="G155" s="94" t="s">
        <v>409</v>
      </c>
      <c r="K155" s="24" t="n">
        <v>500000</v>
      </c>
      <c r="M155" s="24" t="n">
        <v>-310000</v>
      </c>
      <c r="O155" s="24" t="n">
        <f aca="false">SUM(K155:N155)</f>
        <v>190000</v>
      </c>
      <c r="Q155" s="96" t="n">
        <f aca="false">57953.3+6951.7+29178.42+1522.63+54679.49+10804.68</f>
        <v>161090.22</v>
      </c>
      <c r="S155" s="96" t="n">
        <f aca="false">48441.13</f>
        <v>48441.13</v>
      </c>
      <c r="V155" s="136"/>
      <c r="W155" s="96" t="n">
        <f aca="false">12317</f>
        <v>12317</v>
      </c>
      <c r="X155" s="136"/>
      <c r="Z155" s="136"/>
      <c r="AB155" s="136"/>
      <c r="AC155" s="96" t="n">
        <v>11450.36</v>
      </c>
      <c r="AD155" s="136"/>
      <c r="AG155" s="96" t="n">
        <v>10800</v>
      </c>
      <c r="AS155" s="95" t="n">
        <f aca="false">SUM(P155:AR155)</f>
        <v>244098.71</v>
      </c>
      <c r="AW155" s="95" t="n">
        <f aca="false">IF(+O155-AS155+AU155&gt;0,O155-AS155+AU155,0)</f>
        <v>0</v>
      </c>
      <c r="AX155" s="90"/>
      <c r="AY155" s="95" t="n">
        <f aca="false">+AW155+AS155</f>
        <v>244098.71</v>
      </c>
      <c r="AZ155" s="90"/>
      <c r="BA155" s="95" t="n">
        <f aca="false">O155-AS155-AW155</f>
        <v>-54098.71</v>
      </c>
      <c r="BB155" s="136"/>
      <c r="BC155" s="95"/>
    </row>
    <row r="156" customFormat="false" ht="12.75" hidden="false" customHeight="false" outlineLevel="0" collapsed="false">
      <c r="A156" s="225"/>
      <c r="B156" s="132" t="s">
        <v>335</v>
      </c>
      <c r="C156" s="218"/>
      <c r="K156" s="24"/>
      <c r="M156" s="24"/>
      <c r="O156" s="24"/>
      <c r="U156" s="96" t="n">
        <v>204.75</v>
      </c>
      <c r="AG156" s="96" t="n">
        <v>4030</v>
      </c>
      <c r="AI156" s="96" t="n">
        <v>130</v>
      </c>
      <c r="AM156" s="96" t="n">
        <f aca="false">250+106190</f>
        <v>106440</v>
      </c>
      <c r="AS156" s="95" t="n">
        <f aca="false">SUM(P156:AR156)</f>
        <v>110804.75</v>
      </c>
      <c r="AW156" s="95" t="n">
        <f aca="false">IF(+O156-AS156+AU156&gt;0,O156-AS156+AU156,0)</f>
        <v>0</v>
      </c>
      <c r="AX156" s="90"/>
      <c r="AY156" s="95" t="n">
        <f aca="false">+AW156+AS156</f>
        <v>110804.75</v>
      </c>
      <c r="AZ156" s="90"/>
      <c r="BA156" s="95" t="n">
        <f aca="false">O156-AS156-AW156</f>
        <v>-110804.75</v>
      </c>
      <c r="BB156" s="95"/>
      <c r="BC156" s="95"/>
    </row>
    <row r="157" customFormat="false" ht="12.75" hidden="false" customHeight="false" outlineLevel="0" collapsed="false">
      <c r="A157" s="225"/>
      <c r="B157" s="132"/>
      <c r="C157" s="218"/>
      <c r="K157" s="155" t="n">
        <f aca="false">SUM(K155:K156)</f>
        <v>500000</v>
      </c>
      <c r="M157" s="155" t="n">
        <f aca="false">SUM(M155:M156)</f>
        <v>-310000</v>
      </c>
      <c r="O157" s="155" t="n">
        <f aca="false">SUM(O155:O156)</f>
        <v>190000</v>
      </c>
      <c r="Q157" s="155" t="n">
        <f aca="false">SUM(Q155:Q156)</f>
        <v>161090.22</v>
      </c>
      <c r="S157" s="155" t="n">
        <f aca="false">SUM(S155:S156)</f>
        <v>48441.13</v>
      </c>
      <c r="U157" s="155" t="n">
        <f aca="false">SUM(U155:U156)</f>
        <v>204.75</v>
      </c>
      <c r="W157" s="155" t="n">
        <f aca="false">SUM(W155:W156)</f>
        <v>12317</v>
      </c>
      <c r="Y157" s="155" t="n">
        <f aca="false">SUM(Y155:Y156)</f>
        <v>0</v>
      </c>
      <c r="AA157" s="155" t="n">
        <f aca="false">SUM(AA155:AA156)</f>
        <v>0</v>
      </c>
      <c r="AC157" s="155" t="n">
        <f aca="false">SUM(AC155:AC156)</f>
        <v>11450.36</v>
      </c>
      <c r="AE157" s="155" t="n">
        <f aca="false">SUM(AE155:AE156)</f>
        <v>0</v>
      </c>
      <c r="AF157" s="24"/>
      <c r="AG157" s="155" t="n">
        <f aca="false">SUM(AG155:AG156)</f>
        <v>14830</v>
      </c>
      <c r="AH157" s="24"/>
      <c r="AI157" s="155" t="n">
        <f aca="false">SUM(AI155:AI156)</f>
        <v>130</v>
      </c>
      <c r="AJ157" s="24"/>
      <c r="AK157" s="155" t="n">
        <f aca="false">SUM(AK155:AK156)</f>
        <v>0</v>
      </c>
      <c r="AL157" s="155"/>
      <c r="AM157" s="155" t="n">
        <f aca="false">SUM(AM155:AM156)</f>
        <v>106440</v>
      </c>
      <c r="AN157" s="24"/>
      <c r="AO157" s="155" t="n">
        <f aca="false">SUM(AO155:AO156)</f>
        <v>0</v>
      </c>
      <c r="AP157" s="24"/>
      <c r="AQ157" s="155" t="n">
        <f aca="false">SUM(AQ155:AQ156)</f>
        <v>0</v>
      </c>
      <c r="AS157" s="155" t="n">
        <f aca="false">SUM(AS155:AS156)</f>
        <v>354903.46</v>
      </c>
      <c r="AU157" s="155" t="n">
        <f aca="false">SUM(AU155:AU156)</f>
        <v>0</v>
      </c>
      <c r="AW157" s="155" t="n">
        <f aca="false">SUM(AW155:AW156)</f>
        <v>0</v>
      </c>
      <c r="AX157" s="90"/>
      <c r="AY157" s="155" t="n">
        <f aca="false">SUM(AY155:AY156)</f>
        <v>354903.46</v>
      </c>
      <c r="AZ157" s="90"/>
      <c r="BA157" s="155" t="n">
        <f aca="false">SUM(BA155:BA156)</f>
        <v>-164903.46</v>
      </c>
      <c r="BB157" s="95"/>
      <c r="BC157" s="95"/>
    </row>
    <row r="158" customFormat="false" ht="12.75" hidden="false" customHeight="false" outlineLevel="0" collapsed="false">
      <c r="A158" s="225"/>
      <c r="B158" s="132"/>
      <c r="C158" s="218"/>
      <c r="K158" s="24"/>
      <c r="M158" s="24"/>
      <c r="O158" s="24"/>
      <c r="AX158" s="90"/>
      <c r="AZ158" s="90"/>
      <c r="BB158" s="95"/>
      <c r="BC158" s="95"/>
    </row>
    <row r="159" customFormat="false" ht="12.75" hidden="false" customHeight="false" outlineLevel="0" collapsed="false">
      <c r="A159" s="152" t="s">
        <v>290</v>
      </c>
      <c r="B159" s="219"/>
      <c r="C159" s="218" t="s">
        <v>147</v>
      </c>
      <c r="E159" s="94" t="s">
        <v>275</v>
      </c>
      <c r="G159" s="94" t="s">
        <v>291</v>
      </c>
      <c r="K159" s="24" t="n">
        <v>0</v>
      </c>
      <c r="M159" s="24" t="n">
        <v>0</v>
      </c>
      <c r="O159" s="24" t="n">
        <f aca="false">SUM(K159:N159)</f>
        <v>0</v>
      </c>
      <c r="Q159" s="96" t="n">
        <v>0</v>
      </c>
      <c r="S159" s="96" t="n">
        <v>0</v>
      </c>
      <c r="AS159" s="95" t="n">
        <f aca="false">SUM(P159:AR159)</f>
        <v>0</v>
      </c>
      <c r="AW159" s="95" t="n">
        <f aca="false">IF(+O159-AS159+AU159&gt;0,O159-AS159+AU159,0)</f>
        <v>0</v>
      </c>
      <c r="AX159" s="90"/>
      <c r="AY159" s="95" t="n">
        <f aca="false">+AW159+AS159</f>
        <v>0</v>
      </c>
      <c r="AZ159" s="90"/>
      <c r="BA159" s="95" t="n">
        <f aca="false">O159-AS159-AW159</f>
        <v>0</v>
      </c>
      <c r="BB159" s="136"/>
      <c r="BC159" s="95" t="s">
        <v>505</v>
      </c>
    </row>
    <row r="160" customFormat="false" ht="12.75" hidden="false" customHeight="false" outlineLevel="0" collapsed="false">
      <c r="A160" s="225"/>
      <c r="B160" s="132"/>
      <c r="C160" s="218"/>
      <c r="K160" s="24"/>
      <c r="M160" s="24"/>
      <c r="O160" s="24"/>
      <c r="AX160" s="90"/>
      <c r="AZ160" s="90"/>
      <c r="BB160" s="95"/>
      <c r="BC160" s="95"/>
    </row>
    <row r="161" customFormat="false" ht="12.75" hidden="false" customHeight="false" outlineLevel="0" collapsed="false">
      <c r="A161" s="152" t="s">
        <v>292</v>
      </c>
      <c r="B161" s="219"/>
      <c r="C161" s="218" t="s">
        <v>147</v>
      </c>
      <c r="E161" s="94" t="s">
        <v>275</v>
      </c>
      <c r="G161" s="94" t="s">
        <v>293</v>
      </c>
      <c r="I161" s="241"/>
      <c r="K161" s="24"/>
      <c r="M161" s="24"/>
      <c r="O161" s="24"/>
      <c r="AX161" s="90"/>
      <c r="AY161" s="95" t="n">
        <f aca="false">+AW161+AS161</f>
        <v>0</v>
      </c>
      <c r="AZ161" s="90"/>
      <c r="BB161" s="95"/>
      <c r="BC161" s="90" t="s">
        <v>412</v>
      </c>
    </row>
    <row r="162" customFormat="false" ht="12.75" hidden="false" customHeight="false" outlineLevel="0" collapsed="false">
      <c r="A162" s="152"/>
      <c r="B162" s="219" t="s">
        <v>294</v>
      </c>
      <c r="C162" s="218"/>
      <c r="K162" s="24" t="n">
        <v>1674539</v>
      </c>
      <c r="M162" s="24" t="n">
        <v>0</v>
      </c>
      <c r="O162" s="24" t="n">
        <f aca="false">SUM(K162:N162)</f>
        <v>1674539</v>
      </c>
      <c r="Q162" s="96" t="n">
        <v>0</v>
      </c>
      <c r="S162" s="96" t="n">
        <v>0</v>
      </c>
      <c r="U162" s="96" t="n">
        <v>71059.96</v>
      </c>
      <c r="AA162" s="96" t="n">
        <f aca="false">142161+342138.67+222890.65</f>
        <v>707190.32</v>
      </c>
      <c r="AE162" s="96" t="n">
        <v>644133.13</v>
      </c>
      <c r="AG162" s="96" t="n">
        <v>169598.18</v>
      </c>
      <c r="AI162" s="96" t="n">
        <v>127893.85</v>
      </c>
      <c r="AS162" s="95" t="n">
        <f aca="false">SUM(P162:AR162)</f>
        <v>1719875.44</v>
      </c>
      <c r="AW162" s="95" t="n">
        <f aca="false">IF(+O162-AS162+AU162&gt;0,O162-AS162+AU162,0)</f>
        <v>0</v>
      </c>
      <c r="AX162" s="90"/>
      <c r="AY162" s="95" t="n">
        <f aca="false">+AW162+AS162</f>
        <v>1719875.44</v>
      </c>
      <c r="AZ162" s="90"/>
      <c r="BA162" s="95" t="n">
        <f aca="false">O162-AS162-AW162</f>
        <v>-45336.4399999999</v>
      </c>
      <c r="BB162" s="136"/>
      <c r="BC162" s="95"/>
    </row>
    <row r="163" customFormat="false" ht="12.75" hidden="false" customHeight="false" outlineLevel="0" collapsed="false">
      <c r="A163" s="152"/>
      <c r="B163" s="219" t="s">
        <v>295</v>
      </c>
      <c r="C163" s="218"/>
      <c r="K163" s="24" t="n">
        <f aca="false">K162*0.216</f>
        <v>361700.424</v>
      </c>
      <c r="M163" s="24" t="n">
        <v>0</v>
      </c>
      <c r="O163" s="24" t="n">
        <f aca="false">SUM(K163:N163)</f>
        <v>361700.424</v>
      </c>
      <c r="Q163" s="96" t="n">
        <v>0</v>
      </c>
      <c r="S163" s="96" t="n">
        <v>0</v>
      </c>
      <c r="AK163" s="96" t="n">
        <f aca="false">61288.35+10899.64</f>
        <v>72187.99</v>
      </c>
      <c r="AM163" s="96" t="n">
        <v>12905.28</v>
      </c>
      <c r="AO163" s="96" t="n">
        <v>156683.79</v>
      </c>
      <c r="AQ163" s="96" t="n">
        <v>5257.23</v>
      </c>
      <c r="AS163" s="95" t="n">
        <f aca="false">SUM(P163:AR163)</f>
        <v>247034.29</v>
      </c>
      <c r="AW163" s="95" t="n">
        <f aca="false">IF(+O163-AS163+AU163&gt;0,O163-AS163+AU163,0)</f>
        <v>114666.134</v>
      </c>
      <c r="AX163" s="90"/>
      <c r="AY163" s="95" t="n">
        <f aca="false">+AW163+AS163</f>
        <v>361700.424</v>
      </c>
      <c r="AZ163" s="90"/>
      <c r="BA163" s="95" t="n">
        <f aca="false">O163-AS163-AW163</f>
        <v>0</v>
      </c>
      <c r="BB163" s="136"/>
      <c r="BC163" s="95"/>
    </row>
    <row r="164" customFormat="false" ht="12.75" hidden="false" customHeight="false" outlineLevel="0" collapsed="false">
      <c r="A164" s="152"/>
      <c r="B164" s="219" t="s">
        <v>296</v>
      </c>
      <c r="C164" s="218"/>
      <c r="K164" s="24" t="n">
        <v>0</v>
      </c>
      <c r="M164" s="24" t="n">
        <v>11826</v>
      </c>
      <c r="O164" s="24" t="n">
        <f aca="false">SUM(K164:N164)</f>
        <v>11826</v>
      </c>
      <c r="Q164" s="96" t="n">
        <v>0</v>
      </c>
      <c r="S164" s="96" t="n">
        <v>0</v>
      </c>
      <c r="AA164" s="96" t="n">
        <v>11826</v>
      </c>
      <c r="AS164" s="95" t="n">
        <f aca="false">SUM(P164:AR164)</f>
        <v>11826</v>
      </c>
      <c r="AW164" s="95" t="n">
        <f aca="false">IF(+O164-AS164+AU164&gt;0,O164-AS164+AU164,0)</f>
        <v>0</v>
      </c>
      <c r="AX164" s="90"/>
      <c r="AY164" s="95" t="n">
        <f aca="false">+AW164+AS164</f>
        <v>11826</v>
      </c>
      <c r="AZ164" s="90"/>
      <c r="BA164" s="95" t="n">
        <f aca="false">O164-AS164-AW164</f>
        <v>0</v>
      </c>
      <c r="BB164" s="136"/>
      <c r="BC164" s="95"/>
    </row>
    <row r="165" customFormat="false" ht="12.75" hidden="false" customHeight="false" outlineLevel="0" collapsed="false">
      <c r="A165" s="152"/>
      <c r="B165" s="219" t="s">
        <v>297</v>
      </c>
      <c r="C165" s="218"/>
      <c r="K165" s="24" t="n">
        <v>0</v>
      </c>
      <c r="M165" s="24" t="n">
        <f aca="false">45594-11826</f>
        <v>33768</v>
      </c>
      <c r="O165" s="24" t="n">
        <f aca="false">SUM(K165:N165)</f>
        <v>33768</v>
      </c>
      <c r="Q165" s="96" t="n">
        <v>0</v>
      </c>
      <c r="S165" s="96" t="n">
        <v>0</v>
      </c>
      <c r="AI165" s="96" t="n">
        <f aca="false">46847.32+10557.48</f>
        <v>57404.8</v>
      </c>
      <c r="AS165" s="95" t="n">
        <f aca="false">SUM(P165:AR165)</f>
        <v>57404.8</v>
      </c>
      <c r="AW165" s="95" t="n">
        <f aca="false">IF(+O165-AS165+AU165&gt;0,O165-AS165+AU165,0)</f>
        <v>0</v>
      </c>
      <c r="AX165" s="90"/>
      <c r="AY165" s="95" t="n">
        <f aca="false">+AW165+AS165</f>
        <v>57404.8</v>
      </c>
      <c r="AZ165" s="90"/>
      <c r="BA165" s="95" t="n">
        <f aca="false">O165-AS165-AW165</f>
        <v>-23636.8</v>
      </c>
      <c r="BB165" s="136"/>
      <c r="BC165" s="95"/>
    </row>
    <row r="166" customFormat="false" ht="12.75" hidden="false" customHeight="false" outlineLevel="0" collapsed="false">
      <c r="A166" s="152"/>
      <c r="B166" s="219" t="s">
        <v>506</v>
      </c>
      <c r="C166" s="218"/>
      <c r="K166" s="155" t="n">
        <f aca="false">SUM(K162:K165)</f>
        <v>2036239.424</v>
      </c>
      <c r="M166" s="155" t="n">
        <f aca="false">SUM(M162:M165)</f>
        <v>45594</v>
      </c>
      <c r="O166" s="155" t="n">
        <f aca="false">SUM(O162:O165)</f>
        <v>2081833.424</v>
      </c>
      <c r="Q166" s="155" t="n">
        <f aca="false">SUM(Q162:Q165)</f>
        <v>0</v>
      </c>
      <c r="S166" s="155" t="n">
        <f aca="false">SUM(S162:S165)</f>
        <v>0</v>
      </c>
      <c r="U166" s="155" t="n">
        <f aca="false">SUM(U162:U165)</f>
        <v>71059.96</v>
      </c>
      <c r="W166" s="155" t="n">
        <f aca="false">SUM(W162:W165)</f>
        <v>0</v>
      </c>
      <c r="Y166" s="155" t="n">
        <f aca="false">SUM(Y162:Y165)</f>
        <v>0</v>
      </c>
      <c r="AA166" s="155" t="n">
        <f aca="false">SUM(AA162:AA165)</f>
        <v>719016.32</v>
      </c>
      <c r="AC166" s="155" t="n">
        <f aca="false">SUM(AC162:AC165)</f>
        <v>0</v>
      </c>
      <c r="AE166" s="155" t="n">
        <f aca="false">SUM(AE162:AE165)</f>
        <v>644133.13</v>
      </c>
      <c r="AF166" s="24"/>
      <c r="AG166" s="155" t="n">
        <f aca="false">SUM(AG162:AG165)</f>
        <v>169598.18</v>
      </c>
      <c r="AH166" s="24"/>
      <c r="AI166" s="155" t="n">
        <f aca="false">SUM(AI162:AI165)</f>
        <v>185298.65</v>
      </c>
      <c r="AJ166" s="24"/>
      <c r="AK166" s="155" t="n">
        <f aca="false">SUM(AK162:AK165)</f>
        <v>72187.99</v>
      </c>
      <c r="AL166" s="155"/>
      <c r="AM166" s="155" t="n">
        <f aca="false">SUM(AM162:AM165)</f>
        <v>12905.28</v>
      </c>
      <c r="AN166" s="24"/>
      <c r="AO166" s="155" t="n">
        <f aca="false">SUM(AO162:AO165)</f>
        <v>156683.79</v>
      </c>
      <c r="AP166" s="24"/>
      <c r="AQ166" s="155" t="n">
        <f aca="false">SUM(AQ162:AQ165)</f>
        <v>5257.23</v>
      </c>
      <c r="AS166" s="155" t="n">
        <f aca="false">SUM(AS162:AS165)</f>
        <v>2036140.53</v>
      </c>
      <c r="AU166" s="155" t="n">
        <f aca="false">SUM(AU162:AU165)</f>
        <v>0</v>
      </c>
      <c r="AW166" s="155" t="n">
        <f aca="false">SUM(AW162:AW165)</f>
        <v>114666.134</v>
      </c>
      <c r="AX166" s="90"/>
      <c r="AY166" s="155" t="n">
        <f aca="false">SUM(AY162:AY165)</f>
        <v>2150806.664</v>
      </c>
      <c r="AZ166" s="90"/>
      <c r="BA166" s="155" t="n">
        <f aca="false">SUM(BA162:BA165)</f>
        <v>-68973.24</v>
      </c>
      <c r="BB166" s="136"/>
      <c r="BC166" s="95"/>
    </row>
    <row r="167" customFormat="false" ht="12.75" hidden="false" customHeight="false" outlineLevel="0" collapsed="false">
      <c r="A167" s="225"/>
      <c r="B167" s="132"/>
      <c r="C167" s="218"/>
      <c r="K167" s="24"/>
      <c r="M167" s="24"/>
      <c r="O167" s="24"/>
      <c r="AX167" s="90"/>
      <c r="AZ167" s="90"/>
      <c r="BB167" s="95"/>
      <c r="BC167" s="95"/>
    </row>
    <row r="168" customFormat="false" ht="12.75" hidden="false" customHeight="false" outlineLevel="0" collapsed="false">
      <c r="A168" s="152" t="s">
        <v>298</v>
      </c>
      <c r="B168" s="219"/>
      <c r="C168" s="218" t="s">
        <v>147</v>
      </c>
      <c r="E168" s="94" t="s">
        <v>299</v>
      </c>
      <c r="G168" s="94" t="s">
        <v>300</v>
      </c>
      <c r="K168" s="24" t="n">
        <v>363000</v>
      </c>
      <c r="M168" s="24" t="n">
        <v>0</v>
      </c>
      <c r="O168" s="24" t="n">
        <f aca="false">SUM(K168:N168)</f>
        <v>363000</v>
      </c>
      <c r="S168" s="96" t="n">
        <v>162185.68</v>
      </c>
      <c r="U168" s="96" t="n">
        <f aca="false">65002.32-50</f>
        <v>64952.32</v>
      </c>
      <c r="W168" s="96" t="n">
        <v>4730.46</v>
      </c>
      <c r="AG168" s="96" t="n">
        <f aca="false">78467.61+7500</f>
        <v>85967.61</v>
      </c>
      <c r="AS168" s="95" t="n">
        <f aca="false">SUM(P168:AR168)</f>
        <v>317836.07</v>
      </c>
      <c r="AU168" s="96" t="n">
        <f aca="false">-131132+100000</f>
        <v>-31132</v>
      </c>
      <c r="AW168" s="136" t="n">
        <f aca="false">IF(+O168-AS168+AU168&gt;0,O168-AS168+AU168,0)-231868</f>
        <v>-217836.07</v>
      </c>
      <c r="AX168" s="90"/>
      <c r="AY168" s="95" t="n">
        <f aca="false">+AW168+AS168</f>
        <v>100000</v>
      </c>
      <c r="AZ168" s="90"/>
      <c r="BA168" s="95" t="n">
        <f aca="false">O168-AS168-AW168</f>
        <v>263000</v>
      </c>
      <c r="BB168" s="136"/>
      <c r="BC168" s="95"/>
    </row>
    <row r="169" customFormat="false" ht="12.75" hidden="false" customHeight="false" outlineLevel="0" collapsed="false">
      <c r="A169" s="225"/>
      <c r="B169" s="132"/>
      <c r="C169" s="218"/>
      <c r="K169" s="24"/>
      <c r="M169" s="24"/>
      <c r="O169" s="24"/>
      <c r="AX169" s="90"/>
      <c r="AZ169" s="90"/>
      <c r="BB169" s="95"/>
      <c r="BC169" s="95"/>
    </row>
    <row r="170" customFormat="false" ht="12.75" hidden="false" customHeight="false" outlineLevel="0" collapsed="false">
      <c r="A170" s="152" t="s">
        <v>301</v>
      </c>
      <c r="B170" s="219"/>
      <c r="C170" s="218" t="s">
        <v>147</v>
      </c>
      <c r="E170" s="94" t="s">
        <v>507</v>
      </c>
      <c r="G170" s="94" t="s">
        <v>302</v>
      </c>
      <c r="K170" s="24" t="n">
        <v>100000</v>
      </c>
      <c r="M170" s="24" t="n">
        <v>55279</v>
      </c>
      <c r="O170" s="24" t="n">
        <f aca="false">SUM(K170:N170)</f>
        <v>155279</v>
      </c>
      <c r="Q170" s="96" t="n">
        <v>0</v>
      </c>
      <c r="S170" s="96" t="n">
        <v>0</v>
      </c>
      <c r="Y170" s="96" t="n">
        <f aca="false">202323-825.76</f>
        <v>201497.24</v>
      </c>
      <c r="AC170" s="96" t="n">
        <v>22112</v>
      </c>
      <c r="AK170" s="96" t="n">
        <v>67029.5</v>
      </c>
      <c r="AS170" s="95" t="n">
        <f aca="false">SUM(P170:AR170)</f>
        <v>290638.74</v>
      </c>
      <c r="AU170" s="96" t="n">
        <f aca="false">55279-64752</f>
        <v>-9473</v>
      </c>
      <c r="AW170" s="95" t="n">
        <f aca="false">336000+AU170-AS170</f>
        <v>35888.26</v>
      </c>
      <c r="AX170" s="90"/>
      <c r="AY170" s="95" t="n">
        <f aca="false">+AW170+AS170</f>
        <v>326527</v>
      </c>
      <c r="AZ170" s="90"/>
      <c r="BA170" s="95" t="n">
        <f aca="false">O170-AS170-AW170</f>
        <v>-171248</v>
      </c>
      <c r="BB170" s="136"/>
      <c r="BC170" s="95"/>
    </row>
    <row r="171" customFormat="false" ht="12.75" hidden="false" customHeight="false" outlineLevel="0" collapsed="false">
      <c r="A171" s="145"/>
      <c r="B171" s="219"/>
      <c r="C171" s="218"/>
      <c r="K171" s="24"/>
      <c r="M171" s="24"/>
      <c r="O171" s="24"/>
      <c r="AX171" s="90"/>
      <c r="AZ171" s="90"/>
      <c r="BB171" s="95"/>
      <c r="BC171" s="95"/>
    </row>
    <row r="172" customFormat="false" ht="12.75" hidden="false" customHeight="false" outlineLevel="0" collapsed="false">
      <c r="A172" s="152" t="s">
        <v>303</v>
      </c>
      <c r="B172" s="219"/>
      <c r="C172" s="218" t="s">
        <v>147</v>
      </c>
      <c r="E172" s="94" t="s">
        <v>304</v>
      </c>
      <c r="G172" s="94" t="s">
        <v>305</v>
      </c>
      <c r="K172" s="24" t="n">
        <v>113333</v>
      </c>
      <c r="M172" s="24" t="n">
        <v>0</v>
      </c>
      <c r="O172" s="24" t="n">
        <f aca="false">SUM(K172:N172)</f>
        <v>113333</v>
      </c>
      <c r="Q172" s="96" t="n">
        <v>0</v>
      </c>
      <c r="S172" s="96" t="n">
        <v>0</v>
      </c>
      <c r="W172" s="96" t="n">
        <v>11126.71</v>
      </c>
      <c r="AA172" s="96" t="n">
        <v>3774.9</v>
      </c>
      <c r="AC172" s="96" t="n">
        <f aca="false">3959.86+1684.07+1094.54+1016.66+4370.6+1074.93+4364.16+11543</f>
        <v>29107.82</v>
      </c>
      <c r="AE172" s="96" t="n">
        <f aca="false">5207.72+8345.32</f>
        <v>13553.04</v>
      </c>
      <c r="AG172" s="96" t="n">
        <f aca="false">5899.85+161.58</f>
        <v>6061.43</v>
      </c>
      <c r="AS172" s="95" t="n">
        <f aca="false">SUM(P172:AR172)</f>
        <v>63623.9</v>
      </c>
      <c r="AU172" s="96" t="n">
        <v>-29999</v>
      </c>
      <c r="AW172" s="95" t="n">
        <v>0</v>
      </c>
      <c r="AX172" s="90"/>
      <c r="AY172" s="95" t="n">
        <f aca="false">+AW172+AS172</f>
        <v>63623.9</v>
      </c>
      <c r="AZ172" s="90"/>
      <c r="BA172" s="95" t="n">
        <f aca="false">O172-AS172-AW172</f>
        <v>49709.1</v>
      </c>
      <c r="BB172" s="136"/>
      <c r="BC172" s="95"/>
    </row>
    <row r="173" customFormat="false" ht="12.75" hidden="false" customHeight="false" outlineLevel="0" collapsed="false">
      <c r="A173" s="145"/>
      <c r="B173" s="219"/>
      <c r="C173" s="218"/>
      <c r="K173" s="24"/>
      <c r="M173" s="24"/>
      <c r="O173" s="24"/>
      <c r="AX173" s="90"/>
      <c r="AZ173" s="90"/>
      <c r="BB173" s="95"/>
      <c r="BC173" s="95"/>
    </row>
    <row r="174" customFormat="false" ht="12.75" hidden="false" customHeight="false" outlineLevel="0" collapsed="false">
      <c r="A174" s="152" t="s">
        <v>306</v>
      </c>
      <c r="B174" s="219"/>
      <c r="C174" s="218" t="s">
        <v>147</v>
      </c>
      <c r="E174" s="94" t="s">
        <v>304</v>
      </c>
      <c r="G174" s="94" t="s">
        <v>305</v>
      </c>
      <c r="K174" s="24" t="n">
        <v>5166466.56715443</v>
      </c>
      <c r="L174" s="219"/>
      <c r="M174" s="24" t="n">
        <f aca="false">5093175-5166467+4057+215+540+2484-23666+976-993+9891+6242+283413-10123-91078+29574+1953+60-495206-68498+2+162237-262667+108-2-1852-1218-3-1135+70374-2182-2826+4600620-42473+19780+26428+15781-27611-3646743-90040-727099-331+380-81-1761-8844+1882+721114+69-25800-1266+13261-1609+5082-1370686-1</f>
        <v>-1002563</v>
      </c>
      <c r="N174" s="219"/>
      <c r="O174" s="24" t="n">
        <f aca="false">SUM(K174:N174)</f>
        <v>4163903.56715443</v>
      </c>
      <c r="P174" s="219"/>
      <c r="Q174" s="96" t="n">
        <f aca="false">643194+270681</f>
        <v>913875</v>
      </c>
      <c r="S174" s="96" t="n">
        <v>448366</v>
      </c>
      <c r="U174" s="96" t="n">
        <f aca="false">395397.19+40681.75</f>
        <v>436078.94</v>
      </c>
      <c r="V174" s="136"/>
      <c r="W174" s="96" t="n">
        <f aca="false">434033.21</f>
        <v>434033.21</v>
      </c>
      <c r="X174" s="136"/>
      <c r="Y174" s="96" t="n">
        <f aca="false">422737.7</f>
        <v>422737.7</v>
      </c>
      <c r="Z174" s="136"/>
      <c r="AA174" s="96" t="n">
        <v>505583.13</v>
      </c>
      <c r="AB174" s="136"/>
      <c r="AC174" s="96" t="n">
        <f aca="false">387290.85+89072+378282-419548-170214</f>
        <v>264882.85</v>
      </c>
      <c r="AD174" s="136"/>
      <c r="AE174" s="96" t="n">
        <f aca="false">610889+127459</f>
        <v>738348</v>
      </c>
      <c r="AG174" s="96" t="n">
        <v>659904</v>
      </c>
      <c r="AI174" s="96" t="n">
        <v>-659904</v>
      </c>
      <c r="AR174" s="219"/>
      <c r="AS174" s="95" t="n">
        <f aca="false">SUM(P174:AR174)</f>
        <v>4163904.83</v>
      </c>
      <c r="AT174" s="219"/>
      <c r="AU174" s="96" t="n">
        <v>0</v>
      </c>
      <c r="AV174" s="219"/>
      <c r="AW174" s="95" t="n">
        <f aca="false">IF(+O174-AS174+AU174&gt;0,O174-AS174+AU174,0)</f>
        <v>0</v>
      </c>
      <c r="AX174" s="219"/>
      <c r="AY174" s="95" t="n">
        <f aca="false">+AW174+AS174</f>
        <v>4163904.83</v>
      </c>
      <c r="AZ174" s="219"/>
      <c r="BA174" s="95" t="n">
        <f aca="false">O174-AS174-AW174</f>
        <v>-1.26284557487816</v>
      </c>
      <c r="BB174" s="136"/>
      <c r="BC174" s="95"/>
    </row>
    <row r="175" customFormat="false" ht="12.75" hidden="false" customHeight="false" outlineLevel="0" collapsed="false">
      <c r="A175" s="152"/>
      <c r="B175" s="219" t="s">
        <v>508</v>
      </c>
      <c r="C175" s="218"/>
      <c r="K175" s="24"/>
      <c r="L175" s="219"/>
      <c r="M175" s="24" t="n">
        <v>-94899</v>
      </c>
      <c r="N175" s="219"/>
      <c r="O175" s="24" t="n">
        <f aca="false">SUM(K175:N175)</f>
        <v>-94899</v>
      </c>
      <c r="P175" s="219"/>
      <c r="V175" s="136"/>
      <c r="X175" s="136"/>
      <c r="Y175" s="96" t="n">
        <v>-94899</v>
      </c>
      <c r="Z175" s="136"/>
      <c r="AA175" s="96" t="n">
        <f aca="false">-453754+12952+376418</f>
        <v>-64384</v>
      </c>
      <c r="AB175" s="136"/>
      <c r="AD175" s="136"/>
      <c r="AR175" s="219"/>
      <c r="AS175" s="95" t="n">
        <f aca="false">SUM(P175:AR175)</f>
        <v>-159283</v>
      </c>
      <c r="AT175" s="219"/>
      <c r="AV175" s="219"/>
      <c r="AW175" s="95" t="n">
        <v>0</v>
      </c>
      <c r="AX175" s="219"/>
      <c r="AY175" s="95" t="n">
        <f aca="false">+AW175+AS175</f>
        <v>-159283</v>
      </c>
      <c r="AZ175" s="219"/>
      <c r="BA175" s="95" t="n">
        <f aca="false">O175-AS175-AW175</f>
        <v>64384</v>
      </c>
      <c r="BB175" s="136"/>
      <c r="BC175" s="95"/>
    </row>
    <row r="176" customFormat="false" ht="12.75" hidden="false" customHeight="false" outlineLevel="0" collapsed="false">
      <c r="A176" s="152" t="s">
        <v>308</v>
      </c>
      <c r="B176" s="219"/>
      <c r="C176" s="218"/>
      <c r="K176" s="24"/>
      <c r="M176" s="24" t="n">
        <f aca="false">32660-100-5-14-64+3247-25+26-2666-241-168-524+242-436-706-46-2-7106</f>
        <v>24072</v>
      </c>
      <c r="O176" s="24" t="n">
        <f aca="false">SUM(K176:N176)</f>
        <v>24072</v>
      </c>
      <c r="U176" s="96" t="n">
        <v>7392.73</v>
      </c>
      <c r="V176" s="136"/>
      <c r="W176" s="96" t="n">
        <v>4682.38</v>
      </c>
      <c r="X176" s="136"/>
      <c r="Y176" s="96" t="n">
        <v>4180.83</v>
      </c>
      <c r="Z176" s="136"/>
      <c r="AA176" s="96" t="n">
        <f aca="false">4002.47</f>
        <v>4002.47</v>
      </c>
      <c r="AB176" s="136"/>
      <c r="AC176" s="96" t="n">
        <v>3813.77</v>
      </c>
      <c r="AD176" s="136"/>
      <c r="AS176" s="95" t="n">
        <f aca="false">SUM(P176:AR176)</f>
        <v>24072.18</v>
      </c>
      <c r="AW176" s="95" t="n">
        <f aca="false">IF(+O176-AS176+AU176&gt;0,O176-AS176+AU176,0)</f>
        <v>0</v>
      </c>
      <c r="AX176" s="90"/>
      <c r="AY176" s="95" t="n">
        <f aca="false">+AW176+AS176</f>
        <v>24072.18</v>
      </c>
      <c r="AZ176" s="90"/>
      <c r="BA176" s="95" t="n">
        <f aca="false">O176-AS176-AW176</f>
        <v>-0.180000000000291</v>
      </c>
      <c r="BB176" s="136"/>
      <c r="BC176" s="95"/>
    </row>
    <row r="177" customFormat="false" ht="12.75" hidden="false" customHeight="false" outlineLevel="0" collapsed="false">
      <c r="A177" s="152" t="s">
        <v>309</v>
      </c>
      <c r="B177" s="219"/>
      <c r="C177" s="218"/>
      <c r="K177" s="24"/>
      <c r="M177" s="24" t="n">
        <f aca="false">2666-18334</f>
        <v>-15668</v>
      </c>
      <c r="O177" s="24" t="n">
        <f aca="false">SUM(K177:N177)</f>
        <v>-15668</v>
      </c>
      <c r="V177" s="136"/>
      <c r="X177" s="136"/>
      <c r="Z177" s="136"/>
      <c r="AA177" s="96" t="n">
        <v>2665.56</v>
      </c>
      <c r="AB177" s="136"/>
      <c r="AC177" s="96" t="n">
        <v>-18333.93</v>
      </c>
      <c r="AD177" s="136"/>
      <c r="AS177" s="95" t="n">
        <f aca="false">SUM(P177:AR177)</f>
        <v>-15668.37</v>
      </c>
      <c r="AW177" s="95" t="n">
        <f aca="false">IF(+O177-AS177+AU177&gt;0,O177-AS177+AU177,0)</f>
        <v>0.3700000000008</v>
      </c>
      <c r="AX177" s="90"/>
      <c r="AY177" s="95" t="n">
        <f aca="false">+AW177+AS177</f>
        <v>-15668</v>
      </c>
      <c r="AZ177" s="90"/>
      <c r="BA177" s="95" t="n">
        <f aca="false">O177-AS177-AW177</f>
        <v>0</v>
      </c>
      <c r="BB177" s="136"/>
      <c r="BC177" s="95"/>
    </row>
    <row r="178" customFormat="false" ht="12.75" hidden="false" customHeight="false" outlineLevel="0" collapsed="false">
      <c r="A178" s="152"/>
      <c r="B178" s="219"/>
      <c r="C178" s="218"/>
      <c r="K178" s="24"/>
      <c r="M178" s="24"/>
      <c r="O178" s="24"/>
      <c r="V178" s="136"/>
      <c r="X178" s="136"/>
      <c r="Z178" s="136"/>
      <c r="AB178" s="136"/>
      <c r="AC178" s="139"/>
      <c r="AD178" s="141"/>
      <c r="AE178" s="139"/>
      <c r="AG178" s="139"/>
      <c r="AI178" s="139"/>
      <c r="AK178" s="139"/>
      <c r="AL178" s="139"/>
      <c r="AM178" s="139"/>
      <c r="AO178" s="139"/>
      <c r="AQ178" s="139"/>
      <c r="AX178" s="90"/>
      <c r="AZ178" s="90"/>
      <c r="BB178" s="136"/>
      <c r="BC178" s="95"/>
    </row>
    <row r="179" customFormat="false" ht="12.75" hidden="false" customHeight="false" outlineLevel="0" collapsed="false">
      <c r="A179" s="225"/>
      <c r="B179" s="165" t="s">
        <v>310</v>
      </c>
      <c r="C179" s="218"/>
      <c r="K179" s="155" t="n">
        <f aca="false">SUM(K145:K177)+K143-K153-K166-K147-K157</f>
        <v>107122038.991154</v>
      </c>
      <c r="M179" s="155" t="n">
        <f aca="false">SUM(M145:M177)+M143-M153-M166-M147-M157</f>
        <v>23965826</v>
      </c>
      <c r="O179" s="155" t="n">
        <f aca="false">SUM(O145:O177)+O143-O153-O166-O147-O157</f>
        <v>125722764.991154</v>
      </c>
      <c r="Q179" s="155" t="n">
        <f aca="false">SUM(Q145:Q177)+Q143-Q153-Q166-Q147-Q157</f>
        <v>63504599.63</v>
      </c>
      <c r="R179" s="244"/>
      <c r="S179" s="155" t="n">
        <f aca="false">SUM(S145:S177)+S143-S153-S166-S147-S157</f>
        <v>1033073.57</v>
      </c>
      <c r="T179" s="244"/>
      <c r="U179" s="155" t="n">
        <f aca="false">SUM(U145:U177)+U143-U153-U166-U147-U157</f>
        <v>18744771.68</v>
      </c>
      <c r="V179" s="24"/>
      <c r="W179" s="155" t="n">
        <f aca="false">SUM(W145:W177)+W143-W153-W166-W147-W157</f>
        <v>434567.56</v>
      </c>
      <c r="X179" s="24"/>
      <c r="Y179" s="155" t="n">
        <f aca="false">SUM(Y145:Y177)+Y143-Y153-Y166-Y147-Y157</f>
        <v>-92916.6199999993</v>
      </c>
      <c r="Z179" s="24"/>
      <c r="AA179" s="155" t="n">
        <f aca="false">SUM(AA145:AA177)+AA143-AA153-AA166-AA147-AA157</f>
        <v>8253162.92</v>
      </c>
      <c r="AB179" s="155" t="n">
        <f aca="false">SUM(AB145:AB177)+AB143-AB153-AB166-AB147-AB157</f>
        <v>0</v>
      </c>
      <c r="AC179" s="155" t="n">
        <f aca="false">SUM(AC145:AC177)+AC143-AC153-AC166-AC147-AC157</f>
        <v>15379209.7</v>
      </c>
      <c r="AD179" s="155" t="n">
        <f aca="false">SUM(AD145:AD177)+AD143-AD153-AD166-AD147-AD157</f>
        <v>0</v>
      </c>
      <c r="AE179" s="155" t="n">
        <f aca="false">SUM(AE145:AE177)+AE143-AE153-AE166-AE147-AE157</f>
        <v>8051705.01</v>
      </c>
      <c r="AF179" s="24"/>
      <c r="AG179" s="155" t="n">
        <f aca="false">SUM(AG145:AG177)+AG143-AG153-AG166-AG147-AG157</f>
        <v>9797311.71</v>
      </c>
      <c r="AH179" s="24"/>
      <c r="AI179" s="155" t="n">
        <f aca="false">SUM(AI145:AI177)+AI143-AI153-AI166-AI147-AI157</f>
        <v>5819234.92</v>
      </c>
      <c r="AJ179" s="24"/>
      <c r="AK179" s="155" t="n">
        <f aca="false">SUM(AK145:AK177)+AK143-AK153-AK166-AK147-AK157</f>
        <v>6823222.44</v>
      </c>
      <c r="AL179" s="155"/>
      <c r="AM179" s="155" t="n">
        <f aca="false">SUM(AM145:AM177)+AM143-AM153-AM166-AM147-AM157</f>
        <v>2124238.38</v>
      </c>
      <c r="AN179" s="24"/>
      <c r="AO179" s="155" t="n">
        <f aca="false">SUM(AO145:AO177)+AO143-AO153-AO166-AO147-AO157</f>
        <v>1373933</v>
      </c>
      <c r="AP179" s="24"/>
      <c r="AQ179" s="155" t="n">
        <f aca="false">SUM(AQ145:AQ177)+AQ143-AQ153-AQ166-AQ147-AQ157</f>
        <v>56702.12</v>
      </c>
      <c r="AS179" s="155" t="n">
        <f aca="false">SUM(AS145:AS177)+AS143-AS153-AS166-AS147-AS157</f>
        <v>141302816.02</v>
      </c>
      <c r="AU179" s="24" t="n">
        <f aca="false">SUM(AU145:AU174)+AU143-AU153-AU166-AU147-AU157</f>
        <v>3053555.33</v>
      </c>
      <c r="AW179" s="155" t="n">
        <f aca="false">SUM(AW145:AW177)+AW143-AW153-AW166-AW147-AW157</f>
        <v>4185738.284</v>
      </c>
      <c r="AX179" s="90"/>
      <c r="AY179" s="155" t="n">
        <f aca="false">SUM(AY145:AY177)+AY143-AY153-AY166-AY147-AY157</f>
        <v>145488554.304</v>
      </c>
      <c r="AZ179" s="90"/>
      <c r="BA179" s="155" t="n">
        <f aca="false">SUM(BA145:BA177)+BA143-BA153-BA166-BA147-BA157</f>
        <v>-19765790.3128456</v>
      </c>
      <c r="BB179" s="136"/>
      <c r="BC179" s="24"/>
    </row>
    <row r="180" customFormat="false" ht="12.75" hidden="false" customHeight="false" outlineLevel="0" collapsed="false">
      <c r="A180" s="227"/>
      <c r="B180" s="127"/>
      <c r="C180" s="218"/>
      <c r="K180" s="24"/>
      <c r="M180" s="24"/>
      <c r="O180" s="24"/>
      <c r="Q180" s="129"/>
      <c r="R180" s="244"/>
      <c r="S180" s="129"/>
      <c r="T180" s="244"/>
      <c r="U180" s="129"/>
      <c r="V180" s="24"/>
      <c r="W180" s="129"/>
      <c r="X180" s="24"/>
      <c r="Y180" s="129"/>
      <c r="Z180" s="24"/>
      <c r="AA180" s="129"/>
      <c r="AB180" s="24"/>
      <c r="AC180" s="129"/>
      <c r="AD180" s="24"/>
      <c r="AE180" s="129"/>
      <c r="AF180" s="129"/>
      <c r="AG180" s="129"/>
      <c r="AH180" s="129"/>
      <c r="AI180" s="129"/>
      <c r="AJ180" s="129"/>
      <c r="AK180" s="129"/>
      <c r="AL180" s="129"/>
      <c r="AM180" s="129"/>
      <c r="AN180" s="129"/>
      <c r="AO180" s="129"/>
      <c r="AP180" s="129"/>
      <c r="AQ180" s="129"/>
      <c r="AS180" s="24"/>
      <c r="AU180" s="129"/>
      <c r="AW180" s="24"/>
      <c r="AX180" s="90"/>
      <c r="AY180" s="24"/>
      <c r="AZ180" s="90"/>
      <c r="BA180" s="24"/>
      <c r="BB180" s="24"/>
      <c r="BC180" s="24"/>
    </row>
    <row r="181" customFormat="false" ht="12.75" hidden="false" customHeight="false" outlineLevel="0" collapsed="false">
      <c r="A181" s="227"/>
      <c r="B181" s="127"/>
      <c r="C181" s="218"/>
      <c r="K181" s="24"/>
      <c r="M181" s="24"/>
      <c r="O181" s="24"/>
      <c r="Q181" s="129"/>
      <c r="R181" s="244"/>
      <c r="S181" s="129"/>
      <c r="T181" s="244"/>
      <c r="U181" s="129"/>
      <c r="V181" s="24"/>
      <c r="W181" s="129"/>
      <c r="X181" s="24"/>
      <c r="Y181" s="129"/>
      <c r="Z181" s="24"/>
      <c r="AA181" s="129"/>
      <c r="AB181" s="24"/>
      <c r="AC181" s="129"/>
      <c r="AD181" s="24"/>
      <c r="AE181" s="129"/>
      <c r="AF181" s="129"/>
      <c r="AG181" s="129"/>
      <c r="AH181" s="129"/>
      <c r="AI181" s="129"/>
      <c r="AJ181" s="129"/>
      <c r="AK181" s="129"/>
      <c r="AL181" s="129"/>
      <c r="AM181" s="129"/>
      <c r="AN181" s="129"/>
      <c r="AO181" s="129"/>
      <c r="AP181" s="129"/>
      <c r="AQ181" s="129"/>
      <c r="AS181" s="24"/>
      <c r="AU181" s="129"/>
      <c r="AW181" s="24"/>
      <c r="AX181" s="90"/>
      <c r="AY181" s="24"/>
      <c r="AZ181" s="90"/>
      <c r="BA181" s="24"/>
      <c r="BB181" s="24"/>
      <c r="BC181" s="24"/>
    </row>
    <row r="182" customFormat="false" ht="12.75" hidden="false" customHeight="false" outlineLevel="0" collapsed="false">
      <c r="A182" s="225"/>
      <c r="B182" s="127"/>
      <c r="C182" s="218"/>
      <c r="K182" s="24"/>
      <c r="M182" s="24"/>
      <c r="O182" s="24"/>
      <c r="Q182" s="129"/>
      <c r="R182" s="244"/>
      <c r="S182" s="129"/>
      <c r="T182" s="244"/>
      <c r="U182" s="129"/>
      <c r="V182" s="24"/>
      <c r="W182" s="129"/>
      <c r="X182" s="24"/>
      <c r="Y182" s="129"/>
      <c r="Z182" s="24"/>
      <c r="AA182" s="129"/>
      <c r="AB182" s="24"/>
      <c r="AC182" s="129"/>
      <c r="AD182" s="24"/>
      <c r="AE182" s="129"/>
      <c r="AF182" s="129"/>
      <c r="AG182" s="129"/>
      <c r="AH182" s="129"/>
      <c r="AI182" s="129"/>
      <c r="AJ182" s="129"/>
      <c r="AK182" s="129"/>
      <c r="AL182" s="129"/>
      <c r="AM182" s="129"/>
      <c r="AN182" s="129"/>
      <c r="AO182" s="129"/>
      <c r="AP182" s="129"/>
      <c r="AQ182" s="129"/>
      <c r="AS182" s="24"/>
      <c r="AU182" s="129"/>
      <c r="AW182" s="24"/>
      <c r="AX182" s="90"/>
      <c r="AY182" s="24"/>
      <c r="AZ182" s="90"/>
      <c r="BA182" s="24"/>
      <c r="BB182" s="24"/>
      <c r="BC182" s="24"/>
    </row>
    <row r="183" customFormat="false" ht="12.75" hidden="false" customHeight="false" outlineLevel="0" collapsed="false">
      <c r="A183" s="152" t="s">
        <v>311</v>
      </c>
      <c r="B183" s="127"/>
      <c r="C183" s="218" t="s">
        <v>147</v>
      </c>
      <c r="E183" s="94" t="s">
        <v>312</v>
      </c>
      <c r="G183" s="94" t="s">
        <v>313</v>
      </c>
      <c r="K183" s="24" t="n">
        <v>1500000</v>
      </c>
      <c r="M183" s="24" t="n">
        <v>-500000</v>
      </c>
      <c r="O183" s="24" t="n">
        <f aca="false">SUM(K183:M183)</f>
        <v>1000000</v>
      </c>
      <c r="Q183" s="129"/>
      <c r="R183" s="244"/>
      <c r="S183" s="129" t="n">
        <v>0</v>
      </c>
      <c r="T183" s="244"/>
      <c r="U183" s="129" t="n">
        <v>806250</v>
      </c>
      <c r="V183" s="24"/>
      <c r="W183" s="129"/>
      <c r="X183" s="24"/>
      <c r="Y183" s="129"/>
      <c r="Z183" s="24"/>
      <c r="AA183" s="129"/>
      <c r="AB183" s="24"/>
      <c r="AC183" s="129" t="n">
        <f aca="false">80592.07+2741.26</f>
        <v>83333.33</v>
      </c>
      <c r="AD183" s="24"/>
      <c r="AE183" s="129"/>
      <c r="AF183" s="129"/>
      <c r="AG183" s="129"/>
      <c r="AH183" s="129"/>
      <c r="AI183" s="129"/>
      <c r="AJ183" s="129"/>
      <c r="AK183" s="129"/>
      <c r="AL183" s="129"/>
      <c r="AM183" s="129"/>
      <c r="AN183" s="129"/>
      <c r="AO183" s="129"/>
      <c r="AP183" s="129"/>
      <c r="AQ183" s="129"/>
      <c r="AS183" s="95" t="n">
        <f aca="false">SUM(P183:AR183)</f>
        <v>889583.33</v>
      </c>
      <c r="AU183" s="129" t="n">
        <v>-193750</v>
      </c>
      <c r="AW183" s="95" t="n">
        <f aca="false">IF(+O183-AS183+AU183&gt;0,O183-AS183+AU183,0)</f>
        <v>0</v>
      </c>
      <c r="AX183" s="90"/>
      <c r="AY183" s="95" t="n">
        <f aca="false">+AW183+AS183</f>
        <v>889583.33</v>
      </c>
      <c r="AZ183" s="90"/>
      <c r="BA183" s="95" t="n">
        <f aca="false">O183-AS183-AW183</f>
        <v>110416.67</v>
      </c>
      <c r="BB183" s="136"/>
      <c r="BC183" s="24"/>
    </row>
    <row r="184" customFormat="false" ht="12.75" hidden="false" customHeight="false" outlineLevel="0" collapsed="false">
      <c r="A184" s="152"/>
      <c r="B184" s="219" t="s">
        <v>314</v>
      </c>
      <c r="C184" s="218"/>
      <c r="K184" s="24" t="n">
        <v>0</v>
      </c>
      <c r="M184" s="24" t="n">
        <v>0</v>
      </c>
      <c r="O184" s="24" t="n">
        <f aca="false">SUM(K184:N184)</f>
        <v>0</v>
      </c>
      <c r="S184" s="96" t="n">
        <f aca="false">167937.5/3</f>
        <v>55979.1666666667</v>
      </c>
      <c r="AS184" s="95" t="n">
        <f aca="false">SUM(P184:AR184)</f>
        <v>55979.1666666667</v>
      </c>
      <c r="AU184" s="96" t="n">
        <v>0</v>
      </c>
      <c r="AW184" s="95" t="n">
        <f aca="false">IF(+O184-AS184+AU184&gt;0,O184-AS184+AU184,0)</f>
        <v>0</v>
      </c>
      <c r="AX184" s="90"/>
      <c r="AY184" s="95" t="n">
        <f aca="false">+AW184+AS184</f>
        <v>55979.1666666667</v>
      </c>
      <c r="AZ184" s="90"/>
      <c r="BA184" s="95" t="n">
        <f aca="false">O184-AS184-AW184</f>
        <v>-55979.1666666667</v>
      </c>
      <c r="BB184" s="136"/>
      <c r="BC184" s="24"/>
    </row>
    <row r="185" customFormat="false" ht="12.75" hidden="false" customHeight="false" outlineLevel="0" collapsed="false">
      <c r="A185" s="152"/>
      <c r="B185" s="219" t="s">
        <v>315</v>
      </c>
      <c r="C185" s="218"/>
      <c r="K185" s="24" t="n">
        <v>0</v>
      </c>
      <c r="M185" s="24" t="n">
        <v>0</v>
      </c>
      <c r="O185" s="24" t="n">
        <f aca="false">SUM(K185:N185)</f>
        <v>0</v>
      </c>
      <c r="S185" s="96" t="n">
        <f aca="false">7600/3</f>
        <v>2533.33333333333</v>
      </c>
      <c r="AO185" s="96" t="n">
        <v>83333.33</v>
      </c>
      <c r="AS185" s="95" t="n">
        <f aca="false">SUM(P185:AR185)</f>
        <v>85866.6633333333</v>
      </c>
      <c r="AU185" s="96" t="n">
        <v>352817</v>
      </c>
      <c r="AW185" s="95" t="n">
        <v>0</v>
      </c>
      <c r="AX185" s="90"/>
      <c r="AY185" s="95" t="n">
        <f aca="false">+AW185+AS185</f>
        <v>85866.6633333333</v>
      </c>
      <c r="AZ185" s="90"/>
      <c r="BA185" s="95" t="n">
        <f aca="false">O185-AS185-AW185</f>
        <v>-85866.6633333333</v>
      </c>
      <c r="BB185" s="136"/>
      <c r="BC185" s="24"/>
    </row>
    <row r="186" customFormat="false" ht="12.75" hidden="false" customHeight="false" outlineLevel="0" collapsed="false">
      <c r="A186" s="152"/>
      <c r="B186" s="219" t="s">
        <v>316</v>
      </c>
      <c r="C186" s="218"/>
      <c r="K186" s="24" t="n">
        <v>0</v>
      </c>
      <c r="M186" s="24" t="n">
        <v>0</v>
      </c>
      <c r="O186" s="24" t="n">
        <f aca="false">SUM(K186:N186)</f>
        <v>0</v>
      </c>
      <c r="S186" s="96" t="n">
        <f aca="false">10000/3</f>
        <v>3333.33333333333</v>
      </c>
      <c r="Y186" s="96" t="n">
        <v>0</v>
      </c>
      <c r="AS186" s="95" t="n">
        <f aca="false">SUM(P186:AR186)</f>
        <v>3333.33333333333</v>
      </c>
      <c r="AU186" s="96" t="n">
        <v>0</v>
      </c>
      <c r="AW186" s="95" t="n">
        <f aca="false">IF(+O186-AS186+AU186&gt;0,O186-AS186+AU186,0)</f>
        <v>0</v>
      </c>
      <c r="AX186" s="90"/>
      <c r="AY186" s="95" t="n">
        <f aca="false">+AW186+AS186</f>
        <v>3333.33333333333</v>
      </c>
      <c r="AZ186" s="90"/>
      <c r="BA186" s="95" t="n">
        <f aca="false">O186-AS186-AW186</f>
        <v>-3333.33333333333</v>
      </c>
      <c r="BB186" s="136"/>
      <c r="BC186" s="24"/>
    </row>
    <row r="187" customFormat="false" ht="12.75" hidden="false" customHeight="false" outlineLevel="0" collapsed="false">
      <c r="A187" s="152"/>
      <c r="B187" s="219" t="s">
        <v>415</v>
      </c>
      <c r="C187" s="218"/>
      <c r="K187" s="24"/>
      <c r="M187" s="24" t="n">
        <v>0</v>
      </c>
      <c r="O187" s="24" t="n">
        <v>0</v>
      </c>
      <c r="AS187" s="95" t="n">
        <f aca="false">SUM(P187:AR187)</f>
        <v>0</v>
      </c>
      <c r="AW187" s="95" t="n">
        <f aca="false">IF(+O187-AS187+AU187&gt;0,O187-AS187+AU187,0)</f>
        <v>0</v>
      </c>
      <c r="AX187" s="90"/>
      <c r="AY187" s="95" t="n">
        <f aca="false">+AW187+AS187</f>
        <v>0</v>
      </c>
      <c r="AZ187" s="90"/>
      <c r="BA187" s="95" t="n">
        <f aca="false">O187-AS187-AW187</f>
        <v>0</v>
      </c>
      <c r="BB187" s="136"/>
      <c r="BC187" s="24"/>
    </row>
    <row r="188" customFormat="false" ht="12.75" hidden="false" customHeight="false" outlineLevel="0" collapsed="false">
      <c r="A188" s="152"/>
      <c r="B188" s="219" t="s">
        <v>317</v>
      </c>
      <c r="C188" s="218"/>
      <c r="K188" s="24" t="n">
        <v>0</v>
      </c>
      <c r="M188" s="24" t="n">
        <v>0</v>
      </c>
      <c r="O188" s="24" t="n">
        <f aca="false">SUM(K188:N188)</f>
        <v>0</v>
      </c>
      <c r="Q188" s="139"/>
      <c r="S188" s="139" t="n">
        <f aca="false">(12620.33+7000)/3</f>
        <v>6540.11</v>
      </c>
      <c r="U188" s="139" t="n">
        <v>4787.54</v>
      </c>
      <c r="W188" s="139"/>
      <c r="Y188" s="139"/>
      <c r="AA188" s="139"/>
      <c r="AC188" s="139"/>
      <c r="AE188" s="139"/>
      <c r="AG188" s="139"/>
      <c r="AI188" s="139"/>
      <c r="AK188" s="139"/>
      <c r="AL188" s="139"/>
      <c r="AM188" s="139"/>
      <c r="AO188" s="139"/>
      <c r="AQ188" s="139" t="n">
        <f aca="false">82333.33+25346.23</f>
        <v>107679.56</v>
      </c>
      <c r="AS188" s="95" t="n">
        <f aca="false">SUM(P188:AR188)</f>
        <v>119007.21</v>
      </c>
      <c r="AU188" s="139" t="n">
        <f aca="false">25000+4207+4787</f>
        <v>33994</v>
      </c>
      <c r="AW188" s="95" t="n">
        <v>0</v>
      </c>
      <c r="AX188" s="90"/>
      <c r="AY188" s="95" t="n">
        <f aca="false">+AW188+AS188</f>
        <v>119007.21</v>
      </c>
      <c r="AZ188" s="90"/>
      <c r="BA188" s="95" t="n">
        <f aca="false">O188-AS188-AW188</f>
        <v>-119007.21</v>
      </c>
      <c r="BB188" s="136"/>
      <c r="BC188" s="95" t="s">
        <v>417</v>
      </c>
    </row>
    <row r="189" customFormat="false" ht="12.75" hidden="false" customHeight="false" outlineLevel="0" collapsed="false">
      <c r="A189" s="152"/>
      <c r="B189" s="127"/>
      <c r="C189" s="218"/>
      <c r="K189" s="181" t="n">
        <f aca="false">SUBTOTAL(9,K183:K188)</f>
        <v>1500000</v>
      </c>
      <c r="M189" s="181" t="n">
        <f aca="false">SUBTOTAL(9,M183:M188)</f>
        <v>-500000</v>
      </c>
      <c r="O189" s="181" t="n">
        <f aca="false">SUBTOTAL(9,O183:O188)</f>
        <v>1000000</v>
      </c>
      <c r="Q189" s="96" t="n">
        <f aca="false">SUBTOTAL(9,Q183:Q188)</f>
        <v>0</v>
      </c>
      <c r="S189" s="96" t="n">
        <f aca="false">SUBTOTAL(9,S183:S188)</f>
        <v>68385.9433333333</v>
      </c>
      <c r="U189" s="96" t="n">
        <f aca="false">SUBTOTAL(9,U183:U188)</f>
        <v>811037.54</v>
      </c>
      <c r="W189" s="96" t="n">
        <f aca="false">SUBTOTAL(9,W183:W188)</f>
        <v>0</v>
      </c>
      <c r="Y189" s="96" t="n">
        <f aca="false">SUBTOTAL(9,Y183:Y188)</f>
        <v>0</v>
      </c>
      <c r="AA189" s="96" t="n">
        <f aca="false">SUBTOTAL(9,AA183:AA188)</f>
        <v>0</v>
      </c>
      <c r="AC189" s="96" t="n">
        <f aca="false">SUBTOTAL(9,AC183:AC188)</f>
        <v>83333.33</v>
      </c>
      <c r="AE189" s="96" t="n">
        <f aca="false">SUBTOTAL(9,AE183:AE188)</f>
        <v>0</v>
      </c>
      <c r="AG189" s="96" t="n">
        <f aca="false">SUBTOTAL(9,AG183:AG188)</f>
        <v>0</v>
      </c>
      <c r="AI189" s="96" t="n">
        <f aca="false">SUBTOTAL(9,AI183:AI188)</f>
        <v>0</v>
      </c>
      <c r="AK189" s="96" t="n">
        <f aca="false">SUBTOTAL(9,AK183:AK188)</f>
        <v>0</v>
      </c>
      <c r="AM189" s="96" t="n">
        <f aca="false">SUBTOTAL(9,AM183:AM188)</f>
        <v>0</v>
      </c>
      <c r="AO189" s="96" t="n">
        <f aca="false">SUBTOTAL(9,AO183:AO188)</f>
        <v>83333.33</v>
      </c>
      <c r="AQ189" s="96" t="n">
        <f aca="false">SUBTOTAL(9,AQ183:AQ188)</f>
        <v>107679.56</v>
      </c>
      <c r="AS189" s="181" t="n">
        <f aca="false">SUBTOTAL(9,AS183:AS188)</f>
        <v>1153769.70333333</v>
      </c>
      <c r="AU189" s="96" t="n">
        <f aca="false">SUBTOTAL(9,AU183:AU188)</f>
        <v>193061</v>
      </c>
      <c r="AW189" s="181" t="n">
        <f aca="false">SUBTOTAL(9,AW183:AW188)</f>
        <v>0</v>
      </c>
      <c r="AX189" s="90"/>
      <c r="AY189" s="181" t="n">
        <f aca="false">+AW189+AS189</f>
        <v>1153769.70333333</v>
      </c>
      <c r="AZ189" s="90"/>
      <c r="BA189" s="181" t="n">
        <f aca="false">SUBTOTAL(9,BA183:BA188)</f>
        <v>-153769.703333333</v>
      </c>
      <c r="BB189" s="136"/>
      <c r="BC189" s="24"/>
    </row>
    <row r="190" customFormat="false" ht="12.75" hidden="false" customHeight="false" outlineLevel="0" collapsed="false">
      <c r="A190" s="225"/>
      <c r="B190" s="132"/>
      <c r="C190" s="218"/>
      <c r="AX190" s="90"/>
      <c r="AZ190" s="90"/>
      <c r="BB190" s="95"/>
      <c r="BC190" s="95"/>
    </row>
    <row r="191" customFormat="false" ht="12.75" hidden="false" customHeight="false" outlineLevel="0" collapsed="false">
      <c r="A191" s="227" t="s">
        <v>318</v>
      </c>
      <c r="B191" s="132"/>
      <c r="C191" s="218" t="s">
        <v>147</v>
      </c>
      <c r="G191" s="94" t="s">
        <v>509</v>
      </c>
      <c r="K191" s="95" t="n">
        <v>0</v>
      </c>
      <c r="M191" s="24" t="n">
        <f aca="false">45910.15+17625</f>
        <v>63535.15</v>
      </c>
      <c r="O191" s="24" t="n">
        <f aca="false">SUM(K191:N191)</f>
        <v>63535.15</v>
      </c>
      <c r="Q191" s="129" t="n">
        <f aca="false">45910.15+17625</f>
        <v>63535.15</v>
      </c>
      <c r="R191" s="244"/>
      <c r="S191" s="129"/>
      <c r="T191" s="244"/>
      <c r="U191" s="129"/>
      <c r="V191" s="24"/>
      <c r="W191" s="129"/>
      <c r="X191" s="24"/>
      <c r="Y191" s="129"/>
      <c r="Z191" s="24"/>
      <c r="AA191" s="129" t="n">
        <v>-826</v>
      </c>
      <c r="AB191" s="24"/>
      <c r="AC191" s="129"/>
      <c r="AD191" s="24"/>
      <c r="AE191" s="129"/>
      <c r="AF191" s="129"/>
      <c r="AG191" s="129"/>
      <c r="AH191" s="129"/>
      <c r="AI191" s="129"/>
      <c r="AJ191" s="129"/>
      <c r="AK191" s="129"/>
      <c r="AL191" s="129"/>
      <c r="AM191" s="129"/>
      <c r="AN191" s="129"/>
      <c r="AO191" s="129"/>
      <c r="AP191" s="129"/>
      <c r="AQ191" s="129"/>
      <c r="AS191" s="95" t="n">
        <f aca="false">SUM(P191:AR191)</f>
        <v>62709.15</v>
      </c>
      <c r="AU191" s="129" t="n">
        <v>-826</v>
      </c>
      <c r="AW191" s="24" t="n">
        <f aca="false">IF(+O191-AS191+AU191&gt;0,O191-AS191+AU191,0)</f>
        <v>0</v>
      </c>
      <c r="AX191" s="90"/>
      <c r="AY191" s="24" t="n">
        <f aca="false">+AW191+AS191</f>
        <v>62709.15</v>
      </c>
      <c r="AZ191" s="90"/>
      <c r="BA191" s="95" t="n">
        <f aca="false">O191-AS191-AW191</f>
        <v>826</v>
      </c>
      <c r="BB191" s="136"/>
      <c r="BC191" s="95"/>
    </row>
    <row r="192" customFormat="false" ht="12.75" hidden="false" customHeight="false" outlineLevel="0" collapsed="false">
      <c r="A192" s="225"/>
      <c r="B192" s="132"/>
      <c r="C192" s="218"/>
      <c r="AX192" s="90"/>
      <c r="AZ192" s="90"/>
      <c r="BB192" s="95"/>
      <c r="BC192" s="95"/>
    </row>
    <row r="193" customFormat="false" ht="12.75" hidden="false" customHeight="false" outlineLevel="0" collapsed="false">
      <c r="A193" s="152" t="s">
        <v>319</v>
      </c>
      <c r="B193" s="219"/>
      <c r="C193" s="218" t="s">
        <v>147</v>
      </c>
      <c r="E193" s="94" t="s">
        <v>169</v>
      </c>
      <c r="G193" s="94" t="s">
        <v>409</v>
      </c>
      <c r="K193" s="90"/>
      <c r="M193" s="90"/>
      <c r="O193" s="90"/>
      <c r="AX193" s="90"/>
      <c r="AY193" s="95" t="n">
        <f aca="false">+AW193+AS193</f>
        <v>0</v>
      </c>
      <c r="AZ193" s="90"/>
      <c r="BB193" s="95"/>
      <c r="BC193" s="95"/>
    </row>
    <row r="194" customFormat="false" ht="12.75" hidden="false" customHeight="false" outlineLevel="0" collapsed="false">
      <c r="A194" s="152"/>
      <c r="B194" s="219" t="s">
        <v>321</v>
      </c>
      <c r="C194" s="218"/>
      <c r="Q194" s="96" t="n">
        <v>6743</v>
      </c>
      <c r="S194" s="96" t="n">
        <v>602</v>
      </c>
      <c r="U194" s="96" t="n">
        <f aca="false">7.03+104.09+453.75</f>
        <v>564.87</v>
      </c>
      <c r="V194" s="136"/>
      <c r="W194" s="96" t="n">
        <f aca="false">1465.1</f>
        <v>1465.1</v>
      </c>
      <c r="X194" s="136"/>
      <c r="Y194" s="96" t="n">
        <v>6454.99</v>
      </c>
      <c r="Z194" s="136"/>
      <c r="AA194" s="96" t="n">
        <f aca="false">1713.19+1265.04+57.1+116.33+116.32+667.98+1387.03</f>
        <v>5322.99</v>
      </c>
      <c r="AB194" s="136"/>
      <c r="AC194" s="96" t="n">
        <f aca="false">21327.67+2610</f>
        <v>23937.67</v>
      </c>
      <c r="AD194" s="136"/>
      <c r="AE194" s="96" t="n">
        <f aca="false">7.38+22.56+882.16+1129.83+768.19+27.46+42.76+2100.45</f>
        <v>4980.79</v>
      </c>
      <c r="AG194" s="96" t="n">
        <v>641.49</v>
      </c>
      <c r="AI194" s="96" t="n">
        <v>832.45</v>
      </c>
      <c r="AK194" s="96" t="n">
        <v>53.73</v>
      </c>
      <c r="AM194" s="96" t="n">
        <f aca="false">151.25+300.55+256.42</f>
        <v>708.22</v>
      </c>
      <c r="AS194" s="95" t="n">
        <f aca="false">SUM(P194:AR194)</f>
        <v>52307.3</v>
      </c>
      <c r="AX194" s="90"/>
      <c r="AY194" s="95" t="n">
        <f aca="false">+AW194+AS194</f>
        <v>52307.3</v>
      </c>
      <c r="AZ194" s="90"/>
      <c r="BB194" s="95"/>
      <c r="BC194" s="95"/>
    </row>
    <row r="195" customFormat="false" ht="12.75" hidden="false" customHeight="false" outlineLevel="0" collapsed="false">
      <c r="A195" s="152"/>
      <c r="B195" s="219" t="s">
        <v>322</v>
      </c>
      <c r="C195" s="218"/>
      <c r="Q195" s="96" t="n">
        <v>5024</v>
      </c>
      <c r="V195" s="136"/>
      <c r="X195" s="136"/>
      <c r="Z195" s="136"/>
      <c r="AB195" s="136"/>
      <c r="AD195" s="136"/>
      <c r="AS195" s="95" t="n">
        <f aca="false">SUM(P195:AR195)</f>
        <v>5024</v>
      </c>
      <c r="AX195" s="90"/>
      <c r="AY195" s="95" t="n">
        <f aca="false">+AW195+AS195</f>
        <v>5024</v>
      </c>
      <c r="AZ195" s="90"/>
      <c r="BB195" s="136"/>
      <c r="BC195" s="95"/>
    </row>
    <row r="196" customFormat="false" ht="12.75" hidden="false" customHeight="false" outlineLevel="0" collapsed="false">
      <c r="A196" s="152"/>
      <c r="B196" s="219" t="s">
        <v>323</v>
      </c>
      <c r="C196" s="218"/>
      <c r="Q196" s="96" t="n">
        <f aca="false">1250+416.67+3333.33+3333.33</f>
        <v>8333.33</v>
      </c>
      <c r="U196" s="96" t="n">
        <v>3333.33</v>
      </c>
      <c r="V196" s="136"/>
      <c r="W196" s="96" t="n">
        <v>3333.33</v>
      </c>
      <c r="X196" s="136"/>
      <c r="Z196" s="136"/>
      <c r="AB196" s="136"/>
      <c r="AC196" s="96" t="n">
        <f aca="false">3710.96+3343.35+3481.92</f>
        <v>10536.23</v>
      </c>
      <c r="AD196" s="136"/>
      <c r="AE196" s="96" t="n">
        <v>3359.47</v>
      </c>
      <c r="AI196" s="96" t="n">
        <v>3385.34</v>
      </c>
      <c r="AK196" s="96" t="n">
        <f aca="false">3358.97+3370.61</f>
        <v>6729.58</v>
      </c>
      <c r="AO196" s="96" t="n">
        <v>3362.58</v>
      </c>
      <c r="AS196" s="95" t="n">
        <f aca="false">SUM(P196:AR196)</f>
        <v>42373.19</v>
      </c>
      <c r="AX196" s="90"/>
      <c r="AY196" s="95" t="n">
        <f aca="false">+AW196+AS196</f>
        <v>42373.19</v>
      </c>
      <c r="AZ196" s="90"/>
      <c r="BB196" s="136"/>
      <c r="BC196" s="95"/>
    </row>
    <row r="197" customFormat="false" ht="12.75" hidden="false" customHeight="false" outlineLevel="0" collapsed="false">
      <c r="A197" s="152"/>
      <c r="B197" s="219" t="s">
        <v>324</v>
      </c>
      <c r="C197" s="218"/>
      <c r="Q197" s="96" t="n">
        <v>0</v>
      </c>
      <c r="V197" s="136"/>
      <c r="X197" s="136"/>
      <c r="Z197" s="136"/>
      <c r="AB197" s="136"/>
      <c r="AC197" s="96" t="n">
        <f aca="false">26570.56+3538.03+53011.09+25405.73+682.55</f>
        <v>109207.96</v>
      </c>
      <c r="AD197" s="136"/>
      <c r="AE197" s="96" t="n">
        <v>30022.42</v>
      </c>
      <c r="AG197" s="96" t="n">
        <f aca="false">35137.48+30869</f>
        <v>66006.48</v>
      </c>
      <c r="AK197" s="96" t="n">
        <v>19997.91</v>
      </c>
      <c r="AS197" s="95" t="n">
        <f aca="false">SUM(P197:AR197)</f>
        <v>225234.77</v>
      </c>
      <c r="AX197" s="90"/>
      <c r="AY197" s="95" t="n">
        <f aca="false">+AW197+AS197</f>
        <v>225234.77</v>
      </c>
      <c r="AZ197" s="90"/>
      <c r="BB197" s="136"/>
      <c r="BC197" s="95"/>
    </row>
    <row r="198" customFormat="false" ht="12.75" hidden="false" customHeight="false" outlineLevel="0" collapsed="false">
      <c r="A198" s="152"/>
      <c r="B198" s="219" t="s">
        <v>327</v>
      </c>
      <c r="C198" s="218"/>
      <c r="K198" s="90"/>
      <c r="M198" s="90"/>
      <c r="O198" s="90"/>
      <c r="Q198" s="96" t="n">
        <f aca="false">93504.37+28622.5</f>
        <v>122126.87</v>
      </c>
      <c r="U198" s="96" t="n">
        <f aca="false">25448.82</f>
        <v>25448.82</v>
      </c>
      <c r="V198" s="136"/>
      <c r="X198" s="136"/>
      <c r="Z198" s="136"/>
      <c r="AB198" s="136"/>
      <c r="AD198" s="136"/>
      <c r="AS198" s="95" t="n">
        <f aca="false">SUM(P198:AR198)</f>
        <v>147575.69</v>
      </c>
      <c r="AX198" s="90"/>
      <c r="AY198" s="95" t="n">
        <f aca="false">+AW198+AS198</f>
        <v>147575.69</v>
      </c>
      <c r="AZ198" s="90"/>
      <c r="BB198" s="136"/>
      <c r="BC198" s="95" t="s">
        <v>510</v>
      </c>
    </row>
    <row r="199" customFormat="false" ht="12.75" hidden="false" customHeight="false" outlineLevel="0" collapsed="false">
      <c r="A199" s="152"/>
      <c r="B199" s="219" t="s">
        <v>326</v>
      </c>
      <c r="C199" s="218"/>
      <c r="K199" s="90"/>
      <c r="M199" s="90"/>
      <c r="O199" s="90"/>
      <c r="Q199" s="96" t="n">
        <v>21649</v>
      </c>
      <c r="S199" s="96" t="n">
        <v>833</v>
      </c>
      <c r="V199" s="136"/>
      <c r="X199" s="136"/>
      <c r="Y199" s="96" t="n">
        <v>-22066.15</v>
      </c>
      <c r="Z199" s="136"/>
      <c r="AB199" s="136"/>
      <c r="AD199" s="136"/>
      <c r="AS199" s="95" t="n">
        <f aca="false">SUM(P199:AR199)</f>
        <v>415.849999999999</v>
      </c>
      <c r="AX199" s="90"/>
      <c r="AY199" s="95" t="n">
        <f aca="false">+AW199+AS199</f>
        <v>415.849999999999</v>
      </c>
      <c r="AZ199" s="90"/>
      <c r="BB199" s="136"/>
      <c r="BC199" s="95"/>
    </row>
    <row r="200" customFormat="false" ht="12.75" hidden="false" customHeight="false" outlineLevel="0" collapsed="false">
      <c r="A200" s="152"/>
      <c r="B200" s="219" t="s">
        <v>329</v>
      </c>
      <c r="C200" s="218"/>
      <c r="K200" s="90"/>
      <c r="M200" s="90"/>
      <c r="O200" s="90"/>
      <c r="Q200" s="96" t="n">
        <v>16218</v>
      </c>
      <c r="V200" s="136"/>
      <c r="X200" s="136"/>
      <c r="Z200" s="136"/>
      <c r="AB200" s="136"/>
      <c r="AC200" s="96" t="n">
        <v>1785.85</v>
      </c>
      <c r="AD200" s="136"/>
      <c r="AS200" s="95" t="n">
        <f aca="false">SUM(P200:AR200)</f>
        <v>18003.85</v>
      </c>
      <c r="AX200" s="90"/>
      <c r="AY200" s="95" t="n">
        <f aca="false">+AW200+AS200</f>
        <v>18003.85</v>
      </c>
      <c r="AZ200" s="90"/>
      <c r="BB200" s="136"/>
      <c r="BC200" s="95"/>
    </row>
    <row r="201" customFormat="false" ht="12.75" hidden="false" customHeight="false" outlineLevel="0" collapsed="false">
      <c r="A201" s="152"/>
      <c r="B201" s="219" t="s">
        <v>332</v>
      </c>
      <c r="C201" s="218"/>
      <c r="K201" s="90"/>
      <c r="M201" s="90"/>
      <c r="O201" s="90"/>
      <c r="Q201" s="96" t="n">
        <f aca="false">3311+1688.33</f>
        <v>4999.33</v>
      </c>
      <c r="V201" s="136"/>
      <c r="X201" s="136"/>
      <c r="Z201" s="136"/>
      <c r="AB201" s="136"/>
      <c r="AD201" s="136"/>
      <c r="AE201" s="96" t="n">
        <v>4449.95</v>
      </c>
      <c r="AI201" s="96" t="n">
        <v>19502.67</v>
      </c>
      <c r="AK201" s="96" t="n">
        <f aca="false">4260.58+3078.33+7891.38</f>
        <v>15230.29</v>
      </c>
      <c r="AM201" s="96" t="n">
        <v>3271.03</v>
      </c>
      <c r="AS201" s="95" t="n">
        <f aca="false">SUM(P201:AR201)</f>
        <v>47453.27</v>
      </c>
      <c r="AX201" s="90"/>
      <c r="AY201" s="95" t="n">
        <f aca="false">+AW201+AS201</f>
        <v>47453.27</v>
      </c>
      <c r="AZ201" s="90"/>
      <c r="BB201" s="136"/>
      <c r="BC201" s="95"/>
    </row>
    <row r="202" customFormat="false" ht="12.75" hidden="false" customHeight="false" outlineLevel="0" collapsed="false">
      <c r="A202" s="152"/>
      <c r="B202" s="219" t="s">
        <v>335</v>
      </c>
      <c r="C202" s="218"/>
      <c r="K202" s="90"/>
      <c r="M202" s="90"/>
      <c r="O202" s="90"/>
      <c r="Q202" s="96" t="n">
        <v>0</v>
      </c>
      <c r="V202" s="136"/>
      <c r="X202" s="136"/>
      <c r="Y202" s="96" t="n">
        <v>1652</v>
      </c>
      <c r="Z202" s="136"/>
      <c r="AB202" s="136"/>
      <c r="AC202" s="96" t="n">
        <f aca="false">33.01+2590.24+500</f>
        <v>3123.25</v>
      </c>
      <c r="AD202" s="136"/>
      <c r="AG202" s="96" t="n">
        <f aca="false">12443.36+2218.41+1136.9+324.46+3202.53+3067.16</f>
        <v>22392.82</v>
      </c>
      <c r="AI202" s="96" t="n">
        <f aca="false">10800+39960.67+4228.9</f>
        <v>54989.57</v>
      </c>
      <c r="AK202" s="96" t="n">
        <f aca="false">1589.29+11625</f>
        <v>13214.29</v>
      </c>
      <c r="AM202" s="96" t="n">
        <v>4115</v>
      </c>
      <c r="AS202" s="95" t="n">
        <f aca="false">SUM(P202:AR202)</f>
        <v>99486.93</v>
      </c>
      <c r="AX202" s="90"/>
      <c r="AY202" s="95" t="n">
        <f aca="false">+AW202+AS202</f>
        <v>99486.93</v>
      </c>
      <c r="AZ202" s="90"/>
      <c r="BB202" s="136"/>
      <c r="BC202" s="95"/>
    </row>
    <row r="203" customFormat="false" ht="12.75" hidden="false" customHeight="false" outlineLevel="0" collapsed="false">
      <c r="A203" s="152"/>
      <c r="B203" s="219" t="s">
        <v>511</v>
      </c>
      <c r="C203" s="218"/>
      <c r="K203" s="90"/>
      <c r="M203" s="90"/>
      <c r="O203" s="90"/>
      <c r="V203" s="136"/>
      <c r="X203" s="136"/>
      <c r="Z203" s="136"/>
      <c r="AB203" s="136"/>
      <c r="AD203" s="136"/>
      <c r="AS203" s="95" t="n">
        <f aca="false">SUM(P203:AR203)</f>
        <v>0</v>
      </c>
      <c r="AX203" s="90"/>
      <c r="AY203" s="95" t="n">
        <f aca="false">+AW203+AS203</f>
        <v>0</v>
      </c>
      <c r="AZ203" s="90"/>
      <c r="BB203" s="136"/>
      <c r="BC203" s="95"/>
    </row>
    <row r="204" customFormat="false" ht="12.75" hidden="false" customHeight="false" outlineLevel="0" collapsed="false">
      <c r="A204" s="152"/>
      <c r="B204" s="219" t="s">
        <v>330</v>
      </c>
      <c r="C204" s="218"/>
      <c r="K204" s="265"/>
      <c r="M204" s="265"/>
      <c r="O204" s="265"/>
      <c r="Q204" s="139" t="n">
        <f aca="false">230+77</f>
        <v>307</v>
      </c>
      <c r="S204" s="139"/>
      <c r="U204" s="139"/>
      <c r="V204" s="136"/>
      <c r="W204" s="139"/>
      <c r="X204" s="136"/>
      <c r="Y204" s="139"/>
      <c r="Z204" s="136"/>
      <c r="AA204" s="139"/>
      <c r="AB204" s="136"/>
      <c r="AC204" s="139"/>
      <c r="AD204" s="136"/>
      <c r="AE204" s="139"/>
      <c r="AG204" s="139"/>
      <c r="AI204" s="139"/>
      <c r="AK204" s="139"/>
      <c r="AL204" s="139"/>
      <c r="AM204" s="139"/>
      <c r="AO204" s="139"/>
      <c r="AQ204" s="139"/>
      <c r="AS204" s="95" t="n">
        <f aca="false">SUM(P204:AR204)</f>
        <v>307</v>
      </c>
      <c r="AU204" s="139"/>
      <c r="AW204" s="140"/>
      <c r="AX204" s="90"/>
      <c r="AY204" s="140" t="n">
        <f aca="false">+AW204+AS204</f>
        <v>307</v>
      </c>
      <c r="AZ204" s="90"/>
      <c r="BA204" s="140"/>
      <c r="BB204" s="95"/>
      <c r="BC204" s="95"/>
    </row>
    <row r="205" customFormat="false" ht="12.75" hidden="false" customHeight="false" outlineLevel="0" collapsed="false">
      <c r="A205" s="152"/>
      <c r="B205" s="219" t="s">
        <v>512</v>
      </c>
      <c r="C205" s="218"/>
      <c r="K205" s="24" t="n">
        <v>500000</v>
      </c>
      <c r="M205" s="24" t="n">
        <v>-200000</v>
      </c>
      <c r="O205" s="24" t="n">
        <f aca="false">SUM(K205:N205)</f>
        <v>300000</v>
      </c>
      <c r="Q205" s="129" t="n">
        <f aca="false">SUBTOTAL(9,Q194:Q204)</f>
        <v>185400.53</v>
      </c>
      <c r="R205" s="244"/>
      <c r="S205" s="129" t="n">
        <f aca="false">SUBTOTAL(9,S194:S204)</f>
        <v>1435</v>
      </c>
      <c r="T205" s="244"/>
      <c r="U205" s="129" t="n">
        <f aca="false">SUBTOTAL(9,U194:U204)</f>
        <v>29347.02</v>
      </c>
      <c r="V205" s="24"/>
      <c r="W205" s="129" t="n">
        <f aca="false">SUBTOTAL(9,W194:W204)</f>
        <v>4798.43</v>
      </c>
      <c r="X205" s="24"/>
      <c r="Y205" s="129" t="n">
        <f aca="false">SUBTOTAL(9,Y194:Y204)</f>
        <v>-13959.16</v>
      </c>
      <c r="Z205" s="24"/>
      <c r="AA205" s="129" t="n">
        <f aca="false">SUBTOTAL(9,AA194:AA204)</f>
        <v>5322.99</v>
      </c>
      <c r="AB205" s="24"/>
      <c r="AC205" s="129" t="n">
        <f aca="false">SUBTOTAL(9,AC194:AC204)</f>
        <v>148590.96</v>
      </c>
      <c r="AD205" s="24"/>
      <c r="AE205" s="129" t="n">
        <f aca="false">SUBTOTAL(9,AE194:AE204)</f>
        <v>42812.63</v>
      </c>
      <c r="AF205" s="129"/>
      <c r="AG205" s="129" t="n">
        <f aca="false">SUBTOTAL(9,AG194:AG204)</f>
        <v>89040.79</v>
      </c>
      <c r="AH205" s="129"/>
      <c r="AI205" s="129" t="n">
        <f aca="false">SUBTOTAL(9,AI194:AI204)</f>
        <v>78710.03</v>
      </c>
      <c r="AJ205" s="129"/>
      <c r="AK205" s="129" t="n">
        <f aca="false">SUBTOTAL(9,AK194:AK204)</f>
        <v>55225.8</v>
      </c>
      <c r="AL205" s="129"/>
      <c r="AM205" s="129" t="n">
        <f aca="false">SUBTOTAL(9,AM194:AM204)</f>
        <v>8094.25</v>
      </c>
      <c r="AN205" s="129"/>
      <c r="AO205" s="129" t="n">
        <f aca="false">SUBTOTAL(9,AO194:AO204)</f>
        <v>3362.58</v>
      </c>
      <c r="AP205" s="129"/>
      <c r="AQ205" s="129" t="n">
        <f aca="false">SUBTOTAL(9,AQ194:AQ204)</f>
        <v>0</v>
      </c>
      <c r="AS205" s="155" t="n">
        <f aca="false">SUBTOTAL(9,AS194:AS204)</f>
        <v>638181.85</v>
      </c>
      <c r="AU205" s="129" t="n">
        <f aca="false">SUBTOTAL(9,AU194:AU204)</f>
        <v>0</v>
      </c>
      <c r="AW205" s="24" t="n">
        <f aca="false">IF(+O205-AS205+AU205&gt;0,O205-AS205+AU205,0)</f>
        <v>0</v>
      </c>
      <c r="AX205" s="90"/>
      <c r="AY205" s="24" t="n">
        <f aca="false">+AW205+AS205</f>
        <v>638181.85</v>
      </c>
      <c r="AZ205" s="90"/>
      <c r="BA205" s="95" t="n">
        <f aca="false">O205-AS205-AW205</f>
        <v>-338181.85</v>
      </c>
      <c r="BB205" s="136"/>
      <c r="BC205" s="95"/>
    </row>
    <row r="206" customFormat="false" ht="12.75" hidden="false" customHeight="false" outlineLevel="0" collapsed="false">
      <c r="A206" s="152"/>
      <c r="B206" s="219"/>
      <c r="C206" s="218"/>
      <c r="K206" s="90"/>
      <c r="M206" s="90"/>
      <c r="O206" s="90"/>
      <c r="AX206" s="90"/>
      <c r="AZ206" s="90"/>
      <c r="BB206" s="95"/>
      <c r="BC206" s="95"/>
    </row>
    <row r="207" customFormat="false" ht="12.75" hidden="false" customHeight="false" outlineLevel="0" collapsed="false">
      <c r="A207" s="152" t="s">
        <v>337</v>
      </c>
      <c r="B207" s="219"/>
      <c r="C207" s="218" t="s">
        <v>147</v>
      </c>
      <c r="E207" s="94" t="s">
        <v>338</v>
      </c>
      <c r="G207" s="94" t="s">
        <v>339</v>
      </c>
      <c r="K207" s="90"/>
      <c r="M207" s="24"/>
      <c r="O207" s="24"/>
      <c r="AX207" s="90"/>
      <c r="AZ207" s="90"/>
      <c r="BB207" s="95"/>
      <c r="BC207" s="95"/>
    </row>
    <row r="208" customFormat="false" ht="12.75" hidden="false" customHeight="false" outlineLevel="0" collapsed="false">
      <c r="A208" s="152"/>
      <c r="B208" s="219" t="s">
        <v>344</v>
      </c>
      <c r="C208" s="218"/>
      <c r="K208" s="90"/>
      <c r="M208" s="24"/>
      <c r="O208" s="24"/>
      <c r="Q208" s="96" t="n">
        <f aca="false">447.92+4678.29</f>
        <v>5126.21</v>
      </c>
      <c r="V208" s="136"/>
      <c r="X208" s="136"/>
      <c r="Z208" s="136"/>
      <c r="AB208" s="136"/>
      <c r="AD208" s="136"/>
      <c r="AS208" s="95" t="n">
        <f aca="false">SUM(P208:AR208)</f>
        <v>5126.21</v>
      </c>
      <c r="AX208" s="90"/>
      <c r="AY208" s="95" t="n">
        <f aca="false">+AW208+AS208</f>
        <v>5126.21</v>
      </c>
      <c r="AZ208" s="90"/>
      <c r="BB208" s="95"/>
      <c r="BC208" s="95"/>
    </row>
    <row r="209" customFormat="false" ht="12.75" hidden="false" customHeight="false" outlineLevel="0" collapsed="false">
      <c r="A209" s="152"/>
      <c r="B209" s="219" t="s">
        <v>342</v>
      </c>
      <c r="C209" s="218"/>
      <c r="Q209" s="96" t="n">
        <f aca="false">9144.13+1027.3+135+774.48+2323.44+3048.04+482.07+2842.8+1575.38+30905.85+999.58+1238.97+19149.04</f>
        <v>73646.08</v>
      </c>
      <c r="V209" s="136"/>
      <c r="X209" s="136"/>
      <c r="Z209" s="136"/>
      <c r="AB209" s="136"/>
      <c r="AC209" s="96" t="n">
        <f aca="false">26337+1911+7532.22+10052.41+634.15</f>
        <v>46466.78</v>
      </c>
      <c r="AD209" s="136"/>
      <c r="AG209" s="96" t="n">
        <f aca="false">8514.86+169.13+3022+7400+9018.07+5514.18</f>
        <v>33638.24</v>
      </c>
      <c r="AK209" s="96" t="n">
        <f aca="false">2031.75+23047.12</f>
        <v>25078.87</v>
      </c>
      <c r="AS209" s="95" t="n">
        <f aca="false">SUM(P209:AR209)</f>
        <v>178829.97</v>
      </c>
      <c r="AX209" s="90"/>
      <c r="AY209" s="95" t="n">
        <f aca="false">+AW209+AS209</f>
        <v>178829.97</v>
      </c>
      <c r="AZ209" s="90"/>
      <c r="BB209" s="136"/>
      <c r="BC209" s="95"/>
    </row>
    <row r="210" customFormat="false" ht="12.75" hidden="false" customHeight="false" outlineLevel="0" collapsed="false">
      <c r="A210" s="152"/>
      <c r="B210" s="219" t="s">
        <v>341</v>
      </c>
      <c r="C210" s="218"/>
      <c r="Q210" s="96" t="n">
        <v>0</v>
      </c>
      <c r="V210" s="136"/>
      <c r="X210" s="136"/>
      <c r="Z210" s="136"/>
      <c r="AB210" s="136"/>
      <c r="AD210" s="136"/>
      <c r="AS210" s="95" t="n">
        <f aca="false">SUM(P210:AR210)</f>
        <v>0</v>
      </c>
      <c r="AX210" s="90"/>
      <c r="AY210" s="95" t="n">
        <f aca="false">+AW210+AS210</f>
        <v>0</v>
      </c>
      <c r="AZ210" s="90"/>
      <c r="BB210" s="136"/>
      <c r="BC210" s="95"/>
    </row>
    <row r="211" customFormat="false" ht="12.75" hidden="false" customHeight="false" outlineLevel="0" collapsed="false">
      <c r="A211" s="152"/>
      <c r="B211" s="219" t="s">
        <v>513</v>
      </c>
      <c r="C211" s="218"/>
      <c r="Q211" s="96" t="n">
        <v>5964.94</v>
      </c>
      <c r="V211" s="136"/>
      <c r="X211" s="136"/>
      <c r="Z211" s="136"/>
      <c r="AB211" s="136"/>
      <c r="AD211" s="136"/>
      <c r="AS211" s="95" t="n">
        <f aca="false">SUM(P211:AR211)</f>
        <v>5964.94</v>
      </c>
      <c r="AX211" s="90"/>
      <c r="AY211" s="95" t="n">
        <f aca="false">+AW211+AS211</f>
        <v>5964.94</v>
      </c>
      <c r="AZ211" s="90"/>
      <c r="BB211" s="136"/>
      <c r="BC211" s="95"/>
    </row>
    <row r="212" customFormat="false" ht="12.75" hidden="false" customHeight="false" outlineLevel="0" collapsed="false">
      <c r="A212" s="152"/>
      <c r="B212" s="219" t="s">
        <v>335</v>
      </c>
      <c r="C212" s="218"/>
      <c r="Q212" s="96" t="n">
        <v>0</v>
      </c>
      <c r="V212" s="136"/>
      <c r="W212" s="96" t="n">
        <v>133167</v>
      </c>
      <c r="X212" s="136"/>
      <c r="Z212" s="136"/>
      <c r="AB212" s="136"/>
      <c r="AC212" s="96" t="n">
        <f aca="false">7285.44+70.62-91.29</f>
        <v>7264.77</v>
      </c>
      <c r="AD212" s="136"/>
      <c r="AG212" s="96" t="n">
        <f aca="false">4433.7+3681+610+12507.56</f>
        <v>21232.26</v>
      </c>
      <c r="AK212" s="96" t="n">
        <f aca="false">2747.71+316.3</f>
        <v>3064.01</v>
      </c>
      <c r="AM212" s="96" t="n">
        <f aca="false">532.87+2141.83+299.21</f>
        <v>2973.91</v>
      </c>
      <c r="AO212" s="96" t="n">
        <v>2233.33</v>
      </c>
      <c r="AS212" s="95" t="n">
        <f aca="false">SUM(P212:AR212)</f>
        <v>169935.28</v>
      </c>
      <c r="AX212" s="90"/>
      <c r="AY212" s="95" t="n">
        <f aca="false">+AW212+AS212</f>
        <v>169935.28</v>
      </c>
      <c r="AZ212" s="90"/>
      <c r="BB212" s="136"/>
      <c r="BC212" s="95"/>
    </row>
    <row r="213" customFormat="false" ht="12.75" hidden="false" customHeight="false" outlineLevel="0" collapsed="false">
      <c r="A213" s="152"/>
      <c r="B213" s="219" t="s">
        <v>345</v>
      </c>
      <c r="C213" s="218"/>
      <c r="K213" s="140"/>
      <c r="M213" s="140"/>
      <c r="O213" s="140"/>
      <c r="Q213" s="139" t="n">
        <f aca="false">696.51+80.17+4421.02+2229.14+2089.52+240.5+6687.43+3737.58+7511.74</f>
        <v>27693.61</v>
      </c>
      <c r="S213" s="139"/>
      <c r="U213" s="139" t="n">
        <f aca="false">4398.29+1099.57</f>
        <v>5497.86</v>
      </c>
      <c r="V213" s="136"/>
      <c r="W213" s="139"/>
      <c r="X213" s="136"/>
      <c r="Y213" s="139"/>
      <c r="Z213" s="136"/>
      <c r="AA213" s="139"/>
      <c r="AB213" s="136"/>
      <c r="AC213" s="139" t="n">
        <f aca="false">1811.08+3575.02+11710.69+119286.95</f>
        <v>136383.74</v>
      </c>
      <c r="AD213" s="136"/>
      <c r="AE213" s="139"/>
      <c r="AG213" s="139"/>
      <c r="AI213" s="139"/>
      <c r="AK213" s="139" t="n">
        <f aca="false">3574.3+2014.19</f>
        <v>5588.49</v>
      </c>
      <c r="AL213" s="139"/>
      <c r="AM213" s="139"/>
      <c r="AO213" s="139" t="n">
        <v>3946.28</v>
      </c>
      <c r="AQ213" s="139"/>
      <c r="AS213" s="95" t="n">
        <f aca="false">SUM(P213:AR213)</f>
        <v>179109.98</v>
      </c>
      <c r="AU213" s="139"/>
      <c r="AW213" s="140"/>
      <c r="AX213" s="90"/>
      <c r="AY213" s="140" t="n">
        <f aca="false">+AW213+AS213</f>
        <v>179109.98</v>
      </c>
      <c r="AZ213" s="90"/>
      <c r="BA213" s="140"/>
      <c r="BB213" s="136"/>
      <c r="BC213" s="95"/>
    </row>
    <row r="214" customFormat="false" ht="12.75" hidden="false" customHeight="false" outlineLevel="0" collapsed="false">
      <c r="A214" s="152"/>
      <c r="B214" s="219" t="s">
        <v>350</v>
      </c>
      <c r="C214" s="218"/>
      <c r="K214" s="24" t="n">
        <v>850000</v>
      </c>
      <c r="M214" s="24" t="n">
        <v>-550000</v>
      </c>
      <c r="O214" s="24" t="n">
        <f aca="false">SUM(K214:N214)</f>
        <v>300000</v>
      </c>
      <c r="Q214" s="129" t="n">
        <f aca="false">SUBTOTAL(9,Q208:Q213)</f>
        <v>112430.84</v>
      </c>
      <c r="R214" s="244"/>
      <c r="S214" s="129" t="n">
        <f aca="false">SUBTOTAL(9,S208:S213)</f>
        <v>0</v>
      </c>
      <c r="T214" s="244"/>
      <c r="U214" s="129" t="n">
        <f aca="false">SUBTOTAL(9,U208:U213)</f>
        <v>5497.86</v>
      </c>
      <c r="V214" s="162"/>
      <c r="W214" s="129" t="n">
        <f aca="false">SUBTOTAL(9,W208:W213)</f>
        <v>133167</v>
      </c>
      <c r="X214" s="162"/>
      <c r="Y214" s="129" t="n">
        <f aca="false">SUBTOTAL(9,Y208:Y213)</f>
        <v>0</v>
      </c>
      <c r="Z214" s="162"/>
      <c r="AA214" s="129" t="n">
        <f aca="false">SUBTOTAL(9,AA208:AA213)</f>
        <v>0</v>
      </c>
      <c r="AB214" s="162"/>
      <c r="AC214" s="129" t="n">
        <f aca="false">SUBTOTAL(9,AC208:AC213)</f>
        <v>190115.29</v>
      </c>
      <c r="AD214" s="162"/>
      <c r="AE214" s="129" t="n">
        <f aca="false">SUBTOTAL(9,AE208:AE213)</f>
        <v>0</v>
      </c>
      <c r="AF214" s="129"/>
      <c r="AG214" s="129" t="n">
        <f aca="false">SUBTOTAL(9,AG208:AG213)</f>
        <v>54870.5</v>
      </c>
      <c r="AH214" s="129"/>
      <c r="AI214" s="129" t="n">
        <f aca="false">SUBTOTAL(9,AI208:AI213)</f>
        <v>0</v>
      </c>
      <c r="AJ214" s="129"/>
      <c r="AK214" s="129" t="n">
        <f aca="false">SUBTOTAL(9,AK208:AK213)</f>
        <v>33731.37</v>
      </c>
      <c r="AL214" s="129"/>
      <c r="AM214" s="129" t="n">
        <f aca="false">SUBTOTAL(9,AM208:AM213)</f>
        <v>2973.91</v>
      </c>
      <c r="AN214" s="129"/>
      <c r="AO214" s="129" t="n">
        <f aca="false">SUBTOTAL(9,AO208:AO213)</f>
        <v>6179.61</v>
      </c>
      <c r="AP214" s="129"/>
      <c r="AQ214" s="129" t="n">
        <f aca="false">SUBTOTAL(9,AQ208:AQ213)</f>
        <v>0</v>
      </c>
      <c r="AS214" s="155" t="n">
        <f aca="false">SUBTOTAL(9,AS208:AS213)</f>
        <v>538966.38</v>
      </c>
      <c r="AU214" s="129" t="n">
        <f aca="false">SUBTOTAL(9,AU208:AU213)</f>
        <v>0</v>
      </c>
      <c r="AW214" s="24" t="n">
        <f aca="false">IF(+O214-AS214+AU214&gt;0,O214-AS214+AU214,0)</f>
        <v>0</v>
      </c>
      <c r="AX214" s="90"/>
      <c r="AY214" s="24" t="n">
        <f aca="false">+AW214+AS214</f>
        <v>538966.38</v>
      </c>
      <c r="AZ214" s="90"/>
      <c r="BA214" s="95" t="n">
        <f aca="false">O214-AS214-AW214</f>
        <v>-238966.38</v>
      </c>
      <c r="BB214" s="136"/>
      <c r="BC214" s="95"/>
    </row>
    <row r="215" customFormat="false" ht="12.75" hidden="false" customHeight="false" outlineLevel="0" collapsed="false">
      <c r="A215" s="152"/>
      <c r="B215" s="219"/>
      <c r="C215" s="218"/>
      <c r="AX215" s="90"/>
      <c r="AZ215" s="90"/>
      <c r="BB215" s="95"/>
      <c r="BC215" s="95"/>
    </row>
    <row r="216" customFormat="false" ht="12.75" hidden="false" customHeight="false" outlineLevel="0" collapsed="false">
      <c r="A216" s="152" t="s">
        <v>351</v>
      </c>
      <c r="B216" s="219"/>
      <c r="C216" s="218" t="s">
        <v>147</v>
      </c>
      <c r="G216" s="94" t="s">
        <v>352</v>
      </c>
      <c r="K216" s="24" t="n">
        <v>0</v>
      </c>
      <c r="M216" s="24" t="n">
        <v>1000000</v>
      </c>
      <c r="O216" s="24" t="n">
        <f aca="false">SUM(K216:N216)</f>
        <v>1000000</v>
      </c>
      <c r="Q216" s="129" t="n">
        <v>0</v>
      </c>
      <c r="S216" s="129" t="n">
        <v>0</v>
      </c>
      <c r="U216" s="129" t="n">
        <v>0</v>
      </c>
      <c r="W216" s="129"/>
      <c r="X216" s="96"/>
      <c r="Y216" s="129"/>
      <c r="Z216" s="96"/>
      <c r="AA216" s="129" t="n">
        <v>50000</v>
      </c>
      <c r="AB216" s="96"/>
      <c r="AC216" s="129" t="n">
        <v>54683.74</v>
      </c>
      <c r="AD216" s="96"/>
      <c r="AE216" s="129" t="n">
        <f aca="false">-50000+181581</f>
        <v>131581</v>
      </c>
      <c r="AF216" s="129"/>
      <c r="AG216" s="129" t="n">
        <v>138751</v>
      </c>
      <c r="AH216" s="129"/>
      <c r="AI216" s="129"/>
      <c r="AJ216" s="129"/>
      <c r="AK216" s="129"/>
      <c r="AL216" s="129"/>
      <c r="AM216" s="129"/>
      <c r="AN216" s="129"/>
      <c r="AO216" s="129"/>
      <c r="AP216" s="129"/>
      <c r="AQ216" s="129"/>
      <c r="AR216" s="129"/>
      <c r="AS216" s="95" t="n">
        <f aca="false">SUM(P216:AR216)</f>
        <v>375015.74</v>
      </c>
      <c r="AU216" s="129" t="n">
        <v>-650000</v>
      </c>
      <c r="AW216" s="95" t="n">
        <f aca="false">IF(+O216-AS216+AU216&gt;0,O216-AS216+AU216,0)</f>
        <v>0</v>
      </c>
      <c r="AX216" s="90"/>
      <c r="AY216" s="95" t="n">
        <f aca="false">+AW216+AS216</f>
        <v>375015.74</v>
      </c>
      <c r="AZ216" s="90"/>
      <c r="BA216" s="95" t="n">
        <f aca="false">O216-AS216-AW216</f>
        <v>624984.26</v>
      </c>
    </row>
    <row r="217" customFormat="false" ht="12.75" hidden="false" customHeight="false" outlineLevel="0" collapsed="false">
      <c r="A217" s="152"/>
      <c r="B217" s="219"/>
      <c r="C217" s="218"/>
      <c r="AX217" s="90"/>
      <c r="AZ217" s="90"/>
      <c r="BB217" s="95"/>
      <c r="BC217" s="95"/>
    </row>
    <row r="218" customFormat="false" ht="12.75" hidden="false" customHeight="false" outlineLevel="0" collapsed="false">
      <c r="A218" s="225"/>
      <c r="B218" s="249" t="s">
        <v>353</v>
      </c>
      <c r="C218" s="218"/>
      <c r="G218" s="90"/>
      <c r="K218" s="24" t="n">
        <f aca="false">K214+K205+K189+K191+K216</f>
        <v>2850000</v>
      </c>
      <c r="M218" s="24" t="n">
        <f aca="false">M214+M205+M189+M191+M216</f>
        <v>-186464.85</v>
      </c>
      <c r="O218" s="24" t="n">
        <f aca="false">O214+O205+O189+O191+O216</f>
        <v>2663535.15</v>
      </c>
      <c r="Q218" s="129" t="n">
        <f aca="false">Q214+Q205+Q189+Q191+Q216</f>
        <v>361366.52</v>
      </c>
      <c r="R218" s="244"/>
      <c r="S218" s="129" t="n">
        <f aca="false">S214+S205+S189+S191+S216</f>
        <v>69820.9433333333</v>
      </c>
      <c r="T218" s="244"/>
      <c r="U218" s="129" t="n">
        <f aca="false">U214+U205+U189+U191+U216</f>
        <v>845882.42</v>
      </c>
      <c r="V218" s="24"/>
      <c r="W218" s="129" t="n">
        <f aca="false">W214+W205+W189+W191+W216</f>
        <v>137965.43</v>
      </c>
      <c r="X218" s="24"/>
      <c r="Y218" s="129" t="n">
        <f aca="false">Y214+Y205+Y189+Y191+Y216</f>
        <v>-13959.16</v>
      </c>
      <c r="Z218" s="24"/>
      <c r="AA218" s="129" t="n">
        <f aca="false">AA214+AA205+AA189+AA191+AA216</f>
        <v>54496.99</v>
      </c>
      <c r="AB218" s="24"/>
      <c r="AC218" s="129" t="n">
        <f aca="false">AC214+AC205+AC189+AC191+AC216</f>
        <v>476723.32</v>
      </c>
      <c r="AD218" s="24"/>
      <c r="AE218" s="129" t="n">
        <f aca="false">AE214+AE205+AE189+AE191+AE216</f>
        <v>174393.63</v>
      </c>
      <c r="AF218" s="129"/>
      <c r="AG218" s="129" t="n">
        <f aca="false">AG214+AG205+AG189+AG191+AG216</f>
        <v>282662.29</v>
      </c>
      <c r="AH218" s="129"/>
      <c r="AI218" s="129" t="n">
        <f aca="false">AI214+AI205+AI189+AI191+AI216</f>
        <v>78710.03</v>
      </c>
      <c r="AJ218" s="129"/>
      <c r="AK218" s="129" t="n">
        <f aca="false">AK214+AK205+AK189+AK191+AK216</f>
        <v>88957.17</v>
      </c>
      <c r="AL218" s="129"/>
      <c r="AM218" s="129" t="n">
        <f aca="false">AM214+AM205+AM189+AM191+AM216</f>
        <v>11068.16</v>
      </c>
      <c r="AN218" s="129"/>
      <c r="AO218" s="129" t="n">
        <f aca="false">AO214+AO205+AO189+AO191+AO216</f>
        <v>92875.52</v>
      </c>
      <c r="AP218" s="129"/>
      <c r="AQ218" s="129" t="n">
        <f aca="false">AQ214+AQ205+AQ189+AQ191+AQ216</f>
        <v>107679.56</v>
      </c>
      <c r="AS218" s="24" t="n">
        <f aca="false">AS214+AS205+AS189+AS191+AS216</f>
        <v>2768642.82333333</v>
      </c>
      <c r="AU218" s="129" t="n">
        <f aca="false">AU214+AU205+AU189+AU191+AU216</f>
        <v>-457765</v>
      </c>
      <c r="AW218" s="24" t="n">
        <f aca="false">AW214+AW205+AW189+AW191+AW216</f>
        <v>0</v>
      </c>
      <c r="AX218" s="90"/>
      <c r="AY218" s="24" t="n">
        <f aca="false">+AW218+AS218</f>
        <v>2768642.82333333</v>
      </c>
      <c r="AZ218" s="90"/>
      <c r="BA218" s="24" t="n">
        <f aca="false">BA214+BA205+BA189+BA191+BA216</f>
        <v>-105107.673333333</v>
      </c>
      <c r="BB218" s="24"/>
      <c r="BC218" s="24"/>
    </row>
    <row r="219" customFormat="false" ht="12.75" hidden="false" customHeight="false" outlineLevel="0" collapsed="false">
      <c r="A219" s="225"/>
      <c r="B219" s="222"/>
      <c r="C219" s="218"/>
      <c r="G219" s="90"/>
      <c r="K219" s="24"/>
      <c r="M219" s="24"/>
      <c r="O219" s="24"/>
      <c r="Q219" s="129"/>
      <c r="R219" s="244"/>
      <c r="S219" s="129"/>
      <c r="T219" s="244"/>
      <c r="U219" s="129"/>
      <c r="V219" s="24"/>
      <c r="W219" s="129"/>
      <c r="X219" s="24"/>
      <c r="Y219" s="129"/>
      <c r="Z219" s="24"/>
      <c r="AA219" s="129"/>
      <c r="AB219" s="24"/>
      <c r="AC219" s="129"/>
      <c r="AD219" s="24"/>
      <c r="AE219" s="129"/>
      <c r="AF219" s="129"/>
      <c r="AG219" s="129"/>
      <c r="AH219" s="129"/>
      <c r="AI219" s="129"/>
      <c r="AJ219" s="129"/>
      <c r="AK219" s="129"/>
      <c r="AL219" s="129"/>
      <c r="AM219" s="129"/>
      <c r="AN219" s="129"/>
      <c r="AO219" s="129"/>
      <c r="AP219" s="129"/>
      <c r="AQ219" s="129"/>
      <c r="AS219" s="24"/>
      <c r="AU219" s="129"/>
      <c r="AW219" s="24"/>
      <c r="AX219" s="90"/>
      <c r="AY219" s="24"/>
      <c r="AZ219" s="90"/>
      <c r="BA219" s="24"/>
      <c r="BB219" s="24"/>
      <c r="BC219" s="24"/>
    </row>
    <row r="220" customFormat="false" ht="13.5" hidden="false" customHeight="false" outlineLevel="0" collapsed="false">
      <c r="A220" s="250" t="s">
        <v>514</v>
      </c>
      <c r="B220" s="251"/>
      <c r="C220" s="266"/>
      <c r="K220" s="149" t="n">
        <f aca="false">K218+K179</f>
        <v>109972038.991154</v>
      </c>
      <c r="M220" s="149" t="n">
        <f aca="false">M218+M179</f>
        <v>23779361.15</v>
      </c>
      <c r="O220" s="149" t="n">
        <f aca="false">O218+O179</f>
        <v>128386300.141154</v>
      </c>
      <c r="Q220" s="150" t="n">
        <f aca="false">Q179+Q218</f>
        <v>63865966.15</v>
      </c>
      <c r="R220" s="244"/>
      <c r="S220" s="150" t="n">
        <f aca="false">S179+S218</f>
        <v>1102894.51333333</v>
      </c>
      <c r="T220" s="244"/>
      <c r="U220" s="150" t="n">
        <f aca="false">U179+U218</f>
        <v>19590654.1</v>
      </c>
      <c r="V220" s="24"/>
      <c r="W220" s="150" t="n">
        <f aca="false">W179+W218</f>
        <v>572532.99</v>
      </c>
      <c r="X220" s="24"/>
      <c r="Y220" s="150" t="n">
        <f aca="false">Y179+Y218</f>
        <v>-106875.779999999</v>
      </c>
      <c r="Z220" s="24"/>
      <c r="AA220" s="150" t="n">
        <f aca="false">AA179+AA218</f>
        <v>8307659.91</v>
      </c>
      <c r="AB220" s="24"/>
      <c r="AC220" s="150" t="n">
        <f aca="false">AC179+AC218</f>
        <v>15855933.02</v>
      </c>
      <c r="AD220" s="24"/>
      <c r="AE220" s="150" t="n">
        <f aca="false">AE179+AE218</f>
        <v>8226098.64</v>
      </c>
      <c r="AF220" s="129"/>
      <c r="AG220" s="150" t="n">
        <f aca="false">AG179+AG218</f>
        <v>10079974</v>
      </c>
      <c r="AH220" s="129"/>
      <c r="AI220" s="150" t="n">
        <f aca="false">AI179+AI218</f>
        <v>5897944.95</v>
      </c>
      <c r="AJ220" s="129"/>
      <c r="AK220" s="150" t="n">
        <f aca="false">AK179+AK218</f>
        <v>6912179.61</v>
      </c>
      <c r="AL220" s="150"/>
      <c r="AM220" s="150" t="n">
        <f aca="false">AM179+AM218</f>
        <v>2135306.54</v>
      </c>
      <c r="AN220" s="129"/>
      <c r="AO220" s="150" t="n">
        <f aca="false">AO179+AO218</f>
        <v>1466808.52</v>
      </c>
      <c r="AP220" s="129"/>
      <c r="AQ220" s="150" t="n">
        <f aca="false">AQ179+AQ218</f>
        <v>164381.68</v>
      </c>
      <c r="AS220" s="149" t="n">
        <f aca="false">AS179+AS218</f>
        <v>144071458.843333</v>
      </c>
      <c r="AU220" s="150" t="n">
        <f aca="false">AU179+AU218</f>
        <v>2595790.33</v>
      </c>
      <c r="AW220" s="149" t="n">
        <f aca="false">AW179+AW218</f>
        <v>4185738.284</v>
      </c>
      <c r="AX220" s="90"/>
      <c r="AY220" s="149" t="n">
        <f aca="false">+AW220+AS220</f>
        <v>148257197.127333</v>
      </c>
      <c r="AZ220" s="90"/>
      <c r="BA220" s="149" t="n">
        <f aca="false">BA179+BA218</f>
        <v>-19870897.9861789</v>
      </c>
      <c r="BB220" s="136"/>
      <c r="BC220" s="24"/>
    </row>
    <row r="221" customFormat="false" ht="5.25" hidden="false" customHeight="true" outlineLevel="0" collapsed="false">
      <c r="A221" s="231"/>
      <c r="B221" s="171"/>
      <c r="C221" s="171"/>
      <c r="U221" s="96" t="s">
        <v>515</v>
      </c>
      <c r="W221" s="96" t="s">
        <v>515</v>
      </c>
      <c r="Y221" s="96" t="s">
        <v>515</v>
      </c>
      <c r="AA221" s="96" t="s">
        <v>515</v>
      </c>
      <c r="AC221" s="96" t="s">
        <v>515</v>
      </c>
      <c r="AE221" s="96" t="s">
        <v>515</v>
      </c>
      <c r="AG221" s="96" t="s">
        <v>515</v>
      </c>
      <c r="AI221" s="96" t="s">
        <v>515</v>
      </c>
      <c r="AK221" s="96" t="s">
        <v>515</v>
      </c>
      <c r="AM221" s="96" t="s">
        <v>515</v>
      </c>
      <c r="AO221" s="96" t="s">
        <v>515</v>
      </c>
      <c r="AQ221" s="96" t="s">
        <v>515</v>
      </c>
      <c r="AS221" s="95" t="s">
        <v>515</v>
      </c>
      <c r="AU221" s="96" t="s">
        <v>515</v>
      </c>
      <c r="AX221" s="90"/>
      <c r="AZ221" s="90"/>
      <c r="BB221" s="95"/>
      <c r="BC221" s="95"/>
    </row>
    <row r="222" customFormat="false" ht="14.25" hidden="false" customHeight="true" outlineLevel="0" collapsed="false">
      <c r="A222" s="250" t="s">
        <v>421</v>
      </c>
      <c r="B222" s="171"/>
      <c r="C222" s="171"/>
      <c r="K222" s="252" t="n">
        <f aca="false">K220/390</f>
        <v>281979.587156806</v>
      </c>
      <c r="O222" s="252" t="n">
        <f aca="false">O220/390</f>
        <v>329195.641387576</v>
      </c>
      <c r="AX222" s="90"/>
      <c r="AY222" s="252" t="n">
        <f aca="false">AY220/390</f>
        <v>380146.659300855</v>
      </c>
      <c r="AZ222" s="90"/>
      <c r="BB222" s="95"/>
      <c r="BC222" s="95"/>
    </row>
    <row r="223" customFormat="false" ht="12.75" hidden="false" customHeight="false" outlineLevel="0" collapsed="false">
      <c r="A223" s="2"/>
      <c r="B223" s="0"/>
      <c r="C223" s="0"/>
      <c r="D223" s="0"/>
      <c r="E223" s="0"/>
      <c r="F223" s="0"/>
      <c r="G223" s="0"/>
      <c r="H223" s="0"/>
      <c r="I223" s="0"/>
      <c r="J223" s="0"/>
      <c r="K223" s="0"/>
      <c r="L223" s="0"/>
      <c r="M223" s="0"/>
      <c r="N223" s="0"/>
      <c r="O223" s="0"/>
      <c r="P223" s="0"/>
      <c r="Q223" s="129"/>
      <c r="R223" s="244"/>
      <c r="S223" s="129"/>
      <c r="T223" s="244"/>
      <c r="U223" s="129"/>
      <c r="V223" s="24"/>
      <c r="W223" s="129"/>
      <c r="X223" s="24"/>
      <c r="Y223" s="129"/>
      <c r="Z223" s="24"/>
      <c r="AA223" s="129"/>
      <c r="AB223" s="24"/>
      <c r="AC223" s="129"/>
      <c r="AD223" s="0"/>
      <c r="AE223" s="6"/>
      <c r="AF223" s="0"/>
      <c r="AG223" s="0"/>
      <c r="AH223" s="0"/>
      <c r="AI223" s="0"/>
      <c r="AJ223" s="0"/>
      <c r="AK223" s="0"/>
      <c r="AL223" s="0"/>
      <c r="AM223" s="0"/>
      <c r="AN223" s="0"/>
      <c r="AO223" s="0"/>
      <c r="AP223" s="0"/>
      <c r="AQ223" s="0"/>
      <c r="AR223" s="0"/>
      <c r="AS223" s="0"/>
      <c r="AT223" s="0"/>
      <c r="AU223" s="0"/>
      <c r="AV223" s="0"/>
      <c r="AW223" s="0"/>
      <c r="AX223" s="0"/>
      <c r="AY223" s="0"/>
      <c r="AZ223" s="0"/>
      <c r="BB223" s="0"/>
      <c r="BC223" s="0"/>
      <c r="BD223" s="0"/>
      <c r="BE223" s="0"/>
      <c r="BF223" s="0"/>
      <c r="BG223" s="0"/>
      <c r="BH223" s="0"/>
      <c r="BI223" s="0"/>
      <c r="BJ223" s="0"/>
      <c r="BK223" s="0"/>
      <c r="BL223" s="0"/>
      <c r="BM223" s="0"/>
      <c r="BN223" s="0"/>
      <c r="BO223" s="0"/>
      <c r="BP223" s="0"/>
      <c r="BQ223" s="0"/>
      <c r="BR223" s="0"/>
      <c r="BS223" s="0"/>
      <c r="BT223" s="0"/>
      <c r="BU223" s="0"/>
      <c r="BV223" s="0"/>
      <c r="BW223" s="0"/>
      <c r="BX223" s="0"/>
      <c r="BY223" s="0"/>
      <c r="BZ223" s="0"/>
      <c r="CA223" s="0"/>
      <c r="CB223" s="0"/>
      <c r="CC223" s="0"/>
      <c r="CD223" s="0"/>
      <c r="CE223" s="0"/>
      <c r="CF223" s="0"/>
      <c r="CG223" s="0"/>
      <c r="CH223" s="0"/>
      <c r="CI223" s="0"/>
      <c r="CJ223" s="0"/>
      <c r="CK223" s="0"/>
      <c r="CL223" s="0"/>
      <c r="CM223" s="0"/>
      <c r="CN223" s="0"/>
      <c r="CO223" s="0"/>
      <c r="CP223" s="0"/>
      <c r="CQ223" s="0"/>
      <c r="CR223" s="0"/>
      <c r="CS223" s="0"/>
      <c r="CT223" s="0"/>
      <c r="CU223" s="0"/>
      <c r="CV223" s="0"/>
      <c r="CW223" s="0"/>
      <c r="CX223" s="0"/>
      <c r="CY223" s="0"/>
      <c r="CZ223" s="0"/>
      <c r="DA223" s="0"/>
      <c r="DB223" s="0"/>
      <c r="DC223" s="0"/>
      <c r="DD223" s="0"/>
      <c r="DE223" s="0"/>
      <c r="DF223" s="0"/>
      <c r="DG223" s="0"/>
      <c r="DH223" s="0"/>
      <c r="DI223" s="0"/>
      <c r="DJ223" s="0"/>
      <c r="DK223" s="0"/>
      <c r="DL223" s="0"/>
      <c r="DM223" s="0"/>
      <c r="DN223" s="0"/>
      <c r="DO223" s="0"/>
      <c r="DP223" s="0"/>
      <c r="DQ223" s="0"/>
      <c r="DR223" s="0"/>
      <c r="DS223" s="0"/>
      <c r="DT223" s="0"/>
      <c r="DU223" s="0"/>
      <c r="DV223" s="0"/>
      <c r="DW223" s="0"/>
      <c r="DX223" s="0"/>
      <c r="DY223" s="0"/>
      <c r="DZ223" s="0"/>
      <c r="EA223" s="0"/>
      <c r="EB223" s="0"/>
      <c r="EC223" s="0"/>
      <c r="ED223" s="0"/>
      <c r="EE223" s="0"/>
      <c r="EF223" s="0"/>
      <c r="EG223" s="0"/>
      <c r="EH223" s="0"/>
      <c r="EI223" s="0"/>
      <c r="EJ223" s="0"/>
      <c r="EK223" s="0"/>
      <c r="EL223" s="0"/>
      <c r="EM223" s="0"/>
      <c r="EN223" s="0"/>
      <c r="EO223" s="0"/>
      <c r="EP223" s="0"/>
      <c r="EQ223" s="0"/>
      <c r="ER223" s="0"/>
      <c r="ES223" s="0"/>
      <c r="ET223" s="0"/>
      <c r="EU223" s="0"/>
      <c r="EV223" s="0"/>
      <c r="EW223" s="0"/>
      <c r="EX223" s="0"/>
      <c r="EY223" s="0"/>
      <c r="EZ223" s="0"/>
      <c r="FA223" s="0"/>
      <c r="FB223" s="0"/>
      <c r="FC223" s="0"/>
      <c r="FD223" s="0"/>
      <c r="FE223" s="0"/>
      <c r="FF223" s="0"/>
      <c r="FG223" s="0"/>
      <c r="FH223" s="0"/>
      <c r="FI223" s="0"/>
      <c r="FJ223" s="0"/>
      <c r="FK223" s="0"/>
      <c r="FL223" s="0"/>
      <c r="FM223" s="0"/>
      <c r="FN223" s="0"/>
      <c r="FO223" s="0"/>
      <c r="FP223" s="0"/>
      <c r="FQ223" s="0"/>
      <c r="FR223" s="0"/>
      <c r="FS223" s="0"/>
      <c r="FT223" s="0"/>
      <c r="FU223" s="0"/>
      <c r="FV223" s="0"/>
      <c r="FW223" s="0"/>
      <c r="FX223" s="0"/>
      <c r="FY223" s="0"/>
      <c r="FZ223" s="0"/>
      <c r="GA223" s="0"/>
      <c r="GB223" s="0"/>
      <c r="GC223" s="0"/>
      <c r="GD223" s="0"/>
      <c r="GE223" s="0"/>
      <c r="GF223" s="0"/>
      <c r="GG223" s="0"/>
      <c r="GH223" s="0"/>
      <c r="GI223" s="0"/>
      <c r="GJ223" s="0"/>
      <c r="GK223" s="0"/>
      <c r="GL223" s="0"/>
      <c r="GM223" s="0"/>
      <c r="GN223" s="0"/>
      <c r="GO223" s="0"/>
      <c r="GP223" s="0"/>
      <c r="GQ223" s="0"/>
      <c r="GR223" s="0"/>
      <c r="GS223" s="0"/>
      <c r="GT223" s="0"/>
      <c r="GU223" s="0"/>
      <c r="GV223" s="0"/>
      <c r="GW223" s="0"/>
      <c r="GX223" s="0"/>
      <c r="GY223" s="0"/>
      <c r="GZ223" s="0"/>
      <c r="HA223" s="0"/>
      <c r="HB223" s="0"/>
      <c r="HC223" s="0"/>
      <c r="HD223" s="0"/>
      <c r="HE223" s="0"/>
      <c r="HF223" s="0"/>
      <c r="HG223" s="0"/>
      <c r="HH223" s="0"/>
      <c r="HI223" s="0"/>
      <c r="HJ223" s="0"/>
      <c r="HK223" s="0"/>
      <c r="HL223" s="0"/>
      <c r="HM223" s="0"/>
      <c r="HN223" s="0"/>
      <c r="HO223" s="0"/>
      <c r="HP223" s="0"/>
      <c r="HQ223" s="0"/>
      <c r="HR223" s="0"/>
      <c r="HS223" s="0"/>
      <c r="HT223" s="0"/>
      <c r="HU223" s="0"/>
      <c r="HV223" s="0"/>
      <c r="HW223" s="0"/>
      <c r="HX223" s="0"/>
      <c r="HY223" s="0"/>
      <c r="HZ223" s="0"/>
      <c r="IA223" s="0"/>
      <c r="IB223" s="0"/>
      <c r="IC223" s="0"/>
      <c r="ID223" s="0"/>
      <c r="IE223" s="0"/>
      <c r="IF223" s="0"/>
      <c r="IG223" s="0"/>
      <c r="IH223" s="0"/>
      <c r="II223" s="0"/>
      <c r="IJ223" s="0"/>
      <c r="IK223" s="0"/>
      <c r="IL223" s="0"/>
      <c r="IM223" s="0"/>
      <c r="IN223" s="0"/>
      <c r="IO223" s="0"/>
      <c r="IP223" s="0"/>
      <c r="IQ223" s="0"/>
      <c r="IR223" s="0"/>
      <c r="IS223" s="0"/>
      <c r="IT223" s="0"/>
      <c r="IU223" s="0"/>
      <c r="IV223" s="0"/>
      <c r="IW223" s="0"/>
    </row>
    <row r="224" customFormat="false" ht="12.75" hidden="false" customHeight="false" outlineLevel="0" collapsed="false">
      <c r="A224" s="2"/>
      <c r="E224" s="90"/>
      <c r="I224" s="90"/>
      <c r="Q224" s="129"/>
      <c r="R224" s="97"/>
      <c r="S224" s="129"/>
      <c r="T224" s="97"/>
      <c r="U224" s="129"/>
      <c r="W224" s="129"/>
      <c r="X224" s="96"/>
      <c r="Y224" s="129"/>
      <c r="Z224" s="96"/>
      <c r="AA224" s="129"/>
      <c r="AB224" s="96"/>
      <c r="AC224" s="129"/>
      <c r="AD224" s="96"/>
      <c r="AE224" s="6"/>
      <c r="AR224" s="96"/>
      <c r="AX224" s="90"/>
      <c r="AZ224" s="90"/>
      <c r="BD224" s="90"/>
    </row>
    <row r="225" customFormat="false" ht="12.75" hidden="false" customHeight="false" outlineLevel="0" collapsed="false">
      <c r="A225" s="2" t="s">
        <v>356</v>
      </c>
      <c r="B225" s="2"/>
      <c r="C225" s="2"/>
      <c r="D225" s="2"/>
      <c r="E225" s="2"/>
      <c r="F225" s="2"/>
      <c r="G225" s="3"/>
      <c r="H225" s="2"/>
      <c r="I225" s="2"/>
      <c r="J225" s="2"/>
      <c r="K225" s="24" t="n">
        <v>0</v>
      </c>
      <c r="L225" s="2"/>
      <c r="M225" s="24"/>
      <c r="N225" s="2"/>
      <c r="O225" s="24" t="n">
        <f aca="false">SUM(K225:N225)</f>
        <v>0</v>
      </c>
      <c r="P225" s="2"/>
      <c r="T225" s="191"/>
      <c r="U225" s="129" t="n">
        <v>0</v>
      </c>
      <c r="V225" s="24"/>
      <c r="W225" s="129"/>
      <c r="X225" s="129"/>
      <c r="Y225" s="2"/>
      <c r="Z225" s="129"/>
      <c r="AA225" s="129"/>
      <c r="AB225" s="129"/>
      <c r="AC225" s="129"/>
      <c r="AD225" s="129"/>
      <c r="AE225" s="129"/>
      <c r="AF225" s="129"/>
      <c r="AG225" s="129"/>
      <c r="AH225" s="129"/>
      <c r="AI225" s="129"/>
      <c r="AJ225" s="129"/>
      <c r="AK225" s="129"/>
      <c r="AL225" s="129"/>
      <c r="AM225" s="129"/>
      <c r="AN225" s="129"/>
      <c r="AO225" s="129"/>
      <c r="AP225" s="129"/>
      <c r="AQ225" s="129"/>
      <c r="AR225" s="129"/>
      <c r="AS225" s="24" t="n">
        <f aca="false">SUM(P225:AR225)</f>
        <v>0</v>
      </c>
      <c r="AT225" s="2"/>
      <c r="AU225" s="129" t="n">
        <v>0</v>
      </c>
      <c r="AV225" s="2"/>
      <c r="AW225" s="24" t="n">
        <f aca="false">IF(+O225-AS225+AU225&gt;0,O225-AS225+AU225,0)</f>
        <v>0</v>
      </c>
      <c r="AX225" s="2"/>
      <c r="AY225" s="24" t="n">
        <f aca="false">+AW225+AS225</f>
        <v>0</v>
      </c>
      <c r="AZ225" s="2"/>
      <c r="BA225" s="24" t="n">
        <f aca="false">+O225-AY225</f>
        <v>0</v>
      </c>
      <c r="BB225" s="2"/>
      <c r="BC225" s="2"/>
      <c r="BD225" s="2"/>
      <c r="BE225" s="2"/>
      <c r="BF225" s="2"/>
      <c r="BG225" s="2"/>
      <c r="BH225" s="2"/>
      <c r="BI225" s="2"/>
      <c r="BJ225" s="2"/>
      <c r="BK225" s="2"/>
      <c r="BL225" s="2"/>
      <c r="BM225" s="2"/>
      <c r="BN225" s="2"/>
      <c r="BO225" s="2"/>
      <c r="BP225" s="2"/>
      <c r="BQ225" s="2"/>
      <c r="BR225" s="2"/>
      <c r="BS225" s="2"/>
      <c r="BT225" s="2"/>
      <c r="BU225" s="2"/>
      <c r="BV225" s="2"/>
      <c r="BW225" s="2"/>
      <c r="BX225" s="2"/>
      <c r="BY225" s="2"/>
      <c r="BZ225" s="2"/>
      <c r="CA225" s="2"/>
      <c r="CB225" s="2"/>
      <c r="CC225" s="2"/>
      <c r="CD225" s="2"/>
      <c r="CE225" s="2"/>
      <c r="CF225" s="2"/>
      <c r="CG225" s="2"/>
      <c r="CH225" s="2"/>
      <c r="CI225" s="2"/>
      <c r="CJ225" s="2"/>
      <c r="CK225" s="2"/>
      <c r="CL225" s="2"/>
      <c r="CM225" s="2"/>
      <c r="CN225" s="2"/>
      <c r="CO225" s="2"/>
      <c r="CP225" s="2"/>
      <c r="CQ225" s="2"/>
      <c r="CR225" s="2"/>
      <c r="CS225" s="2"/>
      <c r="CT225" s="2"/>
      <c r="CU225" s="2"/>
      <c r="CV225" s="2"/>
      <c r="CW225" s="2"/>
      <c r="CX225" s="2"/>
      <c r="CY225" s="2"/>
      <c r="CZ225" s="2"/>
      <c r="DA225" s="2"/>
      <c r="DB225" s="2"/>
      <c r="DC225" s="2"/>
      <c r="DD225" s="2"/>
      <c r="DE225" s="2"/>
      <c r="DF225" s="2"/>
      <c r="DG225" s="2"/>
      <c r="DH225" s="2"/>
      <c r="DI225" s="2"/>
      <c r="DJ225" s="2"/>
      <c r="DK225" s="2"/>
      <c r="DL225" s="2"/>
      <c r="DM225" s="2"/>
      <c r="DN225" s="2"/>
      <c r="DO225" s="2"/>
      <c r="DP225" s="2"/>
      <c r="DQ225" s="2"/>
      <c r="DR225" s="2"/>
      <c r="DS225" s="2"/>
      <c r="DT225" s="2"/>
      <c r="DU225" s="2"/>
      <c r="DV225" s="2"/>
      <c r="DW225" s="2"/>
      <c r="DX225" s="2"/>
      <c r="DY225" s="2"/>
      <c r="DZ225" s="2"/>
      <c r="EA225" s="2"/>
      <c r="EB225" s="2"/>
      <c r="EC225" s="2"/>
      <c r="ED225" s="2"/>
      <c r="EE225" s="2"/>
      <c r="EF225" s="2"/>
      <c r="EG225" s="2"/>
      <c r="EH225" s="2"/>
      <c r="EI225" s="2"/>
      <c r="EJ225" s="2"/>
      <c r="EK225" s="2"/>
      <c r="EL225" s="2"/>
      <c r="EM225" s="2"/>
      <c r="EN225" s="2"/>
      <c r="EO225" s="2"/>
      <c r="EP225" s="2"/>
      <c r="EQ225" s="2"/>
      <c r="ER225" s="2"/>
      <c r="ES225" s="2"/>
      <c r="ET225" s="2"/>
      <c r="EU225" s="2"/>
      <c r="EV225" s="2"/>
      <c r="EW225" s="2"/>
      <c r="EX225" s="2"/>
      <c r="EY225" s="2"/>
      <c r="EZ225" s="2"/>
      <c r="FA225" s="2"/>
      <c r="FB225" s="2"/>
      <c r="FC225" s="2"/>
      <c r="FD225" s="2"/>
      <c r="FE225" s="2"/>
      <c r="FF225" s="2"/>
      <c r="FG225" s="2"/>
      <c r="FH225" s="2"/>
      <c r="FI225" s="2"/>
      <c r="FJ225" s="2"/>
      <c r="FK225" s="2"/>
      <c r="FL225" s="2"/>
      <c r="FM225" s="2"/>
      <c r="FN225" s="2"/>
      <c r="FO225" s="2"/>
      <c r="FP225" s="2"/>
      <c r="FQ225" s="2"/>
      <c r="FR225" s="2"/>
      <c r="FS225" s="2"/>
      <c r="FT225" s="2"/>
      <c r="FU225" s="2"/>
      <c r="FV225" s="2"/>
      <c r="FW225" s="2"/>
      <c r="FX225" s="2"/>
      <c r="FY225" s="2"/>
      <c r="FZ225" s="2"/>
      <c r="GA225" s="2"/>
      <c r="GB225" s="2"/>
      <c r="GC225" s="2"/>
      <c r="GD225" s="2"/>
      <c r="GE225" s="2"/>
      <c r="GF225" s="2"/>
      <c r="GG225" s="2"/>
      <c r="GH225" s="2"/>
      <c r="GI225" s="2"/>
      <c r="GJ225" s="2"/>
      <c r="GK225" s="2"/>
      <c r="GL225" s="2"/>
      <c r="GM225" s="2"/>
      <c r="GN225" s="2"/>
      <c r="GO225" s="2"/>
      <c r="GP225" s="2"/>
      <c r="GQ225" s="2"/>
      <c r="GR225" s="2"/>
      <c r="GS225" s="2"/>
      <c r="GT225" s="2"/>
      <c r="GU225" s="2"/>
      <c r="GV225" s="2"/>
      <c r="GW225" s="2"/>
      <c r="GX225" s="2"/>
      <c r="GY225" s="2"/>
      <c r="GZ225" s="2"/>
      <c r="HA225" s="2"/>
      <c r="HB225" s="2"/>
      <c r="HC225" s="2"/>
      <c r="HD225" s="2"/>
      <c r="HE225" s="2"/>
      <c r="HF225" s="2"/>
      <c r="HG225" s="2"/>
      <c r="HH225" s="2"/>
      <c r="HI225" s="2"/>
      <c r="HJ225" s="2"/>
      <c r="HK225" s="2"/>
      <c r="HL225" s="2"/>
      <c r="HM225" s="2"/>
      <c r="HN225" s="2"/>
      <c r="HO225" s="2"/>
      <c r="HP225" s="2"/>
      <c r="HQ225" s="2"/>
      <c r="HR225" s="2"/>
      <c r="HS225" s="2"/>
      <c r="HT225" s="2"/>
      <c r="HU225" s="2"/>
      <c r="HV225" s="2"/>
      <c r="HW225" s="2"/>
      <c r="HX225" s="2"/>
      <c r="HY225" s="2"/>
      <c r="HZ225" s="2"/>
      <c r="IA225" s="2"/>
      <c r="IB225" s="2"/>
      <c r="IC225" s="2"/>
      <c r="ID225" s="2"/>
      <c r="IE225" s="2"/>
      <c r="IF225" s="2"/>
      <c r="IG225" s="2"/>
      <c r="IH225" s="2"/>
      <c r="II225" s="2"/>
      <c r="IJ225" s="2"/>
      <c r="IK225" s="2"/>
      <c r="IL225" s="2"/>
      <c r="IM225" s="2"/>
      <c r="IN225" s="2"/>
      <c r="IO225" s="2"/>
      <c r="IP225" s="2"/>
      <c r="IQ225" s="2"/>
      <c r="IR225" s="2"/>
      <c r="IS225" s="2"/>
      <c r="IT225" s="2"/>
      <c r="IU225" s="2"/>
      <c r="IV225" s="2"/>
      <c r="IW225" s="2"/>
    </row>
    <row r="226" customFormat="false" ht="12.75" hidden="false" customHeight="false" outlineLevel="0" collapsed="false">
      <c r="A226" s="2" t="s">
        <v>516</v>
      </c>
      <c r="E226" s="90"/>
      <c r="I226" s="90"/>
      <c r="T226" s="97"/>
      <c r="X226" s="96"/>
      <c r="Z226" s="96"/>
      <c r="AB226" s="96"/>
      <c r="AD226" s="96"/>
      <c r="AR226" s="96"/>
      <c r="AS226" s="192" t="n">
        <f aca="false">+[1]Deprec!$H$28</f>
        <v>-1462905.54177333</v>
      </c>
      <c r="AX226" s="90"/>
      <c r="AY226" s="24" t="n">
        <f aca="false">+AS226</f>
        <v>-1462905.54177333</v>
      </c>
      <c r="AZ226" s="90"/>
      <c r="BD226" s="90"/>
    </row>
    <row r="227" customFormat="false" ht="13.5" hidden="false" customHeight="false" outlineLevel="0" collapsed="false">
      <c r="A227" s="250" t="s">
        <v>517</v>
      </c>
      <c r="B227" s="251"/>
      <c r="E227" s="90"/>
      <c r="I227" s="90"/>
      <c r="K227" s="193" t="n">
        <f aca="false">+K220+K225</f>
        <v>109972038.991154</v>
      </c>
      <c r="M227" s="193" t="n">
        <f aca="false">+M220+M225</f>
        <v>23779361.15</v>
      </c>
      <c r="O227" s="193" t="n">
        <f aca="false">+O220+O225</f>
        <v>128386300.141154</v>
      </c>
      <c r="T227" s="97"/>
      <c r="X227" s="96"/>
      <c r="Z227" s="96"/>
      <c r="AB227" s="96"/>
      <c r="AD227" s="96"/>
      <c r="AR227" s="96"/>
      <c r="AS227" s="193" t="n">
        <f aca="false">+AS220+AS225+AS226</f>
        <v>142608553.30156</v>
      </c>
      <c r="AW227" s="193" t="n">
        <f aca="false">+AW220+AW225</f>
        <v>4185738.284</v>
      </c>
      <c r="AX227" s="90"/>
      <c r="AY227" s="193" t="n">
        <f aca="false">+AY220+AY225+AY226</f>
        <v>146794291.58556</v>
      </c>
      <c r="AZ227" s="90"/>
      <c r="BA227" s="193" t="n">
        <f aca="false">+BA220+BA225</f>
        <v>-19870897.9861789</v>
      </c>
      <c r="BD227" s="90"/>
    </row>
    <row r="228" customFormat="false" ht="4.5" hidden="false" customHeight="true" outlineLevel="0" collapsed="false">
      <c r="A228" s="231"/>
      <c r="B228" s="171"/>
      <c r="E228" s="90"/>
      <c r="I228" s="90"/>
      <c r="T228" s="97"/>
      <c r="X228" s="96"/>
      <c r="Z228" s="96"/>
      <c r="AB228" s="96"/>
      <c r="AD228" s="96"/>
      <c r="AR228" s="96"/>
      <c r="AX228" s="90"/>
      <c r="AZ228" s="90"/>
      <c r="BD228" s="90"/>
    </row>
    <row r="229" customFormat="false" ht="13.5" hidden="false" customHeight="false" outlineLevel="0" collapsed="false">
      <c r="A229" s="250" t="s">
        <v>355</v>
      </c>
      <c r="B229" s="171"/>
      <c r="E229" s="90"/>
      <c r="I229" s="90"/>
      <c r="K229" s="254" t="n">
        <f aca="false">K227/$K$3</f>
        <v>284165.47542934</v>
      </c>
      <c r="O229" s="254" t="n">
        <f aca="false">O227/$K$3</f>
        <v>331747.545584378</v>
      </c>
      <c r="T229" s="97"/>
      <c r="X229" s="96"/>
      <c r="Z229" s="96"/>
      <c r="AB229" s="96"/>
      <c r="AD229" s="96"/>
      <c r="AR229" s="96"/>
      <c r="AX229" s="90"/>
      <c r="AY229" s="254" t="n">
        <f aca="false">AY227/$K$3</f>
        <v>379313.414949767</v>
      </c>
      <c r="AZ229" s="90"/>
      <c r="BD229" s="90"/>
    </row>
    <row r="230" customFormat="false" ht="12.75" hidden="false" customHeight="false" outlineLevel="0" collapsed="false">
      <c r="E230" s="90"/>
      <c r="I230" s="90"/>
      <c r="T230" s="97"/>
      <c r="X230" s="96"/>
      <c r="Y230" s="129" t="n">
        <f aca="false">SUM(Q224:Y224)</f>
        <v>0</v>
      </c>
      <c r="Z230" s="96"/>
      <c r="AB230" s="96"/>
      <c r="AD230" s="96"/>
      <c r="AR230" s="96"/>
      <c r="AX230" s="90"/>
      <c r="AZ230" s="90"/>
      <c r="BD230" s="90"/>
    </row>
    <row r="231" customFormat="false" ht="12.75" hidden="false" customHeight="false" outlineLevel="0" collapsed="false">
      <c r="E231" s="90"/>
      <c r="I231" s="90"/>
      <c r="T231" s="97"/>
      <c r="X231" s="96"/>
      <c r="Z231" s="96"/>
      <c r="AB231" s="96"/>
      <c r="AD231" s="96"/>
      <c r="AR231" s="96"/>
      <c r="AX231" s="90"/>
      <c r="AZ231" s="90"/>
      <c r="BA231" s="255" t="str">
        <f aca="true">CELL("filename")</f>
        <v>'file:///mnt/12tb/@roms/datasets/enron/EDRM Enron Email Data Set v2 XML/filtered-attachments/xls/TVA_Wkly_Anal___121499.xls'#$NewAlbany</v>
      </c>
      <c r="BD231" s="90"/>
    </row>
    <row r="232" customFormat="false" ht="12.75" hidden="false" customHeight="false" outlineLevel="0" collapsed="false">
      <c r="AX232" s="90"/>
      <c r="AZ232" s="90"/>
      <c r="BB232" s="95"/>
      <c r="BC232" s="95"/>
    </row>
    <row r="233" customFormat="false" ht="12.75" hidden="false" customHeight="false" outlineLevel="0" collapsed="false">
      <c r="AX233" s="90"/>
      <c r="AZ233" s="90"/>
      <c r="BB233" s="95"/>
      <c r="BC233" s="95"/>
    </row>
    <row r="234" customFormat="false" ht="12.75" hidden="false" customHeight="false" outlineLevel="0" collapsed="false">
      <c r="B234" s="2" t="s">
        <v>359</v>
      </c>
      <c r="E234" s="90"/>
      <c r="I234" s="90"/>
      <c r="T234" s="97"/>
      <c r="X234" s="96"/>
      <c r="Z234" s="96"/>
      <c r="AB234" s="96"/>
      <c r="AD234" s="96"/>
      <c r="AR234" s="96"/>
      <c r="AX234" s="90"/>
      <c r="AZ234" s="90"/>
      <c r="BD234" s="90"/>
    </row>
    <row r="235" customFormat="false" ht="12.75" hidden="false" customHeight="false" outlineLevel="0" collapsed="false">
      <c r="E235" s="90"/>
      <c r="I235" s="90"/>
      <c r="T235" s="97"/>
      <c r="X235" s="96"/>
      <c r="Z235" s="96"/>
      <c r="AB235" s="96"/>
      <c r="AD235" s="96"/>
      <c r="AR235" s="96"/>
      <c r="AX235" s="90"/>
      <c r="AZ235" s="90"/>
      <c r="BD235" s="90"/>
    </row>
    <row r="236" customFormat="false" ht="12.75" hidden="false" customHeight="false" outlineLevel="0" collapsed="false">
      <c r="B236" s="90" t="s">
        <v>360</v>
      </c>
      <c r="E236" s="90"/>
      <c r="I236" s="90"/>
      <c r="T236" s="97"/>
      <c r="X236" s="96"/>
      <c r="Z236" s="96"/>
      <c r="AB236" s="96"/>
      <c r="AD236" s="96"/>
      <c r="AR236" s="96"/>
      <c r="AX236" s="90"/>
      <c r="AY236" s="95" t="n">
        <f aca="false">138816653.33+2336899.86</f>
        <v>141153553.19</v>
      </c>
      <c r="AZ236" s="90"/>
      <c r="BD236" s="90"/>
    </row>
    <row r="237" customFormat="false" ht="12.75" hidden="false" customHeight="false" outlineLevel="0" collapsed="false">
      <c r="E237" s="90"/>
      <c r="I237" s="90"/>
      <c r="T237" s="97"/>
      <c r="X237" s="96"/>
      <c r="Z237" s="96"/>
      <c r="AB237" s="96"/>
      <c r="AD237" s="96"/>
      <c r="AR237" s="96"/>
      <c r="AX237" s="90"/>
      <c r="AZ237" s="90"/>
      <c r="BD237" s="90"/>
    </row>
    <row r="238" customFormat="false" ht="12.75" hidden="false" customHeight="false" outlineLevel="0" collapsed="false">
      <c r="E238" s="90"/>
      <c r="I238" s="90"/>
      <c r="T238" s="97"/>
      <c r="X238" s="96"/>
      <c r="Z238" s="96"/>
      <c r="AB238" s="96"/>
      <c r="AD238" s="96"/>
      <c r="AR238" s="96"/>
      <c r="AX238" s="90"/>
      <c r="AZ238" s="90"/>
      <c r="BD238" s="90"/>
    </row>
    <row r="239" customFormat="false" ht="12.75" hidden="false" customHeight="false" outlineLevel="0" collapsed="false">
      <c r="E239" s="90"/>
      <c r="I239" s="90"/>
      <c r="T239" s="97"/>
      <c r="X239" s="96"/>
      <c r="Z239" s="96"/>
      <c r="AB239" s="96"/>
      <c r="AD239" s="96"/>
      <c r="AR239" s="96"/>
      <c r="AX239" s="90"/>
      <c r="AZ239" s="90"/>
      <c r="BD239" s="90"/>
    </row>
    <row r="240" customFormat="false" ht="12.75" hidden="false" customHeight="false" outlineLevel="0" collapsed="false">
      <c r="B240" s="90" t="s">
        <v>424</v>
      </c>
      <c r="E240" s="90"/>
      <c r="I240" s="90"/>
      <c r="T240" s="97"/>
      <c r="X240" s="96"/>
      <c r="Z240" s="96"/>
      <c r="AB240" s="96"/>
      <c r="AD240" s="96"/>
      <c r="AR240" s="96"/>
      <c r="AX240" s="90"/>
      <c r="AY240" s="95" t="n">
        <f aca="false">+AS227-AE145-AC145-AA145-AG145-AI145-AS149-AK145-AS226-AM145-AO145</f>
        <v>142554159.693333</v>
      </c>
      <c r="AZ240" s="90"/>
      <c r="BD240" s="90"/>
    </row>
    <row r="241" customFormat="false" ht="12.75" hidden="false" customHeight="false" outlineLevel="0" collapsed="false">
      <c r="E241" s="90"/>
      <c r="I241" s="90"/>
      <c r="T241" s="97"/>
      <c r="X241" s="96"/>
      <c r="Z241" s="96"/>
      <c r="AB241" s="96"/>
      <c r="AD241" s="96"/>
      <c r="AR241" s="96"/>
      <c r="AX241" s="90"/>
      <c r="AZ241" s="90"/>
      <c r="BD241" s="90"/>
    </row>
    <row r="242" customFormat="false" ht="12.75" hidden="false" customHeight="false" outlineLevel="0" collapsed="false">
      <c r="E242" s="90"/>
      <c r="I242" s="90"/>
      <c r="T242" s="97"/>
      <c r="X242" s="96"/>
      <c r="Z242" s="96"/>
      <c r="AB242" s="96"/>
      <c r="AD242" s="96"/>
      <c r="AR242" s="96"/>
      <c r="AX242" s="90"/>
      <c r="AZ242" s="90"/>
      <c r="BD242" s="90"/>
    </row>
    <row r="243" customFormat="false" ht="12.75" hidden="false" customHeight="false" outlineLevel="0" collapsed="false">
      <c r="B243" s="90" t="s">
        <v>362</v>
      </c>
      <c r="E243" s="90"/>
      <c r="I243" s="90"/>
      <c r="T243" s="97"/>
      <c r="X243" s="96"/>
      <c r="Z243" s="96"/>
      <c r="AB243" s="96"/>
      <c r="AD243" s="96"/>
      <c r="AR243" s="96"/>
      <c r="AX243" s="90"/>
      <c r="AY243" s="95" t="n">
        <f aca="false">+AY236-AY240</f>
        <v>-1400606.50333327</v>
      </c>
      <c r="AZ243" s="90"/>
      <c r="BD243" s="90"/>
    </row>
    <row r="244" customFormat="false" ht="12.75" hidden="false" customHeight="false" outlineLevel="0" collapsed="false">
      <c r="E244" s="90"/>
      <c r="T244" s="195"/>
      <c r="U244" s="157"/>
      <c r="V244" s="157"/>
      <c r="W244" s="157"/>
      <c r="X244" s="157"/>
      <c r="Y244" s="157"/>
      <c r="Z244" s="157"/>
      <c r="AA244" s="157"/>
      <c r="AB244" s="90"/>
      <c r="AC244" s="157"/>
      <c r="AD244" s="90"/>
      <c r="AE244" s="157"/>
      <c r="AF244" s="157"/>
      <c r="AG244" s="157"/>
      <c r="AH244" s="157"/>
      <c r="AI244" s="157"/>
      <c r="AJ244" s="157"/>
      <c r="AK244" s="157"/>
      <c r="AL244" s="157"/>
      <c r="AM244" s="157"/>
      <c r="AN244" s="157"/>
      <c r="AO244" s="157"/>
      <c r="AP244" s="157"/>
      <c r="AQ244" s="157"/>
      <c r="AS244" s="90"/>
      <c r="AU244" s="157"/>
      <c r="AW244" s="90"/>
      <c r="AX244" s="90"/>
      <c r="AY244" s="90"/>
      <c r="AZ244" s="90"/>
      <c r="BD244" s="90"/>
    </row>
  </sheetData>
  <printOptions headings="false" gridLines="false" gridLinesSet="true" horizontalCentered="true" verticalCentered="false"/>
  <pageMargins left="0.25" right="0.25" top="0.25" bottom="0.25" header="0.511811023622047" footer="0.511811023622047"/>
  <pageSetup paperSize="1" scale="100" fitToWidth="1" fitToHeight="3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143" man="true" max="16383" min="0"/>
  </rowBreaks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E4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5.84"/>
    <col collapsed="false" customWidth="true" hidden="false" outlineLevel="0" max="2" min="2" style="267" width="16.56"/>
    <col collapsed="false" customWidth="true" hidden="false" outlineLevel="0" max="3" min="3" style="267" width="1.7"/>
    <col collapsed="false" customWidth="true" hidden="false" outlineLevel="0" max="4" min="4" style="267" width="16.28"/>
    <col collapsed="false" customWidth="true" hidden="false" outlineLevel="0" max="5" min="5" style="0" width="53.41"/>
  </cols>
  <sheetData>
    <row r="1" customFormat="false" ht="12.75" hidden="false" customHeight="false" outlineLevel="0" collapsed="false">
      <c r="B1" s="268"/>
      <c r="C1" s="268"/>
    </row>
    <row r="2" customFormat="false" ht="12.75" hidden="false" customHeight="false" outlineLevel="0" collapsed="false">
      <c r="A2" s="3"/>
      <c r="B2" s="269" t="s">
        <v>18</v>
      </c>
      <c r="C2" s="269"/>
      <c r="D2" s="269" t="s">
        <v>18</v>
      </c>
      <c r="E2" s="3"/>
    </row>
    <row r="3" customFormat="false" ht="12.75" hidden="false" customHeight="false" outlineLevel="0" collapsed="false">
      <c r="A3" s="270"/>
      <c r="B3" s="271" t="s">
        <v>68</v>
      </c>
      <c r="C3" s="271"/>
      <c r="D3" s="271" t="s">
        <v>518</v>
      </c>
      <c r="E3" s="270"/>
    </row>
    <row r="4" customFormat="false" ht="12.75" hidden="false" customHeight="false" outlineLevel="0" collapsed="false">
      <c r="A4" s="270"/>
      <c r="B4" s="271"/>
      <c r="C4" s="271"/>
      <c r="D4" s="271"/>
      <c r="E4" s="270"/>
    </row>
    <row r="5" customFormat="false" ht="12.75" hidden="false" customHeight="false" outlineLevel="0" collapsed="false">
      <c r="A5" s="0" t="s">
        <v>519</v>
      </c>
      <c r="B5" s="267" t="n">
        <v>5000000</v>
      </c>
      <c r="D5" s="267" t="n">
        <v>5000000</v>
      </c>
    </row>
    <row r="6" customFormat="false" ht="12.75" hidden="false" customHeight="false" outlineLevel="0" collapsed="false">
      <c r="A6" s="0" t="s">
        <v>520</v>
      </c>
      <c r="B6" s="267" t="n">
        <v>359700</v>
      </c>
      <c r="D6" s="267" t="n">
        <v>359700</v>
      </c>
    </row>
    <row r="7" customFormat="false" ht="12.75" hidden="false" customHeight="false" outlineLevel="0" collapsed="false">
      <c r="A7" s="0" t="s">
        <v>521</v>
      </c>
      <c r="B7" s="267" t="n">
        <v>1126671.15</v>
      </c>
      <c r="D7" s="267" t="n">
        <v>1126671.15</v>
      </c>
    </row>
    <row r="8" customFormat="false" ht="12.75" hidden="false" customHeight="false" outlineLevel="0" collapsed="false">
      <c r="D8" s="267" t="n">
        <v>-1013887.05</v>
      </c>
      <c r="E8" s="0" t="s">
        <v>522</v>
      </c>
    </row>
    <row r="9" customFormat="false" ht="12.75" hidden="false" customHeight="false" outlineLevel="0" collapsed="false">
      <c r="A9" s="0" t="s">
        <v>520</v>
      </c>
      <c r="B9" s="267" t="n">
        <v>943800</v>
      </c>
      <c r="D9" s="267" t="n">
        <v>943800</v>
      </c>
    </row>
    <row r="10" customFormat="false" ht="12.75" hidden="false" customHeight="false" outlineLevel="0" collapsed="false">
      <c r="A10" s="0" t="s">
        <v>523</v>
      </c>
      <c r="B10" s="267" t="n">
        <v>3111381.03</v>
      </c>
      <c r="D10" s="268" t="n">
        <v>3111381.03</v>
      </c>
    </row>
    <row r="11" customFormat="false" ht="12.75" hidden="false" customHeight="false" outlineLevel="0" collapsed="false">
      <c r="A11" s="0" t="s">
        <v>524</v>
      </c>
      <c r="B11" s="272" t="n">
        <v>161700</v>
      </c>
      <c r="D11" s="267" t="n">
        <v>161700</v>
      </c>
      <c r="E11" s="2" t="s">
        <v>525</v>
      </c>
    </row>
    <row r="12" customFormat="false" ht="12.75" hidden="false" customHeight="false" outlineLevel="0" collapsed="false">
      <c r="A12" s="0" t="s">
        <v>526</v>
      </c>
      <c r="D12" s="267" t="n">
        <v>198000</v>
      </c>
      <c r="E12" s="0" t="s">
        <v>522</v>
      </c>
    </row>
    <row r="13" customFormat="false" ht="12.75" hidden="false" customHeight="false" outlineLevel="0" collapsed="false">
      <c r="A13" s="0" t="s">
        <v>527</v>
      </c>
      <c r="D13" s="267" t="n">
        <v>1082508.47</v>
      </c>
      <c r="E13" s="0" t="s">
        <v>522</v>
      </c>
    </row>
    <row r="15" customFormat="false" ht="12.75" hidden="false" customHeight="false" outlineLevel="0" collapsed="false">
      <c r="A15" s="0" t="s">
        <v>528</v>
      </c>
      <c r="B15" s="273" t="n">
        <f aca="false">SUM(B5:B14)</f>
        <v>10703252.18</v>
      </c>
      <c r="D15" s="273" t="n">
        <f aca="false">SUM(D5:D14)</f>
        <v>10969873.6</v>
      </c>
    </row>
    <row r="17" customFormat="false" ht="12.75" hidden="false" customHeight="false" outlineLevel="0" collapsed="false">
      <c r="A17" s="0" t="s">
        <v>529</v>
      </c>
      <c r="B17" s="267" t="n">
        <v>4391315.49</v>
      </c>
    </row>
    <row r="18" customFormat="false" ht="12.75" hidden="false" customHeight="false" outlineLevel="0" collapsed="false">
      <c r="A18" s="0" t="s">
        <v>530</v>
      </c>
      <c r="B18" s="267" t="n">
        <v>886191.12</v>
      </c>
      <c r="E18" s="0" t="s">
        <v>531</v>
      </c>
    </row>
    <row r="19" customFormat="false" ht="12.75" hidden="false" customHeight="false" outlineLevel="0" collapsed="false">
      <c r="A19" s="0" t="s">
        <v>532</v>
      </c>
      <c r="B19" s="273" t="n">
        <f aca="false">SUM(B17:B18)</f>
        <v>5277506.61</v>
      </c>
    </row>
    <row r="21" customFormat="false" ht="13.5" hidden="false" customHeight="false" outlineLevel="0" collapsed="false">
      <c r="A21" s="0" t="s">
        <v>533</v>
      </c>
      <c r="B21" s="274" t="n">
        <f aca="false">+B19-B15</f>
        <v>-5425745.57</v>
      </c>
    </row>
    <row r="22" customFormat="false" ht="13.5" hidden="false" customHeight="false" outlineLevel="0" collapsed="false"/>
    <row r="23" customFormat="false" ht="12.75" hidden="false" customHeight="false" outlineLevel="0" collapsed="false">
      <c r="A23" s="0" t="s">
        <v>534</v>
      </c>
      <c r="B23" s="267" t="n">
        <v>2000000</v>
      </c>
    </row>
    <row r="24" customFormat="false" ht="13.5" hidden="false" customHeight="false" outlineLevel="0" collapsed="false">
      <c r="A24" s="0" t="s">
        <v>535</v>
      </c>
      <c r="B24" s="274" t="n">
        <f aca="false">+B23+B19</f>
        <v>7277506.61</v>
      </c>
    </row>
    <row r="25" customFormat="false" ht="13.5" hidden="false" customHeight="false" outlineLevel="0" collapsed="false"/>
    <row r="27" customFormat="false" ht="12.75" hidden="false" customHeight="false" outlineLevel="0" collapsed="false">
      <c r="B27" s="269" t="s">
        <v>536</v>
      </c>
      <c r="D27" s="269" t="s">
        <v>536</v>
      </c>
    </row>
    <row r="28" customFormat="false" ht="12.75" hidden="false" customHeight="false" outlineLevel="0" collapsed="false">
      <c r="B28" s="271" t="s">
        <v>68</v>
      </c>
      <c r="D28" s="271" t="s">
        <v>537</v>
      </c>
    </row>
    <row r="29" customFormat="false" ht="12.75" hidden="false" customHeight="false" outlineLevel="0" collapsed="false">
      <c r="A29" s="95" t="s">
        <v>538</v>
      </c>
      <c r="B29" s="267" t="n">
        <v>13392698</v>
      </c>
      <c r="D29" s="267" t="n">
        <v>13392698</v>
      </c>
    </row>
    <row r="30" customFormat="false" ht="12.75" hidden="false" customHeight="false" outlineLevel="0" collapsed="false">
      <c r="A30" s="95" t="s">
        <v>539</v>
      </c>
      <c r="B30" s="267" t="n">
        <v>9374889</v>
      </c>
      <c r="D30" s="267" t="n">
        <v>9374889</v>
      </c>
    </row>
    <row r="31" customFormat="false" ht="12.75" hidden="false" customHeight="false" outlineLevel="0" collapsed="false">
      <c r="A31" s="95" t="s">
        <v>540</v>
      </c>
      <c r="D31" s="267" t="n">
        <v>2678540</v>
      </c>
      <c r="E31" s="0" t="s">
        <v>522</v>
      </c>
    </row>
    <row r="32" customFormat="false" ht="12.75" hidden="false" customHeight="false" outlineLevel="0" collapsed="false">
      <c r="A32" s="95" t="s">
        <v>541</v>
      </c>
      <c r="D32" s="267" t="n">
        <v>1339270</v>
      </c>
      <c r="E32" s="0" t="s">
        <v>522</v>
      </c>
    </row>
    <row r="33" customFormat="false" ht="12.75" hidden="false" customHeight="false" outlineLevel="0" collapsed="false">
      <c r="A33" s="0" t="s">
        <v>542</v>
      </c>
      <c r="B33" s="267" t="n">
        <v>652369.63</v>
      </c>
      <c r="D33" s="267" t="n">
        <v>652369.63</v>
      </c>
      <c r="E33" s="0" t="s">
        <v>543</v>
      </c>
    </row>
    <row r="35" customFormat="false" ht="12.75" hidden="false" customHeight="false" outlineLevel="0" collapsed="false">
      <c r="A35" s="0" t="s">
        <v>544</v>
      </c>
      <c r="B35" s="267" t="n">
        <v>5400</v>
      </c>
      <c r="D35" s="267" t="n">
        <v>5400</v>
      </c>
    </row>
    <row r="36" customFormat="false" ht="12.75" hidden="false" customHeight="false" outlineLevel="0" collapsed="false">
      <c r="A36" s="0" t="s">
        <v>545</v>
      </c>
      <c r="B36" s="267" t="n">
        <v>-167</v>
      </c>
      <c r="D36" s="267" t="n">
        <v>-167</v>
      </c>
    </row>
    <row r="37" customFormat="false" ht="12.75" hidden="false" customHeight="false" outlineLevel="0" collapsed="false">
      <c r="A37" s="0" t="s">
        <v>546</v>
      </c>
      <c r="B37" s="267" t="n">
        <v>10246.5</v>
      </c>
      <c r="D37" s="267" t="n">
        <v>10246.5</v>
      </c>
    </row>
    <row r="38" customFormat="false" ht="12.75" hidden="false" customHeight="false" outlineLevel="0" collapsed="false">
      <c r="A38" s="0" t="s">
        <v>547</v>
      </c>
      <c r="B38" s="267" t="n">
        <v>123281.75</v>
      </c>
      <c r="D38" s="267" t="n">
        <v>123281.75</v>
      </c>
    </row>
    <row r="39" customFormat="false" ht="12.75" hidden="false" customHeight="false" outlineLevel="0" collapsed="false">
      <c r="A39" s="0" t="s">
        <v>548</v>
      </c>
      <c r="B39" s="267" t="n">
        <v>-113214.4</v>
      </c>
      <c r="D39" s="267" t="n">
        <v>-113214.4</v>
      </c>
    </row>
    <row r="41" customFormat="false" ht="12.75" hidden="false" customHeight="false" outlineLevel="0" collapsed="false">
      <c r="A41" s="0" t="s">
        <v>549</v>
      </c>
      <c r="D41" s="267" t="n">
        <v>0</v>
      </c>
      <c r="E41" s="0" t="s">
        <v>550</v>
      </c>
    </row>
    <row r="43" customFormat="false" ht="12.75" hidden="false" customHeight="false" outlineLevel="0" collapsed="false">
      <c r="A43" s="0" t="s">
        <v>551</v>
      </c>
      <c r="B43" s="273" t="n">
        <f aca="false">SUM(B29:B42)</f>
        <v>23445503.48</v>
      </c>
      <c r="D43" s="273" t="n">
        <f aca="false">SUM(D29:D42)</f>
        <v>27463313.48</v>
      </c>
    </row>
  </sheetData>
  <printOptions headings="false" gridLines="false" gridLinesSet="true" horizontalCentered="true" verticalCentered="false"/>
  <pageMargins left="0.25" right="0.25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1998-11-04T12:10:39Z</dcterms:created>
  <dc:creator>tshepperd</dc:creator>
  <dc:description/>
  <dc:language>en-US</dc:language>
  <cp:lastModifiedBy>Theresa Wiesmann</cp:lastModifiedBy>
  <cp:lastPrinted>1999-12-13T14:15:48Z</cp:lastPrinted>
  <cp:revision>0</cp:revision>
  <dc:subject/>
  <dc:title/>
</cp:coreProperties>
</file>