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6.5% - Swap" sheetId="1" state="hidden" r:id="rId3"/>
    <sheet name="Brownsville" sheetId="2" state="visible" r:id="rId4"/>
    <sheet name="Caledonia" sheetId="3" state="visible" r:id="rId5"/>
    <sheet name="New Albany" sheetId="4" state="visible" r:id="rId6"/>
    <sheet name="Draw Summary" sheetId="5" state="visible" r:id="rId7"/>
  </sheets>
  <externalReferences>
    <externalReference r:id="rId8"/>
  </externalReferences>
  <definedNames>
    <definedName function="false" hidden="false" localSheetId="1" name="_xlnm.Print_Area" vbProcedure="false">Brownsville!$A$1:$P$62</definedName>
    <definedName function="false" hidden="false" localSheetId="2" name="_xlnm.Print_Area" vbProcedure="false">Caledonia!$A$1:$P$63</definedName>
    <definedName function="false" hidden="false" localSheetId="4" name="_xlnm.Print_Area" vbProcedure="false">'Draw Summary'!$A$1:$G$62</definedName>
    <definedName function="false" hidden="false" localSheetId="3" name="_xlnm.Print_Area" vbProcedure="false">'New Albany'!$A$1:$P$71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<sst xmlns="http://schemas.openxmlformats.org/spreadsheetml/2006/main" count="406" uniqueCount="127">
  <si>
    <t xml:space="preserve">Enron Capital &amp; Trade Services</t>
  </si>
  <si>
    <t xml:space="preserve">Business Analysis &amp; Reporting</t>
  </si>
  <si>
    <t xml:space="preserve">Last updated:  February 23, 1999</t>
  </si>
  <si>
    <t xml:space="preserve">Power Plants - 2000</t>
  </si>
  <si>
    <t xml:space="preserve">1999</t>
  </si>
  <si>
    <t xml:space="preserve">2000</t>
  </si>
  <si>
    <t xml:space="preserve">Total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</si>
  <si>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</si>
  <si>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</si>
  <si>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</si>
  <si>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</si>
  <si>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</si>
  <si>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</si>
  <si>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</si>
  <si>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</si>
  <si>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</si>
  <si>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</si>
  <si>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</si>
  <si>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</si>
  <si>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Person Responsible</t>
  </si>
  <si>
    <t xml:space="preserve"> Wilton Center IL</t>
  </si>
  <si>
    <t xml:space="preserve">( Dev Owner:  Scott Healy)</t>
  </si>
  <si>
    <t xml:space="preserve">GE 7EA's (8ea)</t>
  </si>
  <si>
    <t xml:space="preserve">Mike Miller</t>
  </si>
  <si>
    <t xml:space="preserve">ABB</t>
  </si>
  <si>
    <t xml:space="preserve">EECC</t>
  </si>
  <si>
    <t xml:space="preserve">NEPCO</t>
  </si>
  <si>
    <t xml:space="preserve">EI (Mobilization of O&amp;M)</t>
  </si>
  <si>
    <t xml:space="preserve">Kevin Presto</t>
  </si>
  <si>
    <t xml:space="preserve">PARTS</t>
  </si>
  <si>
    <t xml:space="preserve">LAND</t>
  </si>
  <si>
    <t xml:space="preserve">Scott Healy</t>
  </si>
  <si>
    <t xml:space="preserve">ENVIR PERMITTING</t>
  </si>
  <si>
    <t xml:space="preserve">GAS INTERCONNECT</t>
  </si>
  <si>
    <t xml:space="preserve">Chris Meyer</t>
  </si>
  <si>
    <t xml:space="preserve">ELECT INTERCONNECT</t>
  </si>
  <si>
    <t xml:space="preserve">START UP FUEL</t>
  </si>
  <si>
    <t xml:space="preserve">SALES TAX</t>
  </si>
  <si>
    <t xml:space="preserve">INSURANCE</t>
  </si>
  <si>
    <t xml:space="preserve">SALARIES</t>
  </si>
  <si>
    <t xml:space="preserve">DEVELOPMENT</t>
  </si>
  <si>
    <t xml:space="preserve">LEGAL</t>
  </si>
  <si>
    <t xml:space="preserve">Total Plant</t>
  </si>
  <si>
    <t xml:space="preserve">Cumulative Total Plant</t>
  </si>
  <si>
    <t xml:space="preserve">$$/Kw</t>
  </si>
  <si>
    <t xml:space="preserve">IDC</t>
  </si>
  <si>
    <t xml:space="preserve">FINANCING FEE</t>
  </si>
  <si>
    <t xml:space="preserve">Rodney Malcolm</t>
  </si>
  <si>
    <t xml:space="preserve">CONTINGENCY (5%)</t>
  </si>
  <si>
    <t xml:space="preserve">Subtotal</t>
  </si>
  <si>
    <t xml:space="preserve">Cumulative subtotal</t>
  </si>
  <si>
    <t xml:space="preserve">Total Wilton Center</t>
  </si>
  <si>
    <t xml:space="preserve">Cumulative Total</t>
  </si>
  <si>
    <t xml:space="preserve">IDC 6.5% - Swap</t>
  </si>
  <si>
    <t xml:space="preserve">MW</t>
  </si>
  <si>
    <t xml:space="preserve">DEBT RESERVE</t>
  </si>
  <si>
    <t xml:space="preserve">Total Current month less IDC</t>
  </si>
  <si>
    <t xml:space="preserve">CALVERT CITY, KY</t>
  </si>
  <si>
    <t xml:space="preserve">( Dev Owner:  Ben Jacoby)</t>
  </si>
  <si>
    <t xml:space="preserve">WH501FD (2 ea)</t>
  </si>
  <si>
    <t xml:space="preserve">WH 501F (1 ea)</t>
  </si>
  <si>
    <t xml:space="preserve">Ben Jacoby</t>
  </si>
  <si>
    <t xml:space="preserve">WATER LINE</t>
  </si>
  <si>
    <t xml:space="preserve">RESALE AND HANDLING FEE</t>
  </si>
  <si>
    <t xml:space="preserve">Patrick Maloy</t>
  </si>
  <si>
    <t xml:space="preserve">Total Calvert City</t>
  </si>
  <si>
    <t xml:space="preserve">WHEATLAND, INDIANA</t>
  </si>
  <si>
    <t xml:space="preserve">( Dev Owner:  Steve Dowd)</t>
  </si>
  <si>
    <t xml:space="preserve">WH 501D5A (4)</t>
  </si>
  <si>
    <t xml:space="preserve">Steve Dowd</t>
  </si>
  <si>
    <t xml:space="preserve">RESALE HANDLING FEE</t>
  </si>
  <si>
    <t xml:space="preserve">Cumulative total w/o Debt reserve</t>
  </si>
  <si>
    <t xml:space="preserve">Cumulative total with Debt reserve</t>
  </si>
  <si>
    <t xml:space="preserve">Last updated:  Actuals through December 17, 1999</t>
  </si>
  <si>
    <t xml:space="preserve">Power Plants - 1999</t>
  </si>
  <si>
    <t xml:space="preserve">Capital</t>
  </si>
  <si>
    <t xml:space="preserve">Brownsville, TN</t>
  </si>
  <si>
    <t xml:space="preserve">( Dev Owner:  Clay Spears)</t>
  </si>
  <si>
    <t xml:space="preserve">WH 5D's (4ea)</t>
  </si>
  <si>
    <t xml:space="preserve">OTHER</t>
  </si>
  <si>
    <t xml:space="preserve">IDC Credit on Unused Cash</t>
  </si>
  <si>
    <t xml:space="preserve">Commitment Fee</t>
  </si>
  <si>
    <t xml:space="preserve">SWAP</t>
  </si>
  <si>
    <t xml:space="preserve">CONTINGENCY</t>
  </si>
  <si>
    <t xml:space="preserve">Total Capital</t>
  </si>
  <si>
    <t xml:space="preserve">Monthly Draw, including accr int and comm fee</t>
  </si>
  <si>
    <t xml:space="preserve">Cumulative Outstanding Balance</t>
  </si>
  <si>
    <t xml:space="preserve">Total Project Cost (w/o Debt Reserve)</t>
  </si>
  <si>
    <t xml:space="preserve">Total Cumul Project Cost (w/o Debt Reserve)</t>
  </si>
  <si>
    <t xml:space="preserve">Total Project Cost (with Debt Reserve)</t>
  </si>
  <si>
    <t xml:space="preserve">IDC 5.75%  (Actuals through April)</t>
  </si>
  <si>
    <t xml:space="preserve">+ 15 Bps Com Fee (thru 5/21/99 only)</t>
  </si>
  <si>
    <t xml:space="preserve">Blue</t>
  </si>
  <si>
    <t xml:space="preserve">Actuals</t>
  </si>
  <si>
    <t xml:space="preserve">Caledonia, MS</t>
  </si>
  <si>
    <t xml:space="preserve">GE 7EA's (6ea)</t>
  </si>
  <si>
    <t xml:space="preserve">Swap Gain/Loss</t>
  </si>
  <si>
    <t xml:space="preserve">New Albany, MS</t>
  </si>
  <si>
    <t xml:space="preserve">SPARE PARTS</t>
  </si>
  <si>
    <t xml:space="preserve">Swap</t>
  </si>
  <si>
    <t xml:space="preserve">Input from WestLB statements for each month's actuals (1/99 - 5/99)</t>
  </si>
  <si>
    <t xml:space="preserve">Power Plants</t>
  </si>
  <si>
    <t xml:space="preserve">Outstanding Balance Summary</t>
  </si>
  <si>
    <t xml:space="preserve">Date of</t>
  </si>
  <si>
    <t xml:space="preserve">Interest</t>
  </si>
  <si>
    <t xml:space="preserve">Description</t>
  </si>
  <si>
    <t xml:space="preserve">Funding</t>
  </si>
  <si>
    <t xml:space="preserve">Rate</t>
  </si>
  <si>
    <t xml:space="preserve">Brownsville</t>
  </si>
  <si>
    <t xml:space="preserve">Caledonia</t>
  </si>
  <si>
    <t xml:space="preserve">New Albany</t>
  </si>
  <si>
    <t xml:space="preserve">(30day LIBOR</t>
  </si>
  <si>
    <t xml:space="preserve">+ 75 bps)</t>
  </si>
  <si>
    <t xml:space="preserve">Initial Funding</t>
  </si>
  <si>
    <t xml:space="preserve">First Draw</t>
  </si>
  <si>
    <t xml:space="preserve">Transaction Expenses</t>
  </si>
  <si>
    <t xml:space="preserve">CM Activity</t>
  </si>
  <si>
    <t xml:space="preserve">Cumulative O/S balance</t>
  </si>
  <si>
    <t xml:space="preserve">Second Draw</t>
  </si>
  <si>
    <t xml:space="preserve">Third Draw</t>
  </si>
  <si>
    <t xml:space="preserve">Fourth Draw</t>
  </si>
  <si>
    <t xml:space="preserve">Fifth Draw</t>
  </si>
  <si>
    <t xml:space="preserve">Sixth Draw</t>
  </si>
  <si>
    <t xml:space="preserve">Breakage Costs</t>
  </si>
  <si>
    <t xml:space="preserve">Payback West LB</t>
  </si>
  <si>
    <t xml:space="preserve">Total Commitment</t>
  </si>
  <si>
    <t xml:space="preserve">Remaining balance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</si>
</sst>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  <numFmt numFmtId="170" formatCode="0_);\(0\)"/>
    <numFmt numFmtId="171" formatCode="_(\$* #,##0.00_);_(\$* \(#,##0.00\);_(\$* \-??_);_(@_)"/>
    <numFmt numFmtId="172" formatCode="_(\$* #,##0_);_(\$* \(#,##0\);_(\$* \-??_);_(@_)"/>
    <numFmt numFmtId="173" formatCode="0.00000%"/>
    <numFmt numFmtId="174" formatCode="[$-409]m/d/yy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b val="true"/>
      <u val="single"/>
      <sz val="11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TVA%20Plants/TVA%20Weekly%20Summary/TVA%20Wkly%20Anal%20-%201221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A Mquip"/>
      <sheetName val="EECC"/>
      <sheetName val="To Update"/>
      <sheetName val="Summary"/>
      <sheetName val="Brownsville"/>
      <sheetName val="Caledonia"/>
      <sheetName val="NewAlbany"/>
      <sheetName val="Parts_Refurb $s"/>
    </sheetNames>
    <sheetDataSet>
      <sheetData sheetId="0"/>
      <sheetData sheetId="1"/>
      <sheetData sheetId="2"/>
      <sheetData sheetId="3"/>
      <sheetData sheetId="4"/>
      <sheetData sheetId="5">
        <row r="18">
          <cell r="AY18">
            <v>72614405.8</v>
          </cell>
        </row>
        <row r="31">
          <cell r="AY31">
            <v>8885247.14</v>
          </cell>
        </row>
        <row r="41">
          <cell r="AY41">
            <v>734722.72</v>
          </cell>
        </row>
        <row r="106">
          <cell r="AY106">
            <v>32944503.7</v>
          </cell>
        </row>
        <row r="113">
          <cell r="AY113">
            <v>698289.4</v>
          </cell>
        </row>
        <row r="115">
          <cell r="AY115">
            <v>1317746.81</v>
          </cell>
        </row>
        <row r="120">
          <cell r="AY120">
            <v>461440.33</v>
          </cell>
        </row>
        <row r="130">
          <cell r="AY130">
            <v>865369.28</v>
          </cell>
        </row>
        <row r="132">
          <cell r="AY132">
            <v>0</v>
          </cell>
        </row>
        <row r="139">
          <cell r="AY139">
            <v>1972489.012</v>
          </cell>
        </row>
        <row r="141">
          <cell r="AY141">
            <v>225949</v>
          </cell>
        </row>
        <row r="143">
          <cell r="AY143">
            <v>164348</v>
          </cell>
        </row>
        <row r="145">
          <cell r="AY145">
            <v>35060.42</v>
          </cell>
        </row>
        <row r="147">
          <cell r="AY147">
            <v>4408047</v>
          </cell>
        </row>
        <row r="148">
          <cell r="AY148">
            <v>-123964</v>
          </cell>
        </row>
        <row r="149">
          <cell r="AY149">
            <v>23205.3</v>
          </cell>
        </row>
        <row r="150">
          <cell r="AY150">
            <v>-15667.94</v>
          </cell>
        </row>
        <row r="159">
          <cell r="AY159">
            <v>1103769.72333333</v>
          </cell>
        </row>
        <row r="161">
          <cell r="AY161">
            <v>69937</v>
          </cell>
        </row>
        <row r="179">
          <cell r="AY179">
            <v>555315.14</v>
          </cell>
        </row>
        <row r="192">
          <cell r="AY192">
            <v>766416.75</v>
          </cell>
        </row>
        <row r="194">
          <cell r="AY194">
            <v>228051.11</v>
          </cell>
        </row>
        <row r="197">
          <cell r="AY197">
            <v>127934680.695333</v>
          </cell>
        </row>
      </sheetData>
      <sheetData sheetId="6">
        <row r="21">
          <cell r="AY21">
            <v>101629107.92</v>
          </cell>
        </row>
        <row r="34">
          <cell r="AY34">
            <v>10286721</v>
          </cell>
        </row>
        <row r="44">
          <cell r="AY44">
            <v>785954.21</v>
          </cell>
        </row>
        <row r="117">
          <cell r="AY117">
            <v>29262849.15</v>
          </cell>
        </row>
        <row r="123">
          <cell r="AY123">
            <v>568579.44</v>
          </cell>
        </row>
        <row r="125">
          <cell r="AY125">
            <v>787800</v>
          </cell>
        </row>
        <row r="136">
          <cell r="AY136">
            <v>557693.33</v>
          </cell>
        </row>
        <row r="138">
          <cell r="AY138">
            <v>237352.65</v>
          </cell>
        </row>
        <row r="141">
          <cell r="AY141">
            <v>981000</v>
          </cell>
        </row>
        <row r="148">
          <cell r="AY148">
            <v>3507819.876</v>
          </cell>
        </row>
        <row r="150">
          <cell r="AY150">
            <v>99999.9999999999</v>
          </cell>
        </row>
        <row r="152">
          <cell r="AY152">
            <v>224923</v>
          </cell>
        </row>
        <row r="154">
          <cell r="AY154">
            <v>53203.58</v>
          </cell>
        </row>
        <row r="156">
          <cell r="AY156">
            <v>3172038.28</v>
          </cell>
        </row>
        <row r="157">
          <cell r="AY157">
            <v>-426988</v>
          </cell>
        </row>
        <row r="158">
          <cell r="AY158">
            <v>40258</v>
          </cell>
        </row>
        <row r="159">
          <cell r="AY159">
            <v>-10399.47</v>
          </cell>
        </row>
        <row r="169">
          <cell r="AY169">
            <v>1285019.71333333</v>
          </cell>
        </row>
        <row r="171">
          <cell r="AY171">
            <v>94021</v>
          </cell>
        </row>
        <row r="184">
          <cell r="AY184">
            <v>741635.96</v>
          </cell>
        </row>
        <row r="192">
          <cell r="AY192">
            <v>581382.25</v>
          </cell>
        </row>
        <row r="194">
          <cell r="AY194">
            <v>136036.07</v>
          </cell>
        </row>
        <row r="198">
          <cell r="AY198">
            <v>154596009.959333</v>
          </cell>
        </row>
      </sheetData>
      <sheetData sheetId="7">
        <row r="25">
          <cell r="AY25">
            <v>82754588.73</v>
          </cell>
        </row>
        <row r="27">
          <cell r="AY27">
            <v>7891256.53</v>
          </cell>
        </row>
        <row r="41">
          <cell r="AY41">
            <v>11336875.91</v>
          </cell>
        </row>
        <row r="51">
          <cell r="AY51">
            <v>1199679</v>
          </cell>
        </row>
        <row r="141">
          <cell r="AY141">
            <v>33531556.17</v>
          </cell>
        </row>
        <row r="147">
          <cell r="AY147">
            <v>786608.59</v>
          </cell>
        </row>
        <row r="149">
          <cell r="AY149">
            <v>813050</v>
          </cell>
        </row>
        <row r="153">
          <cell r="AY153">
            <v>172609.34</v>
          </cell>
        </row>
        <row r="157">
          <cell r="AY157">
            <v>354903.46</v>
          </cell>
        </row>
        <row r="159">
          <cell r="AY159">
            <v>0</v>
          </cell>
        </row>
        <row r="166">
          <cell r="AY166">
            <v>2150806.664</v>
          </cell>
        </row>
        <row r="168">
          <cell r="AY168">
            <v>100000</v>
          </cell>
        </row>
        <row r="170">
          <cell r="AY170">
            <v>326527</v>
          </cell>
        </row>
        <row r="172">
          <cell r="AY172">
            <v>63623.9</v>
          </cell>
        </row>
        <row r="174">
          <cell r="AY174">
            <v>4163904.83</v>
          </cell>
        </row>
        <row r="175">
          <cell r="AY175">
            <v>-159283</v>
          </cell>
        </row>
        <row r="176">
          <cell r="AY176">
            <v>24072.18</v>
          </cell>
        </row>
        <row r="177">
          <cell r="AY177">
            <v>-15668</v>
          </cell>
        </row>
        <row r="189">
          <cell r="AY189">
            <v>1153769.70333333</v>
          </cell>
        </row>
        <row r="191">
          <cell r="AY191">
            <v>62709.15</v>
          </cell>
        </row>
        <row r="205">
          <cell r="AY205">
            <v>638181.85</v>
          </cell>
        </row>
        <row r="214">
          <cell r="AY214">
            <v>538966.38</v>
          </cell>
        </row>
        <row r="216">
          <cell r="AY216">
            <v>375015.74</v>
          </cell>
        </row>
        <row r="220">
          <cell r="AY220">
            <v>148263753.127333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2.56"/>
    <col collapsed="false" customWidth="true" hidden="false" outlineLevel="0" max="2" min="2" style="1" width="1.7"/>
    <col collapsed="false" customWidth="true" hidden="false" outlineLevel="0" max="3" min="3" style="2" width="13.85"/>
    <col collapsed="false" customWidth="true" hidden="false" outlineLevel="0" max="4" min="4" style="1" width="13.99"/>
    <col collapsed="false" customWidth="true" hidden="false" outlineLevel="0" max="5" min="5" style="1" width="13.85"/>
    <col collapsed="false" customWidth="true" hidden="false" outlineLevel="0" max="6" min="6" style="1" width="12.85"/>
    <col collapsed="false" customWidth="true" hidden="false" outlineLevel="0" max="10" min="7" style="1" width="13.56"/>
    <col collapsed="false" customWidth="true" hidden="false" outlineLevel="0" max="11" min="11" style="1" width="14.28"/>
    <col collapsed="false" customWidth="true" hidden="false" outlineLevel="0" max="12" min="12" style="1" width="13.56"/>
    <col collapsed="false" customWidth="true" hidden="false" outlineLevel="0" max="13" min="13" style="1" width="15.41"/>
    <col collapsed="false" customWidth="true" hidden="false" outlineLevel="0" max="14" min="14" style="1" width="14.28"/>
    <col collapsed="false" customWidth="true" hidden="false" outlineLevel="0" max="16" min="15" style="1" width="13.85"/>
    <col collapsed="false" customWidth="true" hidden="false" outlineLevel="0" max="17" min="17" style="1" width="13.56"/>
    <col collapsed="false" customWidth="true" hidden="false" outlineLevel="0" max="18" min="18" style="1" width="14.56"/>
    <col collapsed="false" customWidth="true" hidden="false" outlineLevel="0" max="19" min="19" style="1" width="13.7"/>
    <col collapsed="false" customWidth="true" hidden="false" outlineLevel="0" max="20" min="20" style="1" width="14.28"/>
    <col collapsed="false" customWidth="true" hidden="false" outlineLevel="0" max="21" min="21" style="1" width="14.56"/>
    <col collapsed="false" customWidth="true" hidden="false" outlineLevel="0" max="22" min="22" style="2" width="18.56"/>
    <col collapsed="false" customWidth="true" hidden="false" outlineLevel="0" max="23" min="23" style="1" width="32.7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tr">
        <f aca="true">CELL("filename")</f>
        <v>'file:///mnt/12tb/@roms/datasets/enron/EDRM Enron Email Data Set v2 XML/filtered-attachments/xls/TVADraw122199.xls'#$6.5% - Swap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 t="n">
        <f aca="true">NOW()</f>
        <v>45926.966727396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C4" s="8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3" t="s">
        <v>6</v>
      </c>
      <c r="W6" s="13" t="s">
        <v>19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4"/>
      <c r="W7" s="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4"/>
      <c r="W8" s="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" t="s">
        <v>22</v>
      </c>
      <c r="C9" s="2" t="n">
        <v>6800000</v>
      </c>
      <c r="D9" s="15" t="n">
        <v>0</v>
      </c>
      <c r="E9" s="15" t="n">
        <v>32884800</v>
      </c>
      <c r="F9" s="15" t="n">
        <f aca="false">6825139*2</f>
        <v>13650278</v>
      </c>
      <c r="G9" s="15" t="n">
        <v>6825139</v>
      </c>
      <c r="H9" s="15" t="n">
        <v>6825139</v>
      </c>
      <c r="I9" s="15" t="n">
        <v>6825139</v>
      </c>
      <c r="J9" s="15" t="n">
        <v>6825139</v>
      </c>
      <c r="K9" s="15" t="n">
        <v>6825139</v>
      </c>
      <c r="L9" s="15" t="n">
        <v>6825139</v>
      </c>
      <c r="M9" s="15" t="n">
        <v>8531424</v>
      </c>
      <c r="N9" s="15" t="n">
        <v>12790310</v>
      </c>
      <c r="O9" s="15" t="n">
        <f aca="false">12803961+4066034</f>
        <v>16869995</v>
      </c>
      <c r="P9" s="1" t="n">
        <v>0</v>
      </c>
      <c r="U9" s="1" t="n">
        <v>6825139</v>
      </c>
      <c r="V9" s="16" t="n">
        <f aca="false">SUM(C9:U9)</f>
        <v>139302780</v>
      </c>
      <c r="W9" s="17" t="s">
        <v>23</v>
      </c>
    </row>
    <row r="10" customFormat="false" ht="12.75" hidden="false" customHeight="false" outlineLevel="0" collapsed="false">
      <c r="A10" s="1" t="s">
        <v>24</v>
      </c>
      <c r="C10" s="2" t="n">
        <v>0</v>
      </c>
      <c r="G10" s="1" t="n">
        <v>670000</v>
      </c>
      <c r="I10" s="1" t="n">
        <v>5360000</v>
      </c>
      <c r="J10" s="1" t="n">
        <v>2680000</v>
      </c>
      <c r="K10" s="1" t="n">
        <v>670000</v>
      </c>
      <c r="L10" s="1" t="n">
        <v>670000</v>
      </c>
      <c r="M10" s="1" t="n">
        <v>670000</v>
      </c>
      <c r="N10" s="1" t="n">
        <v>670000</v>
      </c>
      <c r="O10" s="1" t="n">
        <v>670000</v>
      </c>
      <c r="P10" s="1" t="n">
        <v>670000</v>
      </c>
      <c r="Q10" s="1" t="n">
        <v>670000</v>
      </c>
      <c r="V10" s="16" t="n">
        <f aca="false">SUM(C10:U10)</f>
        <v>13400000</v>
      </c>
      <c r="W10" s="17" t="str">
        <f aca="false">W9</f>
        <v>Mike Miller</v>
      </c>
    </row>
    <row r="11" customFormat="false" ht="12.75" hidden="false" customHeight="false" outlineLevel="0" collapsed="false">
      <c r="A11" s="1" t="s">
        <v>25</v>
      </c>
      <c r="C11" s="2" t="n">
        <v>0</v>
      </c>
      <c r="K11" s="1" t="n">
        <v>0</v>
      </c>
      <c r="L11" s="1" t="n">
        <v>0</v>
      </c>
      <c r="M11" s="1" t="n">
        <v>0</v>
      </c>
      <c r="N11" s="1" t="n">
        <v>0</v>
      </c>
      <c r="O11" s="1" t="n">
        <v>0</v>
      </c>
      <c r="P11" s="1" t="n">
        <v>0</v>
      </c>
      <c r="Q11" s="1" t="n">
        <v>0</v>
      </c>
      <c r="R11" s="1" t="n">
        <v>0</v>
      </c>
      <c r="S11" s="1" t="n">
        <v>0</v>
      </c>
      <c r="T11" s="1" t="n">
        <v>0</v>
      </c>
      <c r="U11" s="1" t="n">
        <v>0</v>
      </c>
      <c r="V11" s="16" t="n">
        <f aca="false">SUM(C11:U11)</f>
        <v>0</v>
      </c>
      <c r="W11" s="17" t="str">
        <f aca="false">W10</f>
        <v>Mike Miller</v>
      </c>
    </row>
    <row r="12" customFormat="false" ht="12.75" hidden="false" customHeight="false" outlineLevel="0" collapsed="false">
      <c r="A12" s="1" t="s">
        <v>26</v>
      </c>
      <c r="C12" s="2" t="n">
        <v>0</v>
      </c>
      <c r="K12" s="1" t="n">
        <v>1642664</v>
      </c>
      <c r="L12" s="1" t="n">
        <v>1558726</v>
      </c>
      <c r="M12" s="1" t="n">
        <v>1558726</v>
      </c>
      <c r="N12" s="1" t="n">
        <v>1558996</v>
      </c>
      <c r="O12" s="1" t="n">
        <v>2620773</v>
      </c>
      <c r="P12" s="1" t="n">
        <v>4676732</v>
      </c>
      <c r="Q12" s="1" t="n">
        <v>4676732</v>
      </c>
      <c r="R12" s="1" t="n">
        <v>4676732</v>
      </c>
      <c r="S12" s="1" t="n">
        <v>4676732</v>
      </c>
      <c r="T12" s="1" t="n">
        <v>3176732</v>
      </c>
      <c r="U12" s="1" t="n">
        <v>3176455</v>
      </c>
      <c r="V12" s="16" t="n">
        <f aca="false">SUM(C12:U12)</f>
        <v>34000000</v>
      </c>
      <c r="W12" s="17" t="str">
        <f aca="false">W11</f>
        <v>Mike Miller</v>
      </c>
    </row>
    <row r="13" customFormat="false" ht="12.75" hidden="false" customHeight="false" outlineLevel="0" collapsed="false">
      <c r="A13" s="1" t="s">
        <v>27</v>
      </c>
      <c r="C13" s="2" t="n">
        <v>0</v>
      </c>
      <c r="P13" s="1" t="n">
        <v>125000</v>
      </c>
      <c r="Q13" s="1" t="n">
        <v>125000</v>
      </c>
      <c r="R13" s="1" t="n">
        <v>125000</v>
      </c>
      <c r="S13" s="1" t="n">
        <v>125000</v>
      </c>
      <c r="T13" s="1" t="n">
        <v>125000</v>
      </c>
      <c r="U13" s="1" t="n">
        <v>125000</v>
      </c>
      <c r="V13" s="16" t="n">
        <f aca="false">SUM(C13:U13)</f>
        <v>750000</v>
      </c>
      <c r="W13" s="17" t="s">
        <v>28</v>
      </c>
    </row>
    <row r="14" customFormat="false" ht="12.75" hidden="false" customHeight="false" outlineLevel="0" collapsed="false">
      <c r="A14" s="1" t="s">
        <v>29</v>
      </c>
      <c r="C14" s="2" t="n">
        <v>0</v>
      </c>
      <c r="S14" s="1" t="n">
        <v>500000</v>
      </c>
      <c r="T14" s="1" t="n">
        <v>500000</v>
      </c>
      <c r="U14" s="1" t="n">
        <v>204000</v>
      </c>
      <c r="V14" s="16" t="n">
        <f aca="false">SUM(C14:U14)</f>
        <v>1204000</v>
      </c>
      <c r="W14" s="17" t="str">
        <f aca="false">W12</f>
        <v>Mike Miller</v>
      </c>
    </row>
    <row r="15" customFormat="false" ht="12.75" hidden="false" customHeight="false" outlineLevel="0" collapsed="false">
      <c r="A15" s="1" t="s">
        <v>30</v>
      </c>
      <c r="C15" s="2" t="n">
        <v>0</v>
      </c>
      <c r="G15" s="1" t="n">
        <v>1668400</v>
      </c>
      <c r="H15" s="1" t="n">
        <v>0</v>
      </c>
      <c r="L15" s="1" t="n">
        <v>350000</v>
      </c>
      <c r="V15" s="16" t="n">
        <f aca="false">SUM(C15:U15)</f>
        <v>2018400</v>
      </c>
      <c r="W15" s="17" t="s">
        <v>31</v>
      </c>
    </row>
    <row r="16" customFormat="false" ht="12.75" hidden="false" customHeight="false" outlineLevel="0" collapsed="false">
      <c r="A16" s="1" t="s">
        <v>32</v>
      </c>
      <c r="C16" s="2" t="n">
        <v>0</v>
      </c>
      <c r="F16" s="1" t="n">
        <v>100000</v>
      </c>
      <c r="G16" s="1" t="n">
        <v>100000</v>
      </c>
      <c r="H16" s="1" t="n">
        <v>100000</v>
      </c>
      <c r="I16" s="1" t="n">
        <v>100000</v>
      </c>
      <c r="V16" s="16" t="n">
        <f aca="false">SUM(C16:U16)</f>
        <v>400000</v>
      </c>
      <c r="W16" s="17" t="str">
        <f aca="false">W15</f>
        <v>Scott Healy</v>
      </c>
    </row>
    <row r="17" customFormat="false" ht="12.75" hidden="false" customHeight="false" outlineLevel="0" collapsed="false">
      <c r="A17" s="1" t="s">
        <v>33</v>
      </c>
      <c r="C17" s="2" t="n">
        <v>0</v>
      </c>
      <c r="P17" s="1" t="n">
        <v>1750000</v>
      </c>
      <c r="Q17" s="1" t="n">
        <v>500000</v>
      </c>
      <c r="R17" s="1" t="n">
        <v>500000</v>
      </c>
      <c r="S17" s="1" t="n">
        <v>500000</v>
      </c>
      <c r="T17" s="1" t="n">
        <v>250000</v>
      </c>
      <c r="V17" s="16" t="n">
        <f aca="false">SUM(C17:U17)</f>
        <v>3500000</v>
      </c>
      <c r="W17" s="17" t="s">
        <v>34</v>
      </c>
    </row>
    <row r="18" customFormat="false" ht="12.75" hidden="false" customHeight="false" outlineLevel="0" collapsed="false">
      <c r="A18" s="1" t="s">
        <v>35</v>
      </c>
      <c r="C18" s="2" t="n">
        <v>0</v>
      </c>
      <c r="F18" s="1" t="n">
        <v>100000</v>
      </c>
      <c r="G18" s="1" t="n">
        <v>100000</v>
      </c>
      <c r="O18" s="1" t="n">
        <v>1000000</v>
      </c>
      <c r="P18" s="1" t="n">
        <v>850000</v>
      </c>
      <c r="Q18" s="1" t="n">
        <v>750000</v>
      </c>
      <c r="R18" s="1" t="n">
        <v>600000</v>
      </c>
      <c r="V18" s="16" t="n">
        <f aca="false">SUM(C18:U18)</f>
        <v>3400000</v>
      </c>
      <c r="W18" s="17" t="str">
        <f aca="false">W16</f>
        <v>Scott Healy</v>
      </c>
    </row>
    <row r="19" customFormat="false" ht="12.75" hidden="false" customHeight="false" outlineLevel="0" collapsed="false">
      <c r="A19" s="1" t="s">
        <v>36</v>
      </c>
      <c r="C19" s="2" t="n">
        <v>0</v>
      </c>
      <c r="S19" s="1" t="n">
        <v>500000</v>
      </c>
      <c r="T19" s="1" t="n">
        <v>500000</v>
      </c>
      <c r="U19" s="1" t="n">
        <v>0</v>
      </c>
      <c r="V19" s="16" t="n">
        <f aca="false">SUM(C19:U19)</f>
        <v>1000000</v>
      </c>
      <c r="W19" s="17" t="str">
        <f aca="false">W13</f>
        <v>Kevin Presto</v>
      </c>
    </row>
    <row r="20" customFormat="false" ht="12.75" hidden="false" customHeight="false" outlineLevel="0" collapsed="false">
      <c r="A20" s="1" t="s">
        <v>37</v>
      </c>
      <c r="C20" s="2" t="n">
        <v>0</v>
      </c>
      <c r="P20" s="1" t="n">
        <v>0</v>
      </c>
      <c r="Q20" s="1" t="n">
        <v>0</v>
      </c>
      <c r="R20" s="1" t="n">
        <v>4500000</v>
      </c>
      <c r="S20" s="1" t="n">
        <v>1500000</v>
      </c>
      <c r="T20" s="1" t="n">
        <v>1500000</v>
      </c>
      <c r="U20" s="1" t="n">
        <v>1500000</v>
      </c>
      <c r="V20" s="16" t="n">
        <f aca="false">SUM(C20:U20)</f>
        <v>9000000</v>
      </c>
      <c r="W20" s="17" t="str">
        <f aca="false">W18</f>
        <v>Scott Healy</v>
      </c>
    </row>
    <row r="21" customFormat="false" ht="12.75" hidden="false" customHeight="false" outlineLevel="0" collapsed="false">
      <c r="A21" s="1" t="s">
        <v>38</v>
      </c>
      <c r="C21" s="2" t="n">
        <v>0</v>
      </c>
      <c r="L21" s="1" t="n">
        <v>150000</v>
      </c>
      <c r="V21" s="16" t="n">
        <f aca="false">SUM(C21:U21)</f>
        <v>150000</v>
      </c>
      <c r="W21" s="17" t="str">
        <f aca="false">W20</f>
        <v>Scott Healy</v>
      </c>
    </row>
    <row r="22" customFormat="false" ht="12.75" hidden="false" customHeight="false" outlineLevel="0" collapsed="false">
      <c r="A22" s="1" t="s">
        <v>39</v>
      </c>
      <c r="C22" s="2" t="n">
        <v>0</v>
      </c>
      <c r="D22" s="1" t="n">
        <v>11111.1111111111</v>
      </c>
      <c r="E22" s="1" t="n">
        <v>11111.1111111111</v>
      </c>
      <c r="F22" s="1" t="n">
        <v>11111.1111111111</v>
      </c>
      <c r="G22" s="1" t="n">
        <v>11111.1111111111</v>
      </c>
      <c r="H22" s="1" t="n">
        <v>11111.1111111111</v>
      </c>
      <c r="I22" s="1" t="n">
        <v>11111.1111111111</v>
      </c>
      <c r="J22" s="1" t="n">
        <v>11111.1111111111</v>
      </c>
      <c r="K22" s="1" t="n">
        <v>11111.1111111111</v>
      </c>
      <c r="L22" s="1" t="n">
        <v>11111.1111111111</v>
      </c>
      <c r="M22" s="1" t="n">
        <v>11111.1111111111</v>
      </c>
      <c r="N22" s="1" t="n">
        <v>11111.1111111111</v>
      </c>
      <c r="O22" s="1" t="n">
        <v>11111.1111111111</v>
      </c>
      <c r="P22" s="1" t="n">
        <v>11111.1111111111</v>
      </c>
      <c r="Q22" s="1" t="n">
        <v>11111.1111111111</v>
      </c>
      <c r="R22" s="1" t="n">
        <v>11111.1111111111</v>
      </c>
      <c r="S22" s="1" t="n">
        <v>11111.1111111111</v>
      </c>
      <c r="T22" s="1" t="n">
        <v>11111.1111111111</v>
      </c>
      <c r="U22" s="1" t="n">
        <v>11111.1111111111</v>
      </c>
      <c r="V22" s="16" t="n">
        <f aca="false">SUM(C22:U22)</f>
        <v>200000</v>
      </c>
      <c r="W22" s="17" t="str">
        <f aca="false">W21</f>
        <v>Scott Healy</v>
      </c>
    </row>
    <row r="23" customFormat="false" ht="12.75" hidden="false" customHeight="false" outlineLevel="0" collapsed="false">
      <c r="A23" s="1" t="s">
        <v>40</v>
      </c>
      <c r="C23" s="2" t="n">
        <v>0</v>
      </c>
      <c r="D23" s="1" t="n">
        <v>15000</v>
      </c>
      <c r="E23" s="1" t="n">
        <v>15000</v>
      </c>
      <c r="F23" s="1" t="n">
        <v>15000</v>
      </c>
      <c r="G23" s="1" t="n">
        <v>15000</v>
      </c>
      <c r="H23" s="1" t="n">
        <v>15000</v>
      </c>
      <c r="I23" s="1" t="n">
        <v>15000</v>
      </c>
      <c r="J23" s="1" t="n">
        <v>15000</v>
      </c>
      <c r="K23" s="1" t="n">
        <v>15000</v>
      </c>
      <c r="L23" s="1" t="n">
        <v>15000</v>
      </c>
      <c r="M23" s="1" t="n">
        <v>15000</v>
      </c>
      <c r="N23" s="1" t="n">
        <v>15000</v>
      </c>
      <c r="O23" s="1" t="n">
        <v>15000</v>
      </c>
      <c r="P23" s="1" t="n">
        <v>15000</v>
      </c>
      <c r="Q23" s="1" t="n">
        <v>15000</v>
      </c>
      <c r="R23" s="1" t="n">
        <v>15000</v>
      </c>
      <c r="S23" s="1" t="n">
        <v>15000</v>
      </c>
      <c r="T23" s="1" t="n">
        <v>15000</v>
      </c>
      <c r="U23" s="1" t="n">
        <v>45000</v>
      </c>
      <c r="V23" s="16" t="n">
        <f aca="false">SUM(C23:U23)</f>
        <v>300000</v>
      </c>
      <c r="W23" s="17" t="str">
        <f aca="false">W22</f>
        <v>Scott Healy</v>
      </c>
    </row>
    <row r="24" customFormat="false" ht="12.75" hidden="false" customHeight="false" outlineLevel="0" collapsed="false">
      <c r="A24" s="1" t="s">
        <v>41</v>
      </c>
      <c r="C24" s="2" t="n">
        <v>0</v>
      </c>
      <c r="I24" s="1" t="n">
        <v>12500</v>
      </c>
      <c r="J24" s="1" t="n">
        <v>5000</v>
      </c>
      <c r="K24" s="1" t="n">
        <v>5000</v>
      </c>
      <c r="L24" s="1" t="n">
        <v>5000</v>
      </c>
      <c r="M24" s="1" t="n">
        <v>5000</v>
      </c>
      <c r="N24" s="1" t="n">
        <v>5000</v>
      </c>
      <c r="O24" s="1" t="n">
        <v>162500</v>
      </c>
      <c r="P24" s="1" t="n">
        <v>5000</v>
      </c>
      <c r="Q24" s="1" t="n">
        <v>5000</v>
      </c>
      <c r="R24" s="1" t="n">
        <v>5000</v>
      </c>
      <c r="S24" s="1" t="n">
        <v>5000</v>
      </c>
      <c r="T24" s="1" t="n">
        <v>5000</v>
      </c>
      <c r="U24" s="1" t="n">
        <v>175000</v>
      </c>
      <c r="V24" s="16" t="n">
        <f aca="false">SUM(C24:U24)</f>
        <v>400000</v>
      </c>
      <c r="W24" s="17" t="str">
        <f aca="false">W23</f>
        <v>Scott Healy</v>
      </c>
    </row>
    <row r="25" customFormat="false" ht="12.75" hidden="false" customHeight="false" outlineLevel="0" collapsed="false">
      <c r="A25" s="1" t="s">
        <v>42</v>
      </c>
      <c r="C25" s="18" t="n">
        <f aca="false">SUM(C9:C24)</f>
        <v>6800000</v>
      </c>
      <c r="D25" s="18" t="n">
        <f aca="false">SUM(D9:D24)</f>
        <v>26111.1111111111</v>
      </c>
      <c r="E25" s="18" t="n">
        <f aca="false">SUM(E9:E24)</f>
        <v>32910911.1111111</v>
      </c>
      <c r="F25" s="18" t="n">
        <f aca="false">SUM(F9:F24)</f>
        <v>13876389.1111111</v>
      </c>
      <c r="G25" s="18" t="n">
        <f aca="false">SUM(G9:G24)</f>
        <v>9389650.11111111</v>
      </c>
      <c r="H25" s="18" t="n">
        <f aca="false">SUM(H9:H24)</f>
        <v>6951250.11111111</v>
      </c>
      <c r="I25" s="18" t="n">
        <f aca="false">SUM(I9:I24)</f>
        <v>12323750.1111111</v>
      </c>
      <c r="J25" s="18" t="n">
        <f aca="false">SUM(J9:J24)</f>
        <v>9536250.11111111</v>
      </c>
      <c r="K25" s="18" t="n">
        <f aca="false">SUM(K9:K24)</f>
        <v>9168914.11111111</v>
      </c>
      <c r="L25" s="18" t="n">
        <f aca="false">SUM(L9:L24)</f>
        <v>9584976.11111111</v>
      </c>
      <c r="M25" s="18" t="n">
        <f aca="false">SUM(M9:M24)</f>
        <v>10791261.1111111</v>
      </c>
      <c r="N25" s="18" t="n">
        <f aca="false">SUM(N9:N24)</f>
        <v>15050417.1111111</v>
      </c>
      <c r="O25" s="18" t="n">
        <f aca="false">SUM(O9:O24)</f>
        <v>21349379.1111111</v>
      </c>
      <c r="P25" s="18" t="n">
        <f aca="false">SUM(P9:P24)</f>
        <v>8102843.11111111</v>
      </c>
      <c r="Q25" s="18" t="n">
        <f aca="false">SUM(Q9:Q24)</f>
        <v>6752843.11111111</v>
      </c>
      <c r="R25" s="18" t="n">
        <f aca="false">SUM(R9:R24)</f>
        <v>10432843.1111111</v>
      </c>
      <c r="S25" s="18" t="n">
        <f aca="false">SUM(S9:S24)</f>
        <v>7832843.11111111</v>
      </c>
      <c r="T25" s="18" t="n">
        <f aca="false">SUM(T9:T24)</f>
        <v>6082843.11111111</v>
      </c>
      <c r="U25" s="18" t="n">
        <f aca="false">SUM(U9:U24)</f>
        <v>12061705.1111111</v>
      </c>
      <c r="V25" s="19" t="n">
        <f aca="false">SUM(C25:U25)</f>
        <v>209025180</v>
      </c>
    </row>
    <row r="26" customFormat="false" ht="12.75" hidden="false" customHeight="false" outlineLevel="0" collapsed="false">
      <c r="A26" s="1" t="s">
        <v>43</v>
      </c>
      <c r="C26" s="18" t="n">
        <f aca="false">+C25</f>
        <v>6800000</v>
      </c>
      <c r="D26" s="18" t="n">
        <f aca="false">+C26+D25</f>
        <v>6826111.11111111</v>
      </c>
      <c r="E26" s="18" t="n">
        <f aca="false">+D26+E25</f>
        <v>39737022.2222222</v>
      </c>
      <c r="F26" s="18" t="n">
        <f aca="false">+E26+F25</f>
        <v>53613411.3333333</v>
      </c>
      <c r="G26" s="18" t="n">
        <f aca="false">+F26+G25</f>
        <v>63003061.4444445</v>
      </c>
      <c r="H26" s="18" t="n">
        <f aca="false">+G26+H25</f>
        <v>69954311.5555556</v>
      </c>
      <c r="I26" s="18" t="n">
        <f aca="false">+H26+I25</f>
        <v>82278061.6666667</v>
      </c>
      <c r="J26" s="18" t="n">
        <f aca="false">+I26+J25</f>
        <v>91814311.7777778</v>
      </c>
      <c r="K26" s="18" t="n">
        <f aca="false">+J26+K25</f>
        <v>100983225.888889</v>
      </c>
      <c r="L26" s="18" t="n">
        <f aca="false">+K26+L25</f>
        <v>110568202</v>
      </c>
      <c r="M26" s="18" t="n">
        <f aca="false">+L26+M25</f>
        <v>121359463.111111</v>
      </c>
      <c r="N26" s="18" t="n">
        <f aca="false">+M26+N25</f>
        <v>136409880.222222</v>
      </c>
      <c r="O26" s="18" t="n">
        <f aca="false">+N26+O25</f>
        <v>157759259.333333</v>
      </c>
      <c r="P26" s="18" t="n">
        <f aca="false">+O26+P25</f>
        <v>165862102.444444</v>
      </c>
      <c r="Q26" s="18" t="n">
        <f aca="false">+P26+Q25</f>
        <v>172614945.555556</v>
      </c>
      <c r="R26" s="18" t="n">
        <f aca="false">+Q26+R25</f>
        <v>183047788.666667</v>
      </c>
      <c r="S26" s="18" t="n">
        <f aca="false">+R26+S25</f>
        <v>190880631.777778</v>
      </c>
      <c r="T26" s="18" t="n">
        <f aca="false">+S26+T25</f>
        <v>196963474.888889</v>
      </c>
      <c r="U26" s="18" t="n">
        <f aca="false">+T26+U25</f>
        <v>209025180</v>
      </c>
      <c r="V26" s="20"/>
    </row>
    <row r="27" customFormat="false" ht="12.75" hidden="false" customHeight="false" outlineLevel="0" collapsed="false">
      <c r="A27" s="1" t="s">
        <v>44</v>
      </c>
      <c r="V27" s="21" t="n">
        <f aca="false">+V25/C39/1000</f>
        <v>348.3753</v>
      </c>
    </row>
    <row r="28" customFormat="false" ht="12.75" hidden="false" customHeight="false" outlineLevel="0" collapsed="false">
      <c r="V28" s="16"/>
    </row>
    <row r="29" customFormat="false" ht="12.75" hidden="false" customHeight="false" outlineLevel="0" collapsed="false">
      <c r="A29" s="1" t="s">
        <v>45</v>
      </c>
      <c r="C29" s="2" t="n">
        <v>187366</v>
      </c>
      <c r="D29" s="1" t="n">
        <v>42500</v>
      </c>
      <c r="E29" s="1" t="n">
        <f aca="false">(+D26+D33)*$C38/12</f>
        <v>38219.8760185185</v>
      </c>
      <c r="F29" s="1" t="n">
        <f aca="false">(+E26+E33)*$C38/12</f>
        <v>216694.335532137</v>
      </c>
      <c r="G29" s="1" t="n">
        <f aca="false">(+F26+F33)*$C38/12</f>
        <v>293031.870868122</v>
      </c>
      <c r="H29" s="1" t="n">
        <f aca="false">(+G26+G33)*$C38/12</f>
        <v>345479.731603842</v>
      </c>
      <c r="I29" s="1" t="n">
        <f aca="false">(+H26+H33)*$C38/12</f>
        <v>385003.684918548</v>
      </c>
      <c r="J29" s="1" t="n">
        <f aca="false">(+I26+I33)*$C38/12</f>
        <v>453842.767980376</v>
      </c>
      <c r="K29" s="1" t="n">
        <f aca="false">(+J26+J33)*$C38/12</f>
        <v>507955.771075455</v>
      </c>
      <c r="L29" s="1" t="n">
        <f aca="false">(+K26+K33)*$C38/12</f>
        <v>560372.149603965</v>
      </c>
      <c r="M29" s="1" t="n">
        <f aca="false">(+L26+L33)*$C38/12</f>
        <v>623451.119349505</v>
      </c>
      <c r="N29" s="1" t="n">
        <f aca="false">(+M26+M33)*$C38/12</f>
        <v>685280.810597833</v>
      </c>
      <c r="O29" s="1" t="n">
        <f aca="false">(+N26+N33)*$C38/12</f>
        <v>770515.84100709</v>
      </c>
      <c r="P29" s="1" t="n">
        <f aca="false">(+O26+O33)*$C38/12</f>
        <v>890331.938664397</v>
      </c>
      <c r="Q29" s="1" t="n">
        <f aca="false">(+P26+P33)*$C38/12</f>
        <v>939044.970184014</v>
      </c>
      <c r="R29" s="1" t="n">
        <f aca="false">(+Q26+Q33)*$C38/12</f>
        <v>980709.363957696</v>
      </c>
      <c r="S29" s="1" t="n">
        <f aca="false">(+R26+R33)*$C38/12</f>
        <v>1042532.77319765</v>
      </c>
      <c r="T29" s="1" t="n">
        <f aca="false">(+S26+S33)*$C38/12</f>
        <v>1090607.72590432</v>
      </c>
      <c r="U29" s="1" t="n">
        <f aca="false">(+T26+T33)*$C38/12</f>
        <v>1129463.91793816</v>
      </c>
      <c r="V29" s="16" t="n">
        <f aca="false">SUM(C29:U29)</f>
        <v>11182404.6484016</v>
      </c>
      <c r="W29" s="17" t="str">
        <f aca="false">W40</f>
        <v>Rodney Malcolm</v>
      </c>
    </row>
    <row r="30" customFormat="false" ht="12.75" hidden="false" customHeight="false" outlineLevel="0" collapsed="false">
      <c r="A30" s="1" t="s">
        <v>46</v>
      </c>
      <c r="C30" s="2" t="n">
        <v>0</v>
      </c>
      <c r="L30" s="1" t="n">
        <v>1500000</v>
      </c>
      <c r="V30" s="16" t="n">
        <f aca="false">SUM(C30:U30)</f>
        <v>1500000</v>
      </c>
      <c r="W30" s="17" t="s">
        <v>47</v>
      </c>
    </row>
    <row r="31" customFormat="false" ht="12.75" hidden="false" customHeight="false" outlineLevel="0" collapsed="false">
      <c r="A31" s="1" t="s">
        <v>48</v>
      </c>
      <c r="C31" s="2" t="n">
        <v>0</v>
      </c>
      <c r="U31" s="1" t="n">
        <f aca="false">+V12*0.05+V25*0.03</f>
        <v>7970755.4</v>
      </c>
      <c r="V31" s="16" t="n">
        <f aca="false">SUM(C31:U31)</f>
        <v>7970755.4</v>
      </c>
      <c r="W31" s="17" t="str">
        <f aca="false">W14</f>
        <v>Mike Miller</v>
      </c>
    </row>
    <row r="32" customFormat="false" ht="12.75" hidden="false" customHeight="false" outlineLevel="0" collapsed="false">
      <c r="A32" s="1" t="s">
        <v>49</v>
      </c>
      <c r="C32" s="18" t="n">
        <f aca="false">SUM(C29:C31)</f>
        <v>187366</v>
      </c>
      <c r="D32" s="18" t="n">
        <f aca="false">SUM(D29:D31)</f>
        <v>42500</v>
      </c>
      <c r="E32" s="18" t="n">
        <f aca="false">SUM(E29:E31)</f>
        <v>38219.8760185185</v>
      </c>
      <c r="F32" s="18" t="n">
        <f aca="false">SUM(F29:F31)</f>
        <v>216694.335532137</v>
      </c>
      <c r="G32" s="18" t="n">
        <f aca="false">SUM(G29:G31)</f>
        <v>293031.870868122</v>
      </c>
      <c r="H32" s="18" t="n">
        <f aca="false">SUM(H29:H31)</f>
        <v>345479.731603842</v>
      </c>
      <c r="I32" s="18" t="n">
        <f aca="false">SUM(I29:I31)</f>
        <v>385003.684918548</v>
      </c>
      <c r="J32" s="18" t="n">
        <f aca="false">SUM(J29:J31)</f>
        <v>453842.767980376</v>
      </c>
      <c r="K32" s="18" t="n">
        <f aca="false">SUM(K29:K31)</f>
        <v>507955.771075455</v>
      </c>
      <c r="L32" s="18" t="n">
        <f aca="false">SUM(L29:L31)</f>
        <v>2060372.14960397</v>
      </c>
      <c r="M32" s="18" t="n">
        <f aca="false">SUM(M29:M31)</f>
        <v>623451.119349505</v>
      </c>
      <c r="N32" s="18" t="n">
        <f aca="false">SUM(N29:N31)</f>
        <v>685280.810597833</v>
      </c>
      <c r="O32" s="18" t="n">
        <f aca="false">SUM(O29:O31)</f>
        <v>770515.84100709</v>
      </c>
      <c r="P32" s="18" t="n">
        <f aca="false">SUM(P29:P31)</f>
        <v>890331.938664397</v>
      </c>
      <c r="Q32" s="18" t="n">
        <f aca="false">SUM(Q29:Q31)</f>
        <v>939044.970184014</v>
      </c>
      <c r="R32" s="18" t="n">
        <f aca="false">SUM(R29:R31)</f>
        <v>980709.363957696</v>
      </c>
      <c r="S32" s="18" t="n">
        <f aca="false">SUM(S29:S31)</f>
        <v>1042532.77319765</v>
      </c>
      <c r="T32" s="18" t="n">
        <f aca="false">SUM(T29:T31)</f>
        <v>1090607.72590432</v>
      </c>
      <c r="U32" s="18" t="n">
        <f aca="false">SUM(U29:U31)</f>
        <v>9100219.31793816</v>
      </c>
      <c r="V32" s="19" t="n">
        <f aca="false">SUM(C32:U32)</f>
        <v>20653160.0484016</v>
      </c>
    </row>
    <row r="33" customFormat="false" ht="12.75" hidden="false" customHeight="false" outlineLevel="0" collapsed="false">
      <c r="A33" s="1" t="s">
        <v>50</v>
      </c>
      <c r="C33" s="18" t="n">
        <f aca="false">+C32</f>
        <v>187366</v>
      </c>
      <c r="D33" s="18" t="n">
        <f aca="false">+D32+C33</f>
        <v>229866</v>
      </c>
      <c r="E33" s="18" t="n">
        <f aca="false">+E32+D33</f>
        <v>268085.876018519</v>
      </c>
      <c r="F33" s="18" t="n">
        <f aca="false">+F32+E33</f>
        <v>484780.211550656</v>
      </c>
      <c r="G33" s="18" t="n">
        <f aca="false">+G32+F33</f>
        <v>777812.082418778</v>
      </c>
      <c r="H33" s="18" t="n">
        <f aca="false">+H32+G33</f>
        <v>1123291.81402262</v>
      </c>
      <c r="I33" s="18" t="n">
        <f aca="false">+I32+H33</f>
        <v>1508295.49894117</v>
      </c>
      <c r="J33" s="18" t="n">
        <f aca="false">+J32+I33</f>
        <v>1962138.26692154</v>
      </c>
      <c r="K33" s="18" t="n">
        <f aca="false">+K32+J33</f>
        <v>2470094.037997</v>
      </c>
      <c r="L33" s="18" t="n">
        <f aca="false">+L32+K33</f>
        <v>4530466.18760097</v>
      </c>
      <c r="M33" s="18" t="n">
        <f aca="false">+M32+L33</f>
        <v>5153917.30695047</v>
      </c>
      <c r="N33" s="18" t="n">
        <f aca="false">+N32+M33</f>
        <v>5839198.1175483</v>
      </c>
      <c r="O33" s="18" t="n">
        <f aca="false">+O32+N33</f>
        <v>6609713.95855539</v>
      </c>
      <c r="P33" s="18" t="n">
        <f aca="false">+P32+O33</f>
        <v>7500045.89721979</v>
      </c>
      <c r="Q33" s="18" t="n">
        <f aca="false">+Q32+P33</f>
        <v>8439090.86740381</v>
      </c>
      <c r="R33" s="18" t="n">
        <f aca="false">+R32+Q33</f>
        <v>9419800.2313615</v>
      </c>
      <c r="S33" s="18" t="n">
        <f aca="false">+S32+R33</f>
        <v>10462333.0045592</v>
      </c>
      <c r="T33" s="18" t="n">
        <f aca="false">+T32+S33</f>
        <v>11552940.7304635</v>
      </c>
      <c r="U33" s="18" t="n">
        <f aca="false">+U32+T33</f>
        <v>20653160.0484016</v>
      </c>
      <c r="V33" s="16"/>
    </row>
    <row r="34" customFormat="false" ht="12.75" hidden="false" customHeight="false" outlineLevel="0" collapsed="false">
      <c r="V34" s="16"/>
    </row>
    <row r="35" customFormat="false" ht="12.75" hidden="false" customHeight="false" outlineLevel="0" collapsed="false">
      <c r="A35" s="2" t="s">
        <v>51</v>
      </c>
      <c r="B35" s="2"/>
      <c r="C35" s="2" t="n">
        <f aca="false">+C25+C32</f>
        <v>6987366</v>
      </c>
      <c r="D35" s="2" t="n">
        <f aca="false">+D25+D32</f>
        <v>68611.1111111111</v>
      </c>
      <c r="E35" s="2" t="n">
        <f aca="false">+E25+E32</f>
        <v>32949130.9871296</v>
      </c>
      <c r="F35" s="2" t="n">
        <f aca="false">+F25+F32</f>
        <v>14093083.4466433</v>
      </c>
      <c r="G35" s="2" t="n">
        <f aca="false">+G25+G32</f>
        <v>9682681.98197923</v>
      </c>
      <c r="H35" s="2" t="n">
        <f aca="false">+H25+H32</f>
        <v>7296729.84271495</v>
      </c>
      <c r="I35" s="2" t="n">
        <f aca="false">+I25+I32</f>
        <v>12708753.7960297</v>
      </c>
      <c r="J35" s="2" t="n">
        <f aca="false">+J25+J32</f>
        <v>9990092.87909149</v>
      </c>
      <c r="K35" s="2" t="n">
        <f aca="false">+K25+K32</f>
        <v>9676869.88218657</v>
      </c>
      <c r="L35" s="2" t="n">
        <f aca="false">+L25+L32</f>
        <v>11645348.2607151</v>
      </c>
      <c r="M35" s="2" t="n">
        <f aca="false">+M25+M32</f>
        <v>11414712.2304606</v>
      </c>
      <c r="N35" s="2" t="n">
        <f aca="false">+N25+N32</f>
        <v>15735697.9217089</v>
      </c>
      <c r="O35" s="2" t="n">
        <f aca="false">+O25+O32</f>
        <v>22119894.9521182</v>
      </c>
      <c r="P35" s="2" t="n">
        <f aca="false">+P25+P32</f>
        <v>8993175.04977551</v>
      </c>
      <c r="Q35" s="2" t="n">
        <f aca="false">+Q25+Q32</f>
        <v>7691888.08129513</v>
      </c>
      <c r="R35" s="2" t="n">
        <f aca="false">+R25+R32</f>
        <v>11413552.4750688</v>
      </c>
      <c r="S35" s="2" t="n">
        <f aca="false">+S25+S32</f>
        <v>8875375.88430876</v>
      </c>
      <c r="T35" s="2" t="n">
        <f aca="false">+T25+T32</f>
        <v>7173450.83701544</v>
      </c>
      <c r="U35" s="2" t="n">
        <f aca="false">+U25+U32</f>
        <v>21161924.4290493</v>
      </c>
      <c r="V35" s="16" t="n">
        <f aca="false">SUM(C35:U35)</f>
        <v>229678340.048402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" t="s">
        <v>52</v>
      </c>
      <c r="B36" s="2"/>
      <c r="C36" s="2" t="n">
        <f aca="false">C35</f>
        <v>6987366</v>
      </c>
      <c r="D36" s="2" t="n">
        <f aca="false">C36+D35</f>
        <v>7055977.11111111</v>
      </c>
      <c r="E36" s="2" t="n">
        <f aca="false">D36+E35</f>
        <v>40005108.0982407</v>
      </c>
      <c r="F36" s="2" t="n">
        <f aca="false">E36+F35</f>
        <v>54098191.544884</v>
      </c>
      <c r="G36" s="2" t="n">
        <f aca="false">F36+G35</f>
        <v>63780873.5268632</v>
      </c>
      <c r="H36" s="2" t="n">
        <f aca="false">G36+H35</f>
        <v>71077603.3695782</v>
      </c>
      <c r="I36" s="2" t="n">
        <f aca="false">H36+I35</f>
        <v>83786357.1656078</v>
      </c>
      <c r="J36" s="2" t="n">
        <f aca="false">I36+J35</f>
        <v>93776450.0446993</v>
      </c>
      <c r="K36" s="2" t="n">
        <f aca="false">J36+K35</f>
        <v>103453319.926886</v>
      </c>
      <c r="L36" s="2" t="n">
        <f aca="false">K36+L35</f>
        <v>115098668.187601</v>
      </c>
      <c r="M36" s="2" t="n">
        <f aca="false">L36+M35</f>
        <v>126513380.418062</v>
      </c>
      <c r="N36" s="2" t="n">
        <f aca="false">M36+N35</f>
        <v>142249078.339771</v>
      </c>
      <c r="O36" s="2" t="n">
        <f aca="false">N36+O35</f>
        <v>164368973.291889</v>
      </c>
      <c r="P36" s="2" t="n">
        <f aca="false">O36+P35</f>
        <v>173362148.341664</v>
      </c>
      <c r="Q36" s="2" t="n">
        <f aca="false">P36+Q35</f>
        <v>181054036.422959</v>
      </c>
      <c r="R36" s="2" t="n">
        <f aca="false">Q36+R35</f>
        <v>192467588.898028</v>
      </c>
      <c r="S36" s="2" t="n">
        <f aca="false">R36+S35</f>
        <v>201342964.782337</v>
      </c>
      <c r="T36" s="2" t="n">
        <f aca="false">S36+T35</f>
        <v>208516415.619352</v>
      </c>
      <c r="U36" s="2" t="n">
        <f aca="false">T36+U35</f>
        <v>229678340.048402</v>
      </c>
      <c r="V36" s="16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" t="s">
        <v>44</v>
      </c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1" t="n">
        <f aca="false">+V35/C39/1000</f>
        <v>382.797233414003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15" t="s">
        <v>53</v>
      </c>
      <c r="B38" s="2"/>
      <c r="C38" s="8" t="n">
        <v>0.065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1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/>
      <c r="B39" s="2"/>
      <c r="C39" s="2" t="n">
        <v>600</v>
      </c>
      <c r="D39" s="2" t="s">
        <v>54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" t="s">
        <v>55</v>
      </c>
      <c r="C40" s="2" t="n">
        <v>0</v>
      </c>
      <c r="U40" s="1" t="n">
        <v>7340000</v>
      </c>
      <c r="V40" s="22" t="n">
        <f aca="false">SUM(C40:U40)</f>
        <v>7340000</v>
      </c>
      <c r="W40" s="17" t="str">
        <f aca="false">W30</f>
        <v>Rodney Malcolm</v>
      </c>
    </row>
    <row r="41" customFormat="false" ht="12.75" hidden="false" customHeight="false" outlineLevel="0" collapsed="false">
      <c r="A41" s="15"/>
      <c r="B41" s="2"/>
      <c r="C41" s="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1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" t="s">
        <v>56</v>
      </c>
      <c r="C42" s="2" t="n">
        <f aca="false">+C35-C29</f>
        <v>6800000</v>
      </c>
      <c r="D42" s="2" t="n">
        <f aca="false">+D35-D29</f>
        <v>26111.1111111111</v>
      </c>
      <c r="E42" s="2" t="n">
        <f aca="false">+E35-E29</f>
        <v>32910911.1111111</v>
      </c>
      <c r="F42" s="2" t="n">
        <f aca="false">+F35-F29</f>
        <v>13876389.1111111</v>
      </c>
      <c r="G42" s="2" t="n">
        <f aca="false">+G35-G29</f>
        <v>9389650.11111111</v>
      </c>
      <c r="H42" s="2" t="n">
        <f aca="false">+H35-H29</f>
        <v>6951250.11111111</v>
      </c>
      <c r="I42" s="2" t="n">
        <f aca="false">+I35-I29</f>
        <v>12323750.1111111</v>
      </c>
      <c r="J42" s="2" t="n">
        <f aca="false">+J35-J29</f>
        <v>9536250.11111111</v>
      </c>
      <c r="K42" s="2" t="n">
        <f aca="false">+K35-K29</f>
        <v>9168914.11111111</v>
      </c>
      <c r="L42" s="2" t="n">
        <f aca="false">+L35-L29</f>
        <v>11084976.1111111</v>
      </c>
      <c r="M42" s="2" t="n">
        <f aca="false">+M35-M29</f>
        <v>10791261.1111111</v>
      </c>
      <c r="N42" s="2" t="n">
        <f aca="false">+N35-N29</f>
        <v>15050417.1111111</v>
      </c>
      <c r="O42" s="2" t="n">
        <f aca="false">+O35-O29</f>
        <v>21349379.1111111</v>
      </c>
      <c r="P42" s="2" t="n">
        <f aca="false">+P35-P29</f>
        <v>8102843.11111111</v>
      </c>
      <c r="Q42" s="2" t="n">
        <f aca="false">+Q35-Q29</f>
        <v>6752843.11111111</v>
      </c>
      <c r="R42" s="2" t="n">
        <f aca="false">+R35-R29</f>
        <v>10432843.1111111</v>
      </c>
      <c r="S42" s="2" t="n">
        <f aca="false">+S35-S29</f>
        <v>7832843.11111111</v>
      </c>
      <c r="T42" s="2" t="n">
        <f aca="false">+T35-T29</f>
        <v>6082843.11111111</v>
      </c>
      <c r="U42" s="2" t="n">
        <f aca="false">+U35-U29</f>
        <v>20032460.5111111</v>
      </c>
      <c r="V42" s="16" t="n">
        <f aca="false">SUM(C42:U42)</f>
        <v>218495935.4</v>
      </c>
    </row>
    <row r="43" customFormat="false" ht="12.75" hidden="false" customHeight="false" outlineLevel="0" collapsed="false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16"/>
    </row>
    <row r="44" customFormat="false" ht="12.75" hidden="false" customHeight="false" outlineLevel="0" collapsed="false">
      <c r="A44" s="9" t="s">
        <v>57</v>
      </c>
      <c r="V44" s="16"/>
    </row>
    <row r="45" customFormat="false" ht="12.75" hidden="false" customHeight="false" outlineLevel="0" collapsed="false">
      <c r="A45" s="9" t="s">
        <v>58</v>
      </c>
      <c r="V45" s="16"/>
    </row>
    <row r="46" customFormat="false" ht="12.75" hidden="false" customHeight="false" outlineLevel="0" collapsed="false">
      <c r="A46" s="1" t="s">
        <v>59</v>
      </c>
      <c r="C46" s="2" t="n">
        <v>11990800</v>
      </c>
      <c r="D46" s="1" t="n">
        <v>29977000</v>
      </c>
      <c r="E46" s="1" t="n">
        <v>2997700</v>
      </c>
      <c r="F46" s="1" t="n">
        <v>2997700</v>
      </c>
      <c r="G46" s="1" t="n">
        <v>2997700</v>
      </c>
      <c r="H46" s="1" t="n">
        <v>2997700</v>
      </c>
      <c r="Q46" s="1" t="n">
        <v>2997700</v>
      </c>
      <c r="U46" s="1" t="n">
        <v>4531100</v>
      </c>
      <c r="V46" s="16" t="n">
        <f aca="false">SUM(C46:U46)</f>
        <v>61487400</v>
      </c>
      <c r="W46" s="23" t="s">
        <v>23</v>
      </c>
    </row>
    <row r="47" customFormat="false" ht="12.75" hidden="false" customHeight="false" outlineLevel="0" collapsed="false">
      <c r="A47" s="1" t="s">
        <v>60</v>
      </c>
      <c r="C47" s="2" t="n">
        <v>17151750</v>
      </c>
      <c r="D47" s="1" t="n">
        <v>0</v>
      </c>
      <c r="E47" s="1" t="n">
        <v>12474000</v>
      </c>
      <c r="U47" s="1" t="n">
        <v>1559250</v>
      </c>
      <c r="V47" s="16" t="n">
        <f aca="false">SUM(C47:U47)</f>
        <v>31185000</v>
      </c>
      <c r="W47" s="23" t="s">
        <v>23</v>
      </c>
    </row>
    <row r="48" customFormat="false" ht="12.75" hidden="false" customHeight="false" outlineLevel="0" collapsed="false">
      <c r="A48" s="1" t="s">
        <v>24</v>
      </c>
      <c r="C48" s="2" t="n">
        <v>0</v>
      </c>
      <c r="G48" s="1" t="n">
        <v>440000</v>
      </c>
      <c r="I48" s="1" t="n">
        <v>3520000</v>
      </c>
      <c r="J48" s="1" t="n">
        <v>1760000</v>
      </c>
      <c r="K48" s="1" t="n">
        <v>440000</v>
      </c>
      <c r="L48" s="1" t="n">
        <v>440000</v>
      </c>
      <c r="M48" s="1" t="n">
        <v>440000</v>
      </c>
      <c r="N48" s="1" t="n">
        <v>440000</v>
      </c>
      <c r="O48" s="1" t="n">
        <v>440000</v>
      </c>
      <c r="P48" s="1" t="n">
        <v>440000</v>
      </c>
      <c r="Q48" s="1" t="n">
        <v>440000</v>
      </c>
      <c r="V48" s="16" t="n">
        <f aca="false">SUM(C48:U48)</f>
        <v>8800000</v>
      </c>
      <c r="W48" s="23" t="s">
        <v>23</v>
      </c>
    </row>
    <row r="49" customFormat="false" ht="12.75" hidden="false" customHeight="false" outlineLevel="0" collapsed="false">
      <c r="A49" s="1" t="s">
        <v>26</v>
      </c>
      <c r="C49" s="2" t="n">
        <v>0</v>
      </c>
      <c r="K49" s="1" t="n">
        <v>600000</v>
      </c>
      <c r="L49" s="1" t="n">
        <v>1000000</v>
      </c>
      <c r="M49" s="1" t="n">
        <v>1000000</v>
      </c>
      <c r="N49" s="1" t="n">
        <v>1000000</v>
      </c>
      <c r="O49" s="1" t="n">
        <v>1500000</v>
      </c>
      <c r="P49" s="1" t="n">
        <f aca="false">1986667+880000+1340000</f>
        <v>4206667</v>
      </c>
      <c r="Q49" s="1" t="n">
        <f aca="false">2986666.66666667+880000</f>
        <v>3866666.66666667</v>
      </c>
      <c r="R49" s="1" t="n">
        <f aca="false">2986666.66666667+880000</f>
        <v>3866666.66666667</v>
      </c>
      <c r="S49" s="1" t="n">
        <v>2986666.66666667</v>
      </c>
      <c r="T49" s="1" t="n">
        <v>2986666.66666667</v>
      </c>
      <c r="U49" s="1" t="n">
        <v>2986666.66666667</v>
      </c>
      <c r="V49" s="16" t="n">
        <f aca="false">SUM(C49:U49)</f>
        <v>26000000.3333333</v>
      </c>
      <c r="W49" s="23" t="s">
        <v>23</v>
      </c>
    </row>
    <row r="50" customFormat="false" ht="12.75" hidden="false" customHeight="false" outlineLevel="0" collapsed="false">
      <c r="A50" s="1" t="s">
        <v>27</v>
      </c>
      <c r="C50" s="2" t="n">
        <v>0</v>
      </c>
      <c r="P50" s="1" t="n">
        <v>150000</v>
      </c>
      <c r="Q50" s="1" t="n">
        <v>150000</v>
      </c>
      <c r="R50" s="1" t="n">
        <v>150000</v>
      </c>
      <c r="S50" s="1" t="n">
        <v>150000</v>
      </c>
      <c r="T50" s="1" t="n">
        <v>150000</v>
      </c>
      <c r="V50" s="16" t="n">
        <f aca="false">SUM(C50:U50)</f>
        <v>750000</v>
      </c>
      <c r="W50" s="23" t="s">
        <v>28</v>
      </c>
    </row>
    <row r="51" customFormat="false" ht="12.75" hidden="false" customHeight="false" outlineLevel="0" collapsed="false">
      <c r="A51" s="1" t="s">
        <v>29</v>
      </c>
      <c r="C51" s="2" t="n">
        <v>0</v>
      </c>
      <c r="S51" s="1" t="n">
        <v>500000</v>
      </c>
      <c r="T51" s="1" t="n">
        <v>500000</v>
      </c>
      <c r="V51" s="16" t="n">
        <f aca="false">SUM(C51:U51)</f>
        <v>1000000</v>
      </c>
      <c r="W51" s="23" t="s">
        <v>23</v>
      </c>
    </row>
    <row r="52" customFormat="false" ht="12.75" hidden="false" customHeight="false" outlineLevel="0" collapsed="false">
      <c r="A52" s="1" t="s">
        <v>30</v>
      </c>
      <c r="C52" s="2" t="n">
        <v>0</v>
      </c>
      <c r="K52" s="1" t="n">
        <v>250000</v>
      </c>
      <c r="V52" s="16" t="n">
        <f aca="false">SUM(C52:U52)</f>
        <v>250000</v>
      </c>
      <c r="W52" s="23" t="s">
        <v>61</v>
      </c>
    </row>
    <row r="53" customFormat="false" ht="12.75" hidden="false" customHeight="false" outlineLevel="0" collapsed="false">
      <c r="A53" s="1" t="s">
        <v>32</v>
      </c>
      <c r="C53" s="2" t="n">
        <v>0</v>
      </c>
      <c r="F53" s="1" t="n">
        <v>100000</v>
      </c>
      <c r="G53" s="1" t="n">
        <v>100000</v>
      </c>
      <c r="H53" s="1" t="n">
        <v>150000</v>
      </c>
      <c r="I53" s="1" t="n">
        <v>150000</v>
      </c>
      <c r="V53" s="16" t="n">
        <f aca="false">SUM(C53:U53)</f>
        <v>500000</v>
      </c>
      <c r="W53" s="23" t="str">
        <f aca="false">W52</f>
        <v>Ben Jacoby</v>
      </c>
    </row>
    <row r="54" customFormat="false" ht="12.75" hidden="false" customHeight="false" outlineLevel="0" collapsed="false">
      <c r="A54" s="1" t="s">
        <v>62</v>
      </c>
      <c r="C54" s="2" t="n">
        <v>0</v>
      </c>
      <c r="H54" s="1" t="n">
        <v>200000</v>
      </c>
      <c r="I54" s="1" t="n">
        <v>200000</v>
      </c>
      <c r="V54" s="16" t="n">
        <f aca="false">SUM(C54:U54)</f>
        <v>400000</v>
      </c>
      <c r="W54" s="23" t="str">
        <f aca="false">W53</f>
        <v>Ben Jacoby</v>
      </c>
    </row>
    <row r="55" customFormat="false" ht="12.75" hidden="false" customHeight="false" outlineLevel="0" collapsed="false">
      <c r="A55" s="1" t="s">
        <v>33</v>
      </c>
      <c r="C55" s="2" t="n">
        <v>0</v>
      </c>
      <c r="O55" s="1" t="n">
        <v>375000</v>
      </c>
      <c r="P55" s="1" t="n">
        <v>125000</v>
      </c>
      <c r="Q55" s="1" t="n">
        <v>125000</v>
      </c>
      <c r="R55" s="1" t="n">
        <v>125000</v>
      </c>
      <c r="S55" s="1" t="n">
        <v>250000</v>
      </c>
      <c r="V55" s="16" t="n">
        <f aca="false">SUM(C55:U55)</f>
        <v>1000000</v>
      </c>
      <c r="W55" s="23" t="s">
        <v>34</v>
      </c>
    </row>
    <row r="56" customFormat="false" ht="12.75" hidden="false" customHeight="false" outlineLevel="0" collapsed="false">
      <c r="A56" s="1" t="s">
        <v>35</v>
      </c>
      <c r="C56" s="2" t="n">
        <v>0</v>
      </c>
      <c r="O56" s="1" t="n">
        <v>200000</v>
      </c>
      <c r="P56" s="1" t="n">
        <v>600000</v>
      </c>
      <c r="Q56" s="1" t="n">
        <v>600000</v>
      </c>
      <c r="R56" s="1" t="n">
        <v>600000</v>
      </c>
      <c r="V56" s="16" t="n">
        <f aca="false">SUM(C56:U56)</f>
        <v>2000000</v>
      </c>
      <c r="W56" s="23" t="str">
        <f aca="false">W52</f>
        <v>Ben Jacoby</v>
      </c>
    </row>
    <row r="57" customFormat="false" ht="12.75" hidden="false" customHeight="false" outlineLevel="0" collapsed="false">
      <c r="A57" s="1" t="s">
        <v>36</v>
      </c>
      <c r="S57" s="1" t="n">
        <v>500000</v>
      </c>
      <c r="T57" s="1" t="n">
        <v>500000</v>
      </c>
      <c r="V57" s="16" t="n">
        <f aca="false">SUM(C57:U57)</f>
        <v>1000000</v>
      </c>
      <c r="W57" s="23" t="str">
        <f aca="false">W50</f>
        <v>Kevin Presto</v>
      </c>
    </row>
    <row r="58" customFormat="false" ht="12.75" hidden="false" customHeight="false" outlineLevel="0" collapsed="false">
      <c r="A58" s="1" t="s">
        <v>63</v>
      </c>
      <c r="U58" s="1" t="n">
        <v>256000</v>
      </c>
      <c r="V58" s="16" t="n">
        <f aca="false">SUM(C58:U58)</f>
        <v>256000</v>
      </c>
      <c r="W58" s="23" t="s">
        <v>64</v>
      </c>
    </row>
    <row r="59" customFormat="false" ht="12.75" hidden="false" customHeight="false" outlineLevel="0" collapsed="false">
      <c r="A59" s="1" t="s">
        <v>37</v>
      </c>
      <c r="C59" s="2" t="n">
        <v>0</v>
      </c>
      <c r="O59" s="1" t="n">
        <v>20000</v>
      </c>
      <c r="R59" s="1" t="n">
        <v>30000</v>
      </c>
      <c r="V59" s="16" t="n">
        <f aca="false">SUM(C59:U59)</f>
        <v>50000</v>
      </c>
      <c r="W59" s="23" t="str">
        <f aca="false">W56</f>
        <v>Ben Jacoby</v>
      </c>
    </row>
    <row r="60" customFormat="false" ht="12.75" hidden="false" customHeight="false" outlineLevel="0" collapsed="false">
      <c r="A60" s="1" t="s">
        <v>38</v>
      </c>
      <c r="C60" s="2" t="n">
        <v>0</v>
      </c>
      <c r="L60" s="1" t="n">
        <v>200000</v>
      </c>
      <c r="V60" s="16" t="n">
        <f aca="false">SUM(C60:U60)</f>
        <v>200000</v>
      </c>
      <c r="W60" s="23" t="str">
        <f aca="false">W59</f>
        <v>Ben Jacoby</v>
      </c>
    </row>
    <row r="61" customFormat="false" ht="12.75" hidden="false" customHeight="false" outlineLevel="0" collapsed="false">
      <c r="A61" s="1" t="s">
        <v>39</v>
      </c>
      <c r="C61" s="2" t="n">
        <v>0</v>
      </c>
      <c r="D61" s="1" t="n">
        <v>11111.1111111111</v>
      </c>
      <c r="E61" s="1" t="n">
        <v>11111.1111111111</v>
      </c>
      <c r="F61" s="1" t="n">
        <v>11111.1111111111</v>
      </c>
      <c r="G61" s="1" t="n">
        <v>11111.1111111111</v>
      </c>
      <c r="H61" s="1" t="n">
        <v>11111.1111111111</v>
      </c>
      <c r="I61" s="1" t="n">
        <v>11111.1111111111</v>
      </c>
      <c r="J61" s="1" t="n">
        <v>11111.1111111111</v>
      </c>
      <c r="K61" s="1" t="n">
        <v>11111.1111111111</v>
      </c>
      <c r="L61" s="1" t="n">
        <v>11111.1111111111</v>
      </c>
      <c r="M61" s="1" t="n">
        <v>11111.1111111111</v>
      </c>
      <c r="N61" s="1" t="n">
        <v>11111.1111111111</v>
      </c>
      <c r="O61" s="1" t="n">
        <v>11111.1111111111</v>
      </c>
      <c r="P61" s="1" t="n">
        <v>11111.1111111111</v>
      </c>
      <c r="Q61" s="1" t="n">
        <v>11111.1111111111</v>
      </c>
      <c r="R61" s="1" t="n">
        <v>11111.1111111111</v>
      </c>
      <c r="S61" s="1" t="n">
        <v>11111.1111111111</v>
      </c>
      <c r="T61" s="1" t="n">
        <v>11111.1111111111</v>
      </c>
      <c r="U61" s="1" t="n">
        <v>11111.1111111111</v>
      </c>
      <c r="V61" s="16" t="n">
        <f aca="false">SUM(C61:U61)</f>
        <v>200000</v>
      </c>
      <c r="W61" s="23" t="str">
        <f aca="false">W60</f>
        <v>Ben Jacoby</v>
      </c>
    </row>
    <row r="62" customFormat="false" ht="12.75" hidden="false" customHeight="false" outlineLevel="0" collapsed="false">
      <c r="A62" s="1" t="s">
        <v>40</v>
      </c>
      <c r="C62" s="2" t="n">
        <v>0</v>
      </c>
      <c r="E62" s="1" t="n">
        <v>28571.4285714286</v>
      </c>
      <c r="F62" s="1" t="n">
        <v>28571.4285714286</v>
      </c>
      <c r="G62" s="1" t="n">
        <v>28571.4285714286</v>
      </c>
      <c r="H62" s="1" t="n">
        <v>28571.4285714286</v>
      </c>
      <c r="I62" s="1" t="n">
        <v>28571.4285714286</v>
      </c>
      <c r="J62" s="1" t="n">
        <v>28571.4285714286</v>
      </c>
      <c r="K62" s="1" t="n">
        <v>28571.4285714286</v>
      </c>
      <c r="L62" s="1" t="n">
        <v>28571.4285714286</v>
      </c>
      <c r="M62" s="1" t="n">
        <v>28571.4285714286</v>
      </c>
      <c r="N62" s="1" t="n">
        <v>28571.4285714286</v>
      </c>
      <c r="O62" s="1" t="n">
        <v>28571.4285714286</v>
      </c>
      <c r="P62" s="1" t="n">
        <v>28571.4285714286</v>
      </c>
      <c r="Q62" s="1" t="n">
        <v>28571.4285714286</v>
      </c>
      <c r="R62" s="1" t="n">
        <v>28571.4285714286</v>
      </c>
      <c r="V62" s="16" t="n">
        <f aca="false">SUM(C62:U62)</f>
        <v>400000</v>
      </c>
      <c r="W62" s="23" t="str">
        <f aca="false">W60</f>
        <v>Ben Jacoby</v>
      </c>
    </row>
    <row r="63" customFormat="false" ht="12.75" hidden="false" customHeight="false" outlineLevel="0" collapsed="false">
      <c r="A63" s="1" t="s">
        <v>41</v>
      </c>
      <c r="C63" s="2" t="n">
        <v>0</v>
      </c>
      <c r="I63" s="1" t="n">
        <v>25000</v>
      </c>
      <c r="J63" s="1" t="n">
        <v>10000</v>
      </c>
      <c r="K63" s="1" t="n">
        <v>10000</v>
      </c>
      <c r="L63" s="1" t="n">
        <v>10000</v>
      </c>
      <c r="M63" s="1" t="n">
        <v>10000</v>
      </c>
      <c r="N63" s="1" t="n">
        <v>10000</v>
      </c>
      <c r="O63" s="1" t="n">
        <v>325000</v>
      </c>
      <c r="P63" s="1" t="n">
        <v>10000</v>
      </c>
      <c r="Q63" s="1" t="n">
        <v>10000</v>
      </c>
      <c r="R63" s="1" t="n">
        <v>10000</v>
      </c>
      <c r="S63" s="1" t="n">
        <v>10000</v>
      </c>
      <c r="T63" s="1" t="n">
        <v>10000</v>
      </c>
      <c r="U63" s="1" t="n">
        <v>50000</v>
      </c>
      <c r="V63" s="16" t="n">
        <f aca="false">SUM(C63:U63)</f>
        <v>500000</v>
      </c>
      <c r="W63" s="23" t="str">
        <f aca="false">W62</f>
        <v>Ben Jacoby</v>
      </c>
    </row>
    <row r="64" customFormat="false" ht="12.75" hidden="false" customHeight="false" outlineLevel="0" collapsed="false">
      <c r="A64" s="1" t="s">
        <v>42</v>
      </c>
      <c r="C64" s="18" t="n">
        <f aca="false">SUM(C46:C63)</f>
        <v>29142550</v>
      </c>
      <c r="D64" s="18" t="n">
        <f aca="false">SUM(D46:D63)</f>
        <v>29988111.1111111</v>
      </c>
      <c r="E64" s="18" t="n">
        <f aca="false">SUM(E46:E63)</f>
        <v>15511382.5396825</v>
      </c>
      <c r="F64" s="18" t="n">
        <f aca="false">SUM(F46:F63)</f>
        <v>3137382.53968254</v>
      </c>
      <c r="G64" s="18" t="n">
        <f aca="false">SUM(G46:G63)</f>
        <v>3577382.53968254</v>
      </c>
      <c r="H64" s="18" t="n">
        <f aca="false">SUM(H46:H63)</f>
        <v>3387382.53968254</v>
      </c>
      <c r="I64" s="18" t="n">
        <f aca="false">SUM(I46:I63)</f>
        <v>3934682.53968254</v>
      </c>
      <c r="J64" s="18" t="n">
        <f aca="false">SUM(J46:J63)</f>
        <v>1809682.53968254</v>
      </c>
      <c r="K64" s="18" t="n">
        <f aca="false">SUM(K46:K63)</f>
        <v>1339682.53968254</v>
      </c>
      <c r="L64" s="18" t="n">
        <f aca="false">SUM(L46:L63)</f>
        <v>1689682.53968254</v>
      </c>
      <c r="M64" s="18" t="n">
        <f aca="false">SUM(M46:M63)</f>
        <v>1489682.53968254</v>
      </c>
      <c r="N64" s="18" t="n">
        <f aca="false">SUM(N46:N63)</f>
        <v>1489682.53968254</v>
      </c>
      <c r="O64" s="18" t="n">
        <f aca="false">SUM(O46:O63)</f>
        <v>2899682.53968254</v>
      </c>
      <c r="P64" s="18" t="n">
        <f aca="false">SUM(P46:P63)</f>
        <v>5571349.53968254</v>
      </c>
      <c r="Q64" s="18" t="n">
        <f aca="false">SUM(Q46:Q63)</f>
        <v>8229049.20634921</v>
      </c>
      <c r="R64" s="18" t="n">
        <f aca="false">SUM(R46:R63)</f>
        <v>4821349.20634921</v>
      </c>
      <c r="S64" s="18" t="n">
        <f aca="false">SUM(S46:S63)</f>
        <v>4407777.77777778</v>
      </c>
      <c r="T64" s="18" t="n">
        <f aca="false">SUM(T46:T63)</f>
        <v>4157777.77777778</v>
      </c>
      <c r="U64" s="18" t="n">
        <f aca="false">SUM(U46:U63)</f>
        <v>9394127.77777778</v>
      </c>
      <c r="V64" s="19" t="n">
        <f aca="false">SUM(C64:U64)</f>
        <v>135978400.333333</v>
      </c>
    </row>
    <row r="65" customFormat="false" ht="12.75" hidden="false" customHeight="false" outlineLevel="0" collapsed="false">
      <c r="A65" s="1" t="s">
        <v>43</v>
      </c>
      <c r="C65" s="18" t="n">
        <f aca="false">+C64</f>
        <v>29142550</v>
      </c>
      <c r="D65" s="18" t="n">
        <f aca="false">+C65+D64</f>
        <v>59130661.1111111</v>
      </c>
      <c r="E65" s="18" t="n">
        <f aca="false">+D65+E64</f>
        <v>74642043.6507937</v>
      </c>
      <c r="F65" s="18" t="n">
        <f aca="false">+E65+F64</f>
        <v>77779426.1904762</v>
      </c>
      <c r="G65" s="18" t="n">
        <f aca="false">+F65+G64</f>
        <v>81356808.7301587</v>
      </c>
      <c r="H65" s="18" t="n">
        <f aca="false">+G65+H64</f>
        <v>84744191.2698413</v>
      </c>
      <c r="I65" s="18" t="n">
        <f aca="false">+H65+I64</f>
        <v>88678873.8095238</v>
      </c>
      <c r="J65" s="18" t="n">
        <f aca="false">+I65+J64</f>
        <v>90488556.3492063</v>
      </c>
      <c r="K65" s="18" t="n">
        <f aca="false">+J65+K64</f>
        <v>91828238.8888889</v>
      </c>
      <c r="L65" s="18" t="n">
        <f aca="false">+K65+L64</f>
        <v>93517921.4285714</v>
      </c>
      <c r="M65" s="18" t="n">
        <f aca="false">+L65+M64</f>
        <v>95007603.968254</v>
      </c>
      <c r="N65" s="18" t="n">
        <f aca="false">+M65+N64</f>
        <v>96497286.5079365</v>
      </c>
      <c r="O65" s="18" t="n">
        <f aca="false">+N65+O64</f>
        <v>99396969.047619</v>
      </c>
      <c r="P65" s="18" t="n">
        <f aca="false">+O65+P64</f>
        <v>104968318.587302</v>
      </c>
      <c r="Q65" s="18" t="n">
        <f aca="false">+P65+Q64</f>
        <v>113197367.793651</v>
      </c>
      <c r="R65" s="18" t="n">
        <f aca="false">+Q65+R64</f>
        <v>118018717</v>
      </c>
      <c r="S65" s="18" t="n">
        <f aca="false">+R65+S64</f>
        <v>122426494.777778</v>
      </c>
      <c r="T65" s="18" t="n">
        <f aca="false">+S65+T64</f>
        <v>126584272.555556</v>
      </c>
      <c r="U65" s="18" t="n">
        <f aca="false">+T65+U64</f>
        <v>135978400.333333</v>
      </c>
      <c r="V65" s="16"/>
    </row>
    <row r="66" customFormat="false" ht="12.75" hidden="false" customHeight="false" outlineLevel="0" collapsed="false">
      <c r="A66" s="1" t="s">
        <v>44</v>
      </c>
      <c r="V66" s="21" t="n">
        <f aca="false">+V64/C78/1000</f>
        <v>283.288334027778</v>
      </c>
    </row>
    <row r="67" customFormat="false" ht="12.75" hidden="false" customHeight="false" outlineLevel="0" collapsed="false">
      <c r="V67" s="16"/>
    </row>
    <row r="68" customFormat="false" ht="12.75" hidden="false" customHeight="false" outlineLevel="0" collapsed="false">
      <c r="A68" s="1" t="s">
        <v>45</v>
      </c>
      <c r="C68" s="2" t="n">
        <v>184443</v>
      </c>
      <c r="D68" s="1" t="n">
        <v>182141</v>
      </c>
      <c r="E68" s="1" t="n">
        <f aca="false">(+D65+D72)*$C77/12</f>
        <v>322276.744351852</v>
      </c>
      <c r="F68" s="1" t="n">
        <f aca="false">(+E65+E72)*$C77/12</f>
        <v>408042.398807038</v>
      </c>
      <c r="G68" s="1" t="n">
        <f aca="false">(+F65+F72)*$C77/12</f>
        <v>427246.783890523</v>
      </c>
      <c r="H68" s="1" t="n">
        <f aca="false">(+G65+G72)*$C77/12</f>
        <v>448938.526059877</v>
      </c>
      <c r="I68" s="1" t="n">
        <f aca="false">(+H65+H72)*$C77/12</f>
        <v>469718.598499316</v>
      </c>
      <c r="J68" s="1" t="n">
        <f aca="false">(+I65+I72)*$C77/12</f>
        <v>493575.771331134</v>
      </c>
      <c r="K68" s="1" t="n">
        <f aca="false">(+J65+J72)*$C77/12</f>
        <v>506051.753849125</v>
      </c>
      <c r="L68" s="1" t="n">
        <f aca="false">(+K65+K72)*$C77/12</f>
        <v>516049.481272421</v>
      </c>
      <c r="M68" s="1" t="n">
        <f aca="false">(+L65+L72)*$C77/12</f>
        <v>536122.196385927</v>
      </c>
      <c r="N68" s="1" t="n">
        <f aca="false">(+M65+M72)*$C77/12</f>
        <v>547095.305372965</v>
      </c>
      <c r="O68" s="1" t="n">
        <f aca="false">(+N65+N72)*$C77/12</f>
        <v>558127.852033682</v>
      </c>
      <c r="P68" s="1" t="n">
        <f aca="false">(+O65+O72)*$C77/12</f>
        <v>576857.658322145</v>
      </c>
      <c r="Q68" s="1" t="n">
        <f aca="false">(+P65+P72)*$C77/12</f>
        <v>610160.447311337</v>
      </c>
      <c r="R68" s="1" t="n">
        <f aca="false">(+Q65+Q72)*$C77/12</f>
        <v>658039.499601998</v>
      </c>
      <c r="S68" s="1" t="n">
        <f aca="false">(+R65+R72)*$C77/12</f>
        <v>687719.521759234</v>
      </c>
      <c r="T68" s="1" t="n">
        <f aca="false">(+S65+S72)*$C77/12</f>
        <v>715320.132131726</v>
      </c>
      <c r="U68" s="1" t="n">
        <f aca="false">(+T65+T72)*$C77/12</f>
        <v>741716.079143736</v>
      </c>
      <c r="V68" s="16" t="n">
        <f aca="false">SUM(C68:U68)</f>
        <v>9589642.75012404</v>
      </c>
      <c r="W68" s="17" t="str">
        <f aca="false">W79</f>
        <v>Rodney Malcolm</v>
      </c>
    </row>
    <row r="69" customFormat="false" ht="12.75" hidden="false" customHeight="false" outlineLevel="0" collapsed="false">
      <c r="A69" s="1" t="s">
        <v>46</v>
      </c>
      <c r="C69" s="2" t="n">
        <v>0</v>
      </c>
      <c r="L69" s="1" t="n">
        <v>1500000</v>
      </c>
      <c r="V69" s="16" t="n">
        <f aca="false">SUM(C69:U69)</f>
        <v>1500000</v>
      </c>
      <c r="W69" s="17" t="s">
        <v>47</v>
      </c>
    </row>
    <row r="70" customFormat="false" ht="12.75" hidden="false" customHeight="false" outlineLevel="0" collapsed="false">
      <c r="A70" s="1" t="s">
        <v>48</v>
      </c>
      <c r="C70" s="2" t="n">
        <v>0</v>
      </c>
      <c r="U70" s="1" t="n">
        <f aca="false">+V49*0.05+V64*0.03</f>
        <v>5379352.02666667</v>
      </c>
      <c r="V70" s="16" t="n">
        <f aca="false">SUM(C70:U70)</f>
        <v>5379352.02666667</v>
      </c>
      <c r="W70" s="17" t="str">
        <f aca="false">W53</f>
        <v>Ben Jacoby</v>
      </c>
    </row>
    <row r="71" customFormat="false" ht="12.75" hidden="false" customHeight="false" outlineLevel="0" collapsed="false">
      <c r="A71" s="1" t="s">
        <v>49</v>
      </c>
      <c r="C71" s="18" t="n">
        <f aca="false">SUM(C68:C70)</f>
        <v>184443</v>
      </c>
      <c r="D71" s="18" t="n">
        <f aca="false">SUM(D68:D70)</f>
        <v>182141</v>
      </c>
      <c r="E71" s="18" t="n">
        <f aca="false">SUM(E68:E70)</f>
        <v>322276.744351852</v>
      </c>
      <c r="F71" s="18" t="n">
        <f aca="false">SUM(F68:F70)</f>
        <v>408042.398807038</v>
      </c>
      <c r="G71" s="18" t="n">
        <f aca="false">SUM(G68:G70)</f>
        <v>427246.783890523</v>
      </c>
      <c r="H71" s="18" t="n">
        <f aca="false">SUM(H68:H70)</f>
        <v>448938.526059877</v>
      </c>
      <c r="I71" s="18" t="n">
        <f aca="false">SUM(I68:I70)</f>
        <v>469718.598499316</v>
      </c>
      <c r="J71" s="18" t="n">
        <f aca="false">SUM(J68:J70)</f>
        <v>493575.771331134</v>
      </c>
      <c r="K71" s="18" t="n">
        <f aca="false">SUM(K68:K70)</f>
        <v>506051.753849125</v>
      </c>
      <c r="L71" s="18" t="n">
        <f aca="false">SUM(L68:L70)</f>
        <v>2016049.48127242</v>
      </c>
      <c r="M71" s="18" t="n">
        <f aca="false">SUM(M68:M70)</f>
        <v>536122.196385927</v>
      </c>
      <c r="N71" s="18" t="n">
        <f aca="false">SUM(N68:N70)</f>
        <v>547095.305372965</v>
      </c>
      <c r="O71" s="18" t="n">
        <f aca="false">SUM(O68:O70)</f>
        <v>558127.852033682</v>
      </c>
      <c r="P71" s="18" t="n">
        <f aca="false">SUM(P68:P70)</f>
        <v>576857.658322145</v>
      </c>
      <c r="Q71" s="18" t="n">
        <f aca="false">SUM(Q68:Q70)</f>
        <v>610160.447311337</v>
      </c>
      <c r="R71" s="18" t="n">
        <f aca="false">SUM(R68:R70)</f>
        <v>658039.499601998</v>
      </c>
      <c r="S71" s="18" t="n">
        <f aca="false">SUM(S68:S70)</f>
        <v>687719.521759234</v>
      </c>
      <c r="T71" s="18" t="n">
        <f aca="false">SUM(T68:T70)</f>
        <v>715320.132131726</v>
      </c>
      <c r="U71" s="18" t="n">
        <f aca="false">SUM(U68:U70)</f>
        <v>6121068.1058104</v>
      </c>
      <c r="V71" s="19" t="n">
        <f aca="false">SUM(C71:U71)</f>
        <v>16468994.7767907</v>
      </c>
    </row>
    <row r="72" customFormat="false" ht="12.75" hidden="false" customHeight="false" outlineLevel="0" collapsed="false">
      <c r="A72" s="1" t="s">
        <v>50</v>
      </c>
      <c r="C72" s="18" t="n">
        <f aca="false">+C71</f>
        <v>184443</v>
      </c>
      <c r="D72" s="18" t="n">
        <f aca="false">+D71+C72</f>
        <v>366584</v>
      </c>
      <c r="E72" s="18" t="n">
        <f aca="false">+E71+D72</f>
        <v>688860.744351852</v>
      </c>
      <c r="F72" s="18" t="n">
        <f aca="false">+F71+E72</f>
        <v>1096903.14315889</v>
      </c>
      <c r="G72" s="18" t="n">
        <f aca="false">+G71+F72</f>
        <v>1524149.92704941</v>
      </c>
      <c r="H72" s="18" t="n">
        <f aca="false">+H71+G72</f>
        <v>1973088.45310929</v>
      </c>
      <c r="I72" s="18" t="n">
        <f aca="false">+I71+H72</f>
        <v>2442807.05160861</v>
      </c>
      <c r="J72" s="18" t="n">
        <f aca="false">+J71+I72</f>
        <v>2936382.82293974</v>
      </c>
      <c r="K72" s="18" t="n">
        <f aca="false">+K71+J72</f>
        <v>3442434.57678886</v>
      </c>
      <c r="L72" s="18" t="n">
        <f aca="false">+L71+K72</f>
        <v>5458484.05806129</v>
      </c>
      <c r="M72" s="18" t="n">
        <f aca="false">+M71+L72</f>
        <v>5994606.25444721</v>
      </c>
      <c r="N72" s="18" t="n">
        <f aca="false">+N71+M72</f>
        <v>6541701.55982018</v>
      </c>
      <c r="O72" s="18" t="n">
        <f aca="false">+O71+N72</f>
        <v>7099829.41185386</v>
      </c>
      <c r="P72" s="18" t="n">
        <f aca="false">+P71+O72</f>
        <v>7676687.07017601</v>
      </c>
      <c r="Q72" s="18" t="n">
        <f aca="false">+Q71+P72</f>
        <v>8286847.51748734</v>
      </c>
      <c r="R72" s="18" t="n">
        <f aca="false">+R71+Q72</f>
        <v>8944887.01708934</v>
      </c>
      <c r="S72" s="18" t="n">
        <f aca="false">+S71+R72</f>
        <v>9632606.53884858</v>
      </c>
      <c r="T72" s="18" t="n">
        <f aca="false">+T71+S72</f>
        <v>10347926.6709803</v>
      </c>
      <c r="U72" s="18" t="n">
        <f aca="false">+U71+T72</f>
        <v>16468994.7767907</v>
      </c>
      <c r="V72" s="16"/>
    </row>
    <row r="73" customFormat="false" ht="12.75" hidden="false" customHeight="false" outlineLevel="0" collapsed="false">
      <c r="V73" s="16"/>
    </row>
    <row r="74" customFormat="false" ht="12.75" hidden="false" customHeight="false" outlineLevel="0" collapsed="false">
      <c r="A74" s="2" t="s">
        <v>65</v>
      </c>
      <c r="B74" s="2"/>
      <c r="C74" s="2" t="n">
        <f aca="false">+C64+C71</f>
        <v>29326993</v>
      </c>
      <c r="D74" s="2" t="n">
        <f aca="false">+D64+D71</f>
        <v>30170252.1111111</v>
      </c>
      <c r="E74" s="2" t="n">
        <f aca="false">+E64+E71</f>
        <v>15833659.2840344</v>
      </c>
      <c r="F74" s="2" t="n">
        <f aca="false">+F64+F71</f>
        <v>3545424.93848958</v>
      </c>
      <c r="G74" s="2" t="n">
        <f aca="false">+G64+G71</f>
        <v>4004629.32357306</v>
      </c>
      <c r="H74" s="2" t="n">
        <f aca="false">+H64+H71</f>
        <v>3836321.06574242</v>
      </c>
      <c r="I74" s="2" t="n">
        <f aca="false">+I64+I71</f>
        <v>4404401.13818186</v>
      </c>
      <c r="J74" s="2" t="n">
        <f aca="false">+J64+J71</f>
        <v>2303258.31101367</v>
      </c>
      <c r="K74" s="2" t="n">
        <f aca="false">+K64+K71</f>
        <v>1845734.29353166</v>
      </c>
      <c r="L74" s="2" t="n">
        <f aca="false">+L64+L71</f>
        <v>3705732.02095496</v>
      </c>
      <c r="M74" s="2" t="n">
        <f aca="false">+M64+M71</f>
        <v>2025804.73606847</v>
      </c>
      <c r="N74" s="2" t="n">
        <f aca="false">+N64+N71</f>
        <v>2036777.8450555</v>
      </c>
      <c r="O74" s="2" t="n">
        <f aca="false">+O64+O71</f>
        <v>3457810.39171622</v>
      </c>
      <c r="P74" s="2" t="n">
        <f aca="false">+P64+P71</f>
        <v>6148207.19800469</v>
      </c>
      <c r="Q74" s="2" t="n">
        <f aca="false">+Q64+Q71</f>
        <v>8839209.65366055</v>
      </c>
      <c r="R74" s="2" t="n">
        <f aca="false">+R64+R71</f>
        <v>5479388.70595121</v>
      </c>
      <c r="S74" s="2" t="n">
        <f aca="false">+S64+S71</f>
        <v>5095497.29953701</v>
      </c>
      <c r="T74" s="2" t="n">
        <f aca="false">+T64+T71</f>
        <v>4873097.9099095</v>
      </c>
      <c r="U74" s="2" t="n">
        <f aca="false">+U64+U71</f>
        <v>15515195.8835882</v>
      </c>
      <c r="V74" s="16" t="n">
        <f aca="false">SUM(C74:U74)</f>
        <v>152447395.110124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 t="s">
        <v>52</v>
      </c>
      <c r="B75" s="2"/>
      <c r="C75" s="2" t="n">
        <f aca="false">C74</f>
        <v>29326993</v>
      </c>
      <c r="D75" s="2" t="n">
        <f aca="false">C75+D74</f>
        <v>59497245.1111111</v>
      </c>
      <c r="E75" s="2" t="n">
        <f aca="false">D75+E74</f>
        <v>75330904.3951455</v>
      </c>
      <c r="F75" s="2" t="n">
        <f aca="false">E75+F74</f>
        <v>78876329.3336351</v>
      </c>
      <c r="G75" s="2" t="n">
        <f aca="false">F75+G74</f>
        <v>82880958.6572081</v>
      </c>
      <c r="H75" s="2" t="n">
        <f aca="false">G75+H74</f>
        <v>86717279.7229506</v>
      </c>
      <c r="I75" s="2" t="n">
        <f aca="false">H75+I74</f>
        <v>91121680.8611324</v>
      </c>
      <c r="J75" s="2" t="n">
        <f aca="false">I75+J74</f>
        <v>93424939.1721461</v>
      </c>
      <c r="K75" s="2" t="n">
        <f aca="false">J75+K74</f>
        <v>95270673.4656778</v>
      </c>
      <c r="L75" s="2" t="n">
        <f aca="false">K75+L74</f>
        <v>98976405.4866327</v>
      </c>
      <c r="M75" s="2" t="n">
        <f aca="false">L75+M74</f>
        <v>101002210.222701</v>
      </c>
      <c r="N75" s="2" t="n">
        <f aca="false">M75+N74</f>
        <v>103038988.067757</v>
      </c>
      <c r="O75" s="2" t="n">
        <f aca="false">N75+O74</f>
        <v>106496798.459473</v>
      </c>
      <c r="P75" s="2" t="n">
        <f aca="false">O75+P74</f>
        <v>112645005.657478</v>
      </c>
      <c r="Q75" s="2" t="n">
        <f aca="false">P75+Q74</f>
        <v>121484215.311138</v>
      </c>
      <c r="R75" s="2" t="n">
        <f aca="false">Q75+R74</f>
        <v>126963604.017089</v>
      </c>
      <c r="S75" s="2" t="n">
        <f aca="false">R75+S74</f>
        <v>132059101.316626</v>
      </c>
      <c r="T75" s="2" t="n">
        <f aca="false">S75+T74</f>
        <v>136932199.226536</v>
      </c>
      <c r="U75" s="2" t="n">
        <f aca="false">T75+U74</f>
        <v>152447395.110124</v>
      </c>
      <c r="V75" s="16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1" t="n">
        <f aca="false">+V74/C78/1000</f>
        <v>317.598739812759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15" t="s">
        <v>53</v>
      </c>
      <c r="B77" s="2"/>
      <c r="C77" s="8" t="n">
        <v>0.065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16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1" t="s">
        <v>44</v>
      </c>
      <c r="B78" s="2"/>
      <c r="C78" s="2" t="n">
        <v>480</v>
      </c>
      <c r="D78" s="2" t="s">
        <v>54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6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" t="s">
        <v>55</v>
      </c>
      <c r="C79" s="2" t="n">
        <v>0</v>
      </c>
      <c r="U79" s="1" t="n">
        <v>6338000</v>
      </c>
      <c r="V79" s="22" t="n">
        <f aca="false">SUM(C79:U79)</f>
        <v>6338000</v>
      </c>
      <c r="W79" s="17" t="str">
        <f aca="false">W69</f>
        <v>Rodney Malcolm</v>
      </c>
    </row>
    <row r="80" customFormat="false" ht="12.75" hidden="false" customHeight="false" outlineLevel="0" collapsed="false">
      <c r="A80" s="15"/>
      <c r="B80" s="2"/>
      <c r="C80" s="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16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" t="s">
        <v>56</v>
      </c>
      <c r="C81" s="2" t="n">
        <f aca="false">+C74-C68</f>
        <v>29142550</v>
      </c>
      <c r="D81" s="2" t="n">
        <f aca="false">+D74-D68</f>
        <v>29988111.1111111</v>
      </c>
      <c r="E81" s="2" t="n">
        <f aca="false">+E74-E68</f>
        <v>15511382.5396825</v>
      </c>
      <c r="F81" s="2" t="n">
        <f aca="false">+F74-F68</f>
        <v>3137382.53968254</v>
      </c>
      <c r="G81" s="2" t="n">
        <f aca="false">+G74-G68</f>
        <v>3577382.53968254</v>
      </c>
      <c r="H81" s="2" t="n">
        <f aca="false">+H74-H68</f>
        <v>3387382.53968254</v>
      </c>
      <c r="I81" s="2" t="n">
        <f aca="false">+I74-I68</f>
        <v>3934682.53968254</v>
      </c>
      <c r="J81" s="2" t="n">
        <f aca="false">+J74-J68</f>
        <v>1809682.53968254</v>
      </c>
      <c r="K81" s="2" t="n">
        <f aca="false">+K74-K68</f>
        <v>1339682.53968254</v>
      </c>
      <c r="L81" s="2" t="n">
        <f aca="false">+L74-L68</f>
        <v>3189682.53968254</v>
      </c>
      <c r="M81" s="2" t="n">
        <f aca="false">+M74-M68</f>
        <v>1489682.53968254</v>
      </c>
      <c r="N81" s="2" t="n">
        <f aca="false">+N74-N68</f>
        <v>1489682.53968254</v>
      </c>
      <c r="O81" s="2" t="n">
        <f aca="false">+O74-O68</f>
        <v>2899682.53968254</v>
      </c>
      <c r="P81" s="2" t="n">
        <f aca="false">+P74-P68</f>
        <v>5571349.53968254</v>
      </c>
      <c r="Q81" s="2" t="n">
        <f aca="false">+Q74-Q68</f>
        <v>8229049.20634921</v>
      </c>
      <c r="R81" s="2" t="n">
        <f aca="false">+R74-R68</f>
        <v>4821349.20634921</v>
      </c>
      <c r="S81" s="2" t="n">
        <f aca="false">+S74-S68</f>
        <v>4407777.77777778</v>
      </c>
      <c r="T81" s="2" t="n">
        <f aca="false">+T74-T68</f>
        <v>4157777.77777778</v>
      </c>
      <c r="U81" s="2" t="n">
        <f aca="false">+U74-U68</f>
        <v>14773479.8044444</v>
      </c>
      <c r="V81" s="16" t="n">
        <f aca="false">SUM(C81:U81)</f>
        <v>142857752.36</v>
      </c>
    </row>
    <row r="82" customFormat="false" ht="12.75" hidden="false" customHeight="false" outlineLevel="0" collapsed="false">
      <c r="V82" s="16"/>
    </row>
    <row r="83" customFormat="false" ht="12.75" hidden="false" customHeight="false" outlineLevel="0" collapsed="false">
      <c r="A83" s="2" t="s">
        <v>66</v>
      </c>
      <c r="V83" s="16"/>
    </row>
    <row r="84" customFormat="false" ht="12.75" hidden="false" customHeight="false" outlineLevel="0" collapsed="false">
      <c r="A84" s="9" t="s">
        <v>67</v>
      </c>
      <c r="V84" s="16"/>
    </row>
    <row r="85" customFormat="false" ht="12.75" hidden="false" customHeight="false" outlineLevel="0" collapsed="false">
      <c r="A85" s="1" t="s">
        <v>68</v>
      </c>
      <c r="C85" s="2" t="n">
        <v>16673404</v>
      </c>
      <c r="D85" s="1" t="n">
        <v>40778500</v>
      </c>
      <c r="E85" s="1" t="n">
        <v>4077852</v>
      </c>
      <c r="F85" s="1" t="n">
        <v>4077852</v>
      </c>
      <c r="G85" s="1" t="n">
        <v>4077852</v>
      </c>
      <c r="H85" s="1" t="n">
        <v>4077852</v>
      </c>
      <c r="I85" s="1" t="n">
        <v>4077852</v>
      </c>
      <c r="U85" s="1" t="n">
        <v>4077852</v>
      </c>
      <c r="V85" s="16" t="n">
        <f aca="false">SUM(C85:U85)</f>
        <v>81919016</v>
      </c>
      <c r="W85" s="23" t="s">
        <v>23</v>
      </c>
    </row>
    <row r="86" customFormat="false" ht="12.75" hidden="false" customHeight="false" outlineLevel="0" collapsed="false">
      <c r="A86" s="1" t="s">
        <v>24</v>
      </c>
      <c r="C86" s="2" t="n">
        <v>0</v>
      </c>
      <c r="H86" s="1" t="n">
        <v>440000</v>
      </c>
      <c r="I86" s="1" t="n">
        <v>3520000</v>
      </c>
      <c r="J86" s="1" t="n">
        <v>1760000</v>
      </c>
      <c r="K86" s="1" t="n">
        <v>440000</v>
      </c>
      <c r="L86" s="1" t="n">
        <v>440000</v>
      </c>
      <c r="M86" s="1" t="n">
        <v>440000</v>
      </c>
      <c r="N86" s="1" t="n">
        <v>440000</v>
      </c>
      <c r="O86" s="1" t="n">
        <v>440000</v>
      </c>
      <c r="P86" s="1" t="n">
        <v>440000</v>
      </c>
      <c r="Q86" s="1" t="n">
        <v>440000</v>
      </c>
      <c r="V86" s="16" t="n">
        <f aca="false">SUM(C86:U86)</f>
        <v>8800000</v>
      </c>
      <c r="W86" s="23" t="s">
        <v>23</v>
      </c>
    </row>
    <row r="87" customFormat="false" ht="12.75" hidden="false" customHeight="false" outlineLevel="0" collapsed="false">
      <c r="A87" s="1" t="s">
        <v>26</v>
      </c>
      <c r="C87" s="2" t="n">
        <v>0</v>
      </c>
      <c r="K87" s="1" t="n">
        <v>1600000</v>
      </c>
      <c r="L87" s="1" t="n">
        <f aca="false">2880000-1440000</f>
        <v>1440000</v>
      </c>
      <c r="M87" s="1" t="n">
        <f aca="false">2880000-1440000</f>
        <v>1440000</v>
      </c>
      <c r="N87" s="1" t="n">
        <f aca="false">2880000-1440000</f>
        <v>1440000</v>
      </c>
      <c r="O87" s="1" t="n">
        <f aca="false">3840000-1440000</f>
        <v>2400000</v>
      </c>
      <c r="P87" s="1" t="n">
        <f aca="false">2986666.66666667+1440000</f>
        <v>4426666.66666667</v>
      </c>
      <c r="Q87" s="1" t="n">
        <f aca="false">2986666.66666667+1440000</f>
        <v>4426666.66666667</v>
      </c>
      <c r="R87" s="1" t="n">
        <f aca="false">2986666.66666667+1440000</f>
        <v>4426666.66666667</v>
      </c>
      <c r="S87" s="1" t="n">
        <f aca="false">2986666.66666667+1440000</f>
        <v>4426666.66666667</v>
      </c>
      <c r="T87" s="1" t="n">
        <v>2986666.66666667</v>
      </c>
      <c r="U87" s="1" t="n">
        <v>2986666.66666667</v>
      </c>
      <c r="V87" s="16" t="n">
        <f aca="false">SUM(C87:U87)</f>
        <v>32000000</v>
      </c>
      <c r="W87" s="23" t="s">
        <v>23</v>
      </c>
    </row>
    <row r="88" customFormat="false" ht="12.75" hidden="false" customHeight="false" outlineLevel="0" collapsed="false">
      <c r="A88" s="1" t="s">
        <v>27</v>
      </c>
      <c r="C88" s="2" t="n">
        <v>0</v>
      </c>
      <c r="P88" s="1" t="n">
        <v>125000</v>
      </c>
      <c r="Q88" s="1" t="n">
        <v>125000</v>
      </c>
      <c r="R88" s="1" t="n">
        <v>125000</v>
      </c>
      <c r="S88" s="1" t="n">
        <v>125000</v>
      </c>
      <c r="T88" s="1" t="n">
        <v>125000</v>
      </c>
      <c r="U88" s="1" t="n">
        <v>125000</v>
      </c>
      <c r="V88" s="16" t="n">
        <f aca="false">SUM(C88:U88)</f>
        <v>750000</v>
      </c>
      <c r="W88" s="23" t="s">
        <v>28</v>
      </c>
    </row>
    <row r="89" customFormat="false" ht="12.75" hidden="false" customHeight="false" outlineLevel="0" collapsed="false">
      <c r="A89" s="1" t="s">
        <v>29</v>
      </c>
      <c r="C89" s="2" t="n">
        <v>0</v>
      </c>
      <c r="S89" s="1" t="n">
        <v>500000</v>
      </c>
      <c r="T89" s="1" t="n">
        <v>500000</v>
      </c>
      <c r="V89" s="16" t="n">
        <f aca="false">SUM(C89:U89)</f>
        <v>1000000</v>
      </c>
      <c r="W89" s="23" t="str">
        <f aca="false">W87</f>
        <v>Mike Miller</v>
      </c>
    </row>
    <row r="90" customFormat="false" ht="12.75" hidden="false" customHeight="false" outlineLevel="0" collapsed="false">
      <c r="A90" s="1" t="s">
        <v>30</v>
      </c>
      <c r="C90" s="2" t="n">
        <v>0</v>
      </c>
      <c r="K90" s="1" t="n">
        <v>770000</v>
      </c>
      <c r="V90" s="16" t="n">
        <f aca="false">SUM(C90:U90)</f>
        <v>770000</v>
      </c>
      <c r="W90" s="23" t="s">
        <v>69</v>
      </c>
    </row>
    <row r="91" customFormat="false" ht="12.75" hidden="false" customHeight="false" outlineLevel="0" collapsed="false">
      <c r="A91" s="1" t="s">
        <v>32</v>
      </c>
      <c r="C91" s="2" t="n">
        <v>0</v>
      </c>
      <c r="F91" s="1" t="n">
        <v>112500</v>
      </c>
      <c r="G91" s="1" t="n">
        <v>112500</v>
      </c>
      <c r="H91" s="1" t="n">
        <v>112500</v>
      </c>
      <c r="I91" s="1" t="n">
        <v>112500</v>
      </c>
      <c r="V91" s="16" t="n">
        <f aca="false">SUM(C91:U91)</f>
        <v>450000</v>
      </c>
      <c r="W91" s="23" t="str">
        <f aca="false">W90</f>
        <v>Steve Dowd</v>
      </c>
    </row>
    <row r="92" customFormat="false" ht="12.75" hidden="false" customHeight="false" outlineLevel="0" collapsed="false">
      <c r="A92" s="1" t="s">
        <v>33</v>
      </c>
      <c r="C92" s="2" t="n">
        <v>0</v>
      </c>
      <c r="Q92" s="1" t="n">
        <v>500000</v>
      </c>
      <c r="R92" s="1" t="n">
        <v>166666.666666667</v>
      </c>
      <c r="S92" s="1" t="n">
        <v>166666.666666667</v>
      </c>
      <c r="T92" s="1" t="n">
        <v>166666.666666667</v>
      </c>
      <c r="V92" s="16" t="n">
        <f aca="false">SUM(C92:U92)</f>
        <v>1000000</v>
      </c>
      <c r="W92" s="23" t="s">
        <v>34</v>
      </c>
    </row>
    <row r="93" customFormat="false" ht="12.75" hidden="false" customHeight="false" outlineLevel="0" collapsed="false">
      <c r="A93" s="1" t="s">
        <v>35</v>
      </c>
      <c r="C93" s="2" t="n">
        <v>0</v>
      </c>
      <c r="P93" s="1" t="n">
        <v>1000000</v>
      </c>
      <c r="Q93" s="1" t="n">
        <v>500000</v>
      </c>
      <c r="R93" s="1" t="n">
        <v>500000</v>
      </c>
      <c r="V93" s="16" t="n">
        <f aca="false">SUM(C93:U93)</f>
        <v>2000000</v>
      </c>
      <c r="W93" s="23" t="str">
        <f aca="false">W91</f>
        <v>Steve Dowd</v>
      </c>
    </row>
    <row r="94" customFormat="false" ht="12.75" hidden="false" customHeight="false" outlineLevel="0" collapsed="false">
      <c r="A94" s="1" t="s">
        <v>36</v>
      </c>
      <c r="C94" s="2" t="n">
        <v>0</v>
      </c>
      <c r="S94" s="1" t="n">
        <v>500000</v>
      </c>
      <c r="T94" s="1" t="n">
        <v>500000</v>
      </c>
      <c r="U94" s="1" t="n">
        <v>0</v>
      </c>
      <c r="V94" s="16" t="n">
        <f aca="false">SUM(C94:U94)</f>
        <v>1000000</v>
      </c>
      <c r="W94" s="23" t="str">
        <f aca="false">W88</f>
        <v>Kevin Presto</v>
      </c>
    </row>
    <row r="95" customFormat="false" ht="12.75" hidden="false" customHeight="false" outlineLevel="0" collapsed="false">
      <c r="A95" s="1" t="s">
        <v>70</v>
      </c>
      <c r="U95" s="1" t="n">
        <v>236000</v>
      </c>
      <c r="V95" s="16" t="n">
        <f aca="false">SUM(C95:U95)</f>
        <v>236000</v>
      </c>
      <c r="W95" s="23" t="s">
        <v>64</v>
      </c>
    </row>
    <row r="96" customFormat="false" ht="12.75" hidden="false" customHeight="false" outlineLevel="0" collapsed="false">
      <c r="A96" s="1" t="s">
        <v>37</v>
      </c>
      <c r="C96" s="2" t="n">
        <v>0</v>
      </c>
      <c r="U96" s="1" t="n">
        <v>50000</v>
      </c>
      <c r="V96" s="16" t="n">
        <f aca="false">SUM(C96:U96)</f>
        <v>50000</v>
      </c>
      <c r="W96" s="23" t="str">
        <f aca="false">W93</f>
        <v>Steve Dowd</v>
      </c>
    </row>
    <row r="97" customFormat="false" ht="12.75" hidden="false" customHeight="false" outlineLevel="0" collapsed="false">
      <c r="A97" s="1" t="s">
        <v>38</v>
      </c>
      <c r="C97" s="2" t="n">
        <v>0</v>
      </c>
      <c r="L97" s="1" t="n">
        <v>200000</v>
      </c>
      <c r="V97" s="16" t="n">
        <f aca="false">SUM(C97:U97)</f>
        <v>200000</v>
      </c>
      <c r="W97" s="23" t="str">
        <f aca="false">W96</f>
        <v>Steve Dowd</v>
      </c>
    </row>
    <row r="98" customFormat="false" ht="12.75" hidden="false" customHeight="false" outlineLevel="0" collapsed="false">
      <c r="A98" s="1" t="s">
        <v>39</v>
      </c>
      <c r="C98" s="2" t="n">
        <v>0</v>
      </c>
      <c r="D98" s="1" t="n">
        <v>11111.1111111111</v>
      </c>
      <c r="E98" s="1" t="n">
        <v>11111.1111111111</v>
      </c>
      <c r="F98" s="1" t="n">
        <v>11111.1111111111</v>
      </c>
      <c r="G98" s="1" t="n">
        <v>11111.1111111111</v>
      </c>
      <c r="H98" s="1" t="n">
        <v>11111.1111111111</v>
      </c>
      <c r="I98" s="1" t="n">
        <v>11111.1111111111</v>
      </c>
      <c r="J98" s="1" t="n">
        <v>11111.1111111111</v>
      </c>
      <c r="K98" s="1" t="n">
        <v>11111.1111111111</v>
      </c>
      <c r="L98" s="1" t="n">
        <v>11111.1111111111</v>
      </c>
      <c r="M98" s="1" t="n">
        <v>11111.1111111111</v>
      </c>
      <c r="N98" s="1" t="n">
        <v>11111.1111111111</v>
      </c>
      <c r="O98" s="1" t="n">
        <v>11111.1111111111</v>
      </c>
      <c r="P98" s="1" t="n">
        <v>11111.1111111111</v>
      </c>
      <c r="Q98" s="1" t="n">
        <v>11111.1111111111</v>
      </c>
      <c r="R98" s="1" t="n">
        <v>11111.1111111111</v>
      </c>
      <c r="S98" s="1" t="n">
        <v>11111.1111111111</v>
      </c>
      <c r="T98" s="1" t="n">
        <v>11111.1111111111</v>
      </c>
      <c r="U98" s="1" t="n">
        <v>11111.1111111111</v>
      </c>
      <c r="V98" s="16" t="n">
        <f aca="false">SUM(C98:U98)</f>
        <v>200000</v>
      </c>
      <c r="W98" s="23" t="str">
        <f aca="false">W97</f>
        <v>Steve Dowd</v>
      </c>
    </row>
    <row r="99" customFormat="false" ht="12.75" hidden="false" customHeight="false" outlineLevel="0" collapsed="false">
      <c r="A99" s="1" t="s">
        <v>40</v>
      </c>
      <c r="C99" s="2" t="n">
        <v>0</v>
      </c>
      <c r="E99" s="1" t="n">
        <v>28571.4285714286</v>
      </c>
      <c r="F99" s="1" t="n">
        <v>28571.4285714286</v>
      </c>
      <c r="G99" s="1" t="n">
        <v>28571.4285714286</v>
      </c>
      <c r="H99" s="1" t="n">
        <v>28571.4285714286</v>
      </c>
      <c r="I99" s="1" t="n">
        <v>28571.4285714286</v>
      </c>
      <c r="J99" s="1" t="n">
        <v>28571.4285714286</v>
      </c>
      <c r="K99" s="1" t="n">
        <v>28571.4285714286</v>
      </c>
      <c r="L99" s="1" t="n">
        <v>28571.4285714286</v>
      </c>
      <c r="M99" s="1" t="n">
        <v>28571.4285714286</v>
      </c>
      <c r="N99" s="1" t="n">
        <v>28571.4285714286</v>
      </c>
      <c r="O99" s="1" t="n">
        <v>28571.4285714286</v>
      </c>
      <c r="P99" s="1" t="n">
        <v>28571.4285714286</v>
      </c>
      <c r="Q99" s="1" t="n">
        <v>28571.4285714286</v>
      </c>
      <c r="R99" s="1" t="n">
        <v>28571.4285714286</v>
      </c>
      <c r="V99" s="16" t="n">
        <f aca="false">SUM(C99:U99)</f>
        <v>400000</v>
      </c>
      <c r="W99" s="23" t="str">
        <f aca="false">W97</f>
        <v>Steve Dowd</v>
      </c>
    </row>
    <row r="100" customFormat="false" ht="12.75" hidden="false" customHeight="false" outlineLevel="0" collapsed="false">
      <c r="A100" s="1" t="s">
        <v>41</v>
      </c>
      <c r="C100" s="2" t="n">
        <v>0</v>
      </c>
      <c r="N100" s="1" t="n">
        <v>10000</v>
      </c>
      <c r="O100" s="1" t="n">
        <f aca="false">325000-35000</f>
        <v>290000</v>
      </c>
      <c r="P100" s="1" t="n">
        <v>10000</v>
      </c>
      <c r="Q100" s="1" t="n">
        <v>10000</v>
      </c>
      <c r="R100" s="1" t="n">
        <v>10000</v>
      </c>
      <c r="S100" s="1" t="n">
        <v>10000</v>
      </c>
      <c r="T100" s="1" t="n">
        <v>10000</v>
      </c>
      <c r="U100" s="1" t="n">
        <v>50000</v>
      </c>
      <c r="V100" s="16" t="n">
        <f aca="false">SUM(C100:U100)</f>
        <v>400000</v>
      </c>
      <c r="W100" s="23" t="str">
        <f aca="false">W97</f>
        <v>Steve Dowd</v>
      </c>
    </row>
    <row r="101" customFormat="false" ht="12.75" hidden="false" customHeight="false" outlineLevel="0" collapsed="false">
      <c r="A101" s="1" t="s">
        <v>42</v>
      </c>
      <c r="C101" s="18" t="n">
        <f aca="false">SUM(C83:C100)</f>
        <v>16673404</v>
      </c>
      <c r="D101" s="18" t="n">
        <f aca="false">SUM(D83:D100)</f>
        <v>40789611.1111111</v>
      </c>
      <c r="E101" s="18" t="n">
        <f aca="false">SUM(E83:E100)</f>
        <v>4117534.53968254</v>
      </c>
      <c r="F101" s="18" t="n">
        <f aca="false">SUM(F83:F100)</f>
        <v>4230034.53968254</v>
      </c>
      <c r="G101" s="18" t="n">
        <f aca="false">SUM(G83:G100)</f>
        <v>4230034.53968254</v>
      </c>
      <c r="H101" s="18" t="n">
        <f aca="false">SUM(H83:H100)</f>
        <v>4670034.53968254</v>
      </c>
      <c r="I101" s="18" t="n">
        <f aca="false">SUM(I83:I100)</f>
        <v>7750034.53968254</v>
      </c>
      <c r="J101" s="18" t="n">
        <f aca="false">SUM(J83:J100)</f>
        <v>1799682.53968254</v>
      </c>
      <c r="K101" s="18" t="n">
        <f aca="false">SUM(K83:K100)</f>
        <v>2849682.53968254</v>
      </c>
      <c r="L101" s="18" t="n">
        <f aca="false">SUM(L83:L100)</f>
        <v>2119682.53968254</v>
      </c>
      <c r="M101" s="18" t="n">
        <f aca="false">SUM(M83:M100)</f>
        <v>1919682.53968254</v>
      </c>
      <c r="N101" s="18" t="n">
        <f aca="false">SUM(N83:N100)</f>
        <v>1929682.53968254</v>
      </c>
      <c r="O101" s="18" t="n">
        <f aca="false">SUM(O83:O100)</f>
        <v>3169682.53968254</v>
      </c>
      <c r="P101" s="18" t="n">
        <f aca="false">SUM(P83:P100)</f>
        <v>6041349.20634921</v>
      </c>
      <c r="Q101" s="18" t="n">
        <f aca="false">SUM(Q83:Q100)</f>
        <v>6041349.20634921</v>
      </c>
      <c r="R101" s="18" t="n">
        <f aca="false">SUM(R83:R100)</f>
        <v>5268015.87301588</v>
      </c>
      <c r="S101" s="18" t="n">
        <f aca="false">SUM(S83:S100)</f>
        <v>5739444.44444445</v>
      </c>
      <c r="T101" s="18" t="n">
        <f aca="false">SUM(T83:T100)</f>
        <v>4299444.44444444</v>
      </c>
      <c r="U101" s="18" t="n">
        <f aca="false">SUM(U83:U100)</f>
        <v>7536629.77777778</v>
      </c>
      <c r="V101" s="19" t="n">
        <f aca="false">SUM(C101:U101)</f>
        <v>131175016</v>
      </c>
    </row>
    <row r="102" customFormat="false" ht="12.75" hidden="false" customHeight="false" outlineLevel="0" collapsed="false">
      <c r="A102" s="1" t="s">
        <v>43</v>
      </c>
      <c r="C102" s="18" t="n">
        <f aca="false">+C101</f>
        <v>16673404</v>
      </c>
      <c r="D102" s="18" t="n">
        <f aca="false">+C102+D101</f>
        <v>57463015.1111111</v>
      </c>
      <c r="E102" s="18" t="n">
        <f aca="false">+D102+E101</f>
        <v>61580549.6507937</v>
      </c>
      <c r="F102" s="18" t="n">
        <f aca="false">+E102+F101</f>
        <v>65810584.1904762</v>
      </c>
      <c r="G102" s="18" t="n">
        <f aca="false">+F102+G101</f>
        <v>70040618.7301587</v>
      </c>
      <c r="H102" s="18" t="n">
        <f aca="false">+G102+H101</f>
        <v>74710653.2698413</v>
      </c>
      <c r="I102" s="18" t="n">
        <f aca="false">+H102+I101</f>
        <v>82460687.8095238</v>
      </c>
      <c r="J102" s="18" t="n">
        <f aca="false">+I102+J101</f>
        <v>84260370.3492063</v>
      </c>
      <c r="K102" s="18" t="n">
        <f aca="false">+J102+K101</f>
        <v>87110052.8888889</v>
      </c>
      <c r="L102" s="18" t="n">
        <f aca="false">+K102+L101</f>
        <v>89229735.4285714</v>
      </c>
      <c r="M102" s="18" t="n">
        <f aca="false">+L102+M101</f>
        <v>91149417.968254</v>
      </c>
      <c r="N102" s="18" t="n">
        <f aca="false">+M102+N101</f>
        <v>93079100.5079365</v>
      </c>
      <c r="O102" s="18" t="n">
        <f aca="false">+N102+O101</f>
        <v>96248783.047619</v>
      </c>
      <c r="P102" s="18" t="n">
        <f aca="false">+O102+P101</f>
        <v>102290132.253968</v>
      </c>
      <c r="Q102" s="18" t="n">
        <f aca="false">+P102+Q101</f>
        <v>108331481.460317</v>
      </c>
      <c r="R102" s="18" t="n">
        <f aca="false">+Q102+R101</f>
        <v>113599497.333333</v>
      </c>
      <c r="S102" s="18" t="n">
        <f aca="false">+R102+S101</f>
        <v>119338941.777778</v>
      </c>
      <c r="T102" s="18" t="n">
        <f aca="false">+S102+T101</f>
        <v>123638386.222222</v>
      </c>
      <c r="U102" s="18" t="n">
        <f aca="false">+T102+U101</f>
        <v>131175016</v>
      </c>
      <c r="V102" s="16"/>
    </row>
    <row r="103" customFormat="false" ht="12.75" hidden="false" customHeight="false" outlineLevel="0" collapsed="false">
      <c r="A103" s="1" t="s">
        <v>44</v>
      </c>
      <c r="V103" s="21" t="n">
        <f aca="false">+V101/C115/1000</f>
        <v>285.16307826087</v>
      </c>
    </row>
    <row r="104" customFormat="false" ht="12.75" hidden="false" customHeight="false" outlineLevel="0" collapsed="false">
      <c r="V104" s="16"/>
    </row>
    <row r="105" customFormat="false" ht="12.75" hidden="false" customHeight="false" outlineLevel="0" collapsed="false">
      <c r="A105" s="1" t="s">
        <v>45</v>
      </c>
      <c r="C105" s="2" t="n">
        <v>146354</v>
      </c>
      <c r="D105" s="1" t="n">
        <v>104209</v>
      </c>
      <c r="E105" s="1" t="n">
        <f aca="false">(+D102+D109)*$C114/12</f>
        <v>312615.214768519</v>
      </c>
      <c r="F105" s="1" t="n">
        <f aca="false">(+E102+E109)*$C114/12</f>
        <v>336611.859271795</v>
      </c>
      <c r="G105" s="1" t="n">
        <f aca="false">(+F102+F109)*$C114/12</f>
        <v>361347.860599464</v>
      </c>
      <c r="H105" s="1" t="n">
        <f aca="false">(+G102+G109)*$C114/12</f>
        <v>386217.848600992</v>
      </c>
      <c r="I105" s="1" t="n">
        <f aca="false">(+H102+H109)*$C114/12</f>
        <v>413605.882370861</v>
      </c>
      <c r="J105" s="1" t="n">
        <f aca="false">(+I102+I109)*$C114/12</f>
        <v>457825.60132365</v>
      </c>
      <c r="K105" s="1" t="n">
        <f aca="false">(+J102+J109)*$C114/12</f>
        <v>470053.770420767</v>
      </c>
      <c r="L105" s="1" t="n">
        <f aca="false">(+K102+K109)*$C114/12</f>
        <v>488035.675433827</v>
      </c>
      <c r="M105" s="1" t="n">
        <f aca="false">(+L102+L109)*$C114/12</f>
        <v>510285.815765707</v>
      </c>
      <c r="N105" s="1" t="n">
        <f aca="false">(+M102+M109)*$C114/12</f>
        <v>523448.144357718</v>
      </c>
      <c r="O105" s="1" t="n">
        <f aca="false">(+N102+N109)*$C114/12</f>
        <v>536735.935562936</v>
      </c>
      <c r="P105" s="1" t="n">
        <f aca="false">(+O102+O109)*$C114/12</f>
        <v>556812.368970516</v>
      </c>
      <c r="Q105" s="1" t="n">
        <f aca="false">(+P102+P109)*$C114/12</f>
        <v>592552.410836831</v>
      </c>
      <c r="R105" s="1" t="n">
        <f aca="false">(+Q102+Q109)*$C114/12</f>
        <v>628486.044596589</v>
      </c>
      <c r="S105" s="1" t="n">
        <f aca="false">(+R102+R109)*$C114/12</f>
        <v>660425.429983657</v>
      </c>
      <c r="T105" s="1" t="n">
        <f aca="false">(+S102+S109)*$C114/12</f>
        <v>695091.391803475</v>
      </c>
      <c r="U105" s="1" t="n">
        <f aca="false">(+T102+T109)*$C114/12</f>
        <v>722145.127583152</v>
      </c>
      <c r="V105" s="16" t="n">
        <f aca="false">SUM(C105:U105)</f>
        <v>8902859.38225046</v>
      </c>
      <c r="W105" s="17" t="str">
        <f aca="false">W116</f>
        <v>Rodney Malcolm</v>
      </c>
    </row>
    <row r="106" customFormat="false" ht="12.75" hidden="false" customHeight="false" outlineLevel="0" collapsed="false">
      <c r="A106" s="1" t="s">
        <v>46</v>
      </c>
      <c r="C106" s="2" t="n">
        <v>0</v>
      </c>
      <c r="L106" s="1" t="n">
        <v>1500000</v>
      </c>
      <c r="V106" s="16" t="n">
        <f aca="false">SUM(C106:U106)</f>
        <v>1500000</v>
      </c>
      <c r="W106" s="17" t="s">
        <v>47</v>
      </c>
    </row>
    <row r="107" customFormat="false" ht="12.75" hidden="false" customHeight="false" outlineLevel="0" collapsed="false">
      <c r="A107" s="1" t="s">
        <v>48</v>
      </c>
      <c r="C107" s="2" t="n">
        <v>0</v>
      </c>
      <c r="U107" s="1" t="n">
        <f aca="false">+V87*0.05+V101*0.03</f>
        <v>5535250.48</v>
      </c>
      <c r="V107" s="16" t="n">
        <f aca="false">SUM(C107:U107)</f>
        <v>5535250.48</v>
      </c>
      <c r="W107" s="17" t="str">
        <f aca="false">W90</f>
        <v>Steve Dowd</v>
      </c>
    </row>
    <row r="108" customFormat="false" ht="12.75" hidden="false" customHeight="false" outlineLevel="0" collapsed="false">
      <c r="A108" s="1" t="s">
        <v>49</v>
      </c>
      <c r="C108" s="18" t="n">
        <f aca="false">SUM(C105:C107)</f>
        <v>146354</v>
      </c>
      <c r="D108" s="18" t="n">
        <f aca="false">SUM(D105:D107)</f>
        <v>104209</v>
      </c>
      <c r="E108" s="18" t="n">
        <f aca="false">SUM(E105:E107)</f>
        <v>312615.214768519</v>
      </c>
      <c r="F108" s="18" t="n">
        <f aca="false">SUM(F105:F107)</f>
        <v>336611.859271795</v>
      </c>
      <c r="G108" s="18" t="n">
        <f aca="false">SUM(G105:G107)</f>
        <v>361347.860599464</v>
      </c>
      <c r="H108" s="18" t="n">
        <f aca="false">SUM(H105:H107)</f>
        <v>386217.848600992</v>
      </c>
      <c r="I108" s="18" t="n">
        <f aca="false">SUM(I105:I107)</f>
        <v>413605.882370861</v>
      </c>
      <c r="J108" s="18" t="n">
        <f aca="false">SUM(J105:J107)</f>
        <v>457825.60132365</v>
      </c>
      <c r="K108" s="18" t="n">
        <f aca="false">SUM(K105:K107)</f>
        <v>470053.770420767</v>
      </c>
      <c r="L108" s="18" t="n">
        <f aca="false">SUM(L105:L107)</f>
        <v>1988035.67543383</v>
      </c>
      <c r="M108" s="18" t="n">
        <f aca="false">SUM(M105:M107)</f>
        <v>510285.815765707</v>
      </c>
      <c r="N108" s="18" t="n">
        <f aca="false">SUM(N105:N107)</f>
        <v>523448.144357718</v>
      </c>
      <c r="O108" s="18" t="n">
        <f aca="false">SUM(O105:O107)</f>
        <v>536735.935562936</v>
      </c>
      <c r="P108" s="18" t="n">
        <f aca="false">SUM(P105:P107)</f>
        <v>556812.368970516</v>
      </c>
      <c r="Q108" s="18" t="n">
        <f aca="false">SUM(Q105:Q107)</f>
        <v>592552.410836831</v>
      </c>
      <c r="R108" s="18" t="n">
        <f aca="false">SUM(R105:R107)</f>
        <v>628486.044596589</v>
      </c>
      <c r="S108" s="18" t="n">
        <f aca="false">SUM(S105:S107)</f>
        <v>660425.429983657</v>
      </c>
      <c r="T108" s="18" t="n">
        <f aca="false">SUM(T105:T107)</f>
        <v>695091.391803475</v>
      </c>
      <c r="U108" s="18" t="n">
        <f aca="false">SUM(U105:U107)</f>
        <v>6257395.60758315</v>
      </c>
      <c r="V108" s="19" t="n">
        <f aca="false">SUM(C108:U108)</f>
        <v>15938109.8622505</v>
      </c>
    </row>
    <row r="109" customFormat="false" ht="12.75" hidden="false" customHeight="false" outlineLevel="0" collapsed="false">
      <c r="A109" s="1" t="s">
        <v>50</v>
      </c>
      <c r="C109" s="18" t="n">
        <f aca="false">+C108</f>
        <v>146354</v>
      </c>
      <c r="D109" s="18" t="n">
        <f aca="false">+D108+C109</f>
        <v>250563</v>
      </c>
      <c r="E109" s="18" t="n">
        <f aca="false">+E108+D109</f>
        <v>563178.214768519</v>
      </c>
      <c r="F109" s="18" t="n">
        <f aca="false">+F108+E109</f>
        <v>899790.074040314</v>
      </c>
      <c r="G109" s="18" t="n">
        <f aca="false">+G108+F109</f>
        <v>1261137.93463978</v>
      </c>
      <c r="H109" s="18" t="n">
        <f aca="false">+H108+G109</f>
        <v>1647355.78324077</v>
      </c>
      <c r="I109" s="18" t="n">
        <f aca="false">+I108+H109</f>
        <v>2060961.66561163</v>
      </c>
      <c r="J109" s="18" t="n">
        <f aca="false">+J108+I109</f>
        <v>2518787.26693528</v>
      </c>
      <c r="K109" s="18" t="n">
        <f aca="false">+K108+J109</f>
        <v>2988841.03735605</v>
      </c>
      <c r="L109" s="18" t="n">
        <f aca="false">+L108+K109</f>
        <v>4976876.71278988</v>
      </c>
      <c r="M109" s="18" t="n">
        <f aca="false">+M108+L109</f>
        <v>5487162.52855558</v>
      </c>
      <c r="N109" s="18" t="n">
        <f aca="false">+N108+M109</f>
        <v>6010610.6729133</v>
      </c>
      <c r="O109" s="18" t="n">
        <f aca="false">+O108+N109</f>
        <v>6547346.60847624</v>
      </c>
      <c r="P109" s="18" t="n">
        <f aca="false">+P108+O109</f>
        <v>7104158.97744675</v>
      </c>
      <c r="Q109" s="18" t="n">
        <f aca="false">+Q108+P109</f>
        <v>7696711.38828358</v>
      </c>
      <c r="R109" s="18" t="n">
        <f aca="false">+R108+Q109</f>
        <v>8325197.43288017</v>
      </c>
      <c r="S109" s="18" t="n">
        <f aca="false">+S108+R109</f>
        <v>8985622.86286383</v>
      </c>
      <c r="T109" s="18" t="n">
        <f aca="false">+T108+S109</f>
        <v>9680714.2546673</v>
      </c>
      <c r="U109" s="18" t="n">
        <f aca="false">+U108+T109</f>
        <v>15938109.8622505</v>
      </c>
      <c r="V109" s="16"/>
    </row>
    <row r="110" customFormat="false" ht="12.75" hidden="false" customHeight="false" outlineLevel="0" collapsed="false">
      <c r="V110" s="16"/>
    </row>
    <row r="111" customFormat="false" ht="12.75" hidden="false" customHeight="false" outlineLevel="0" collapsed="false">
      <c r="A111" s="2" t="s">
        <v>65</v>
      </c>
      <c r="B111" s="2"/>
      <c r="C111" s="2" t="n">
        <f aca="false">+C101+C108</f>
        <v>16819758</v>
      </c>
      <c r="D111" s="2" t="n">
        <f aca="false">+D101+D108</f>
        <v>40893820.1111111</v>
      </c>
      <c r="E111" s="2" t="n">
        <f aca="false">+E101+E108</f>
        <v>4430149.75445106</v>
      </c>
      <c r="F111" s="2" t="n">
        <f aca="false">+F101+F108</f>
        <v>4566646.39895434</v>
      </c>
      <c r="G111" s="2" t="n">
        <f aca="false">+G101+G108</f>
        <v>4591382.40028201</v>
      </c>
      <c r="H111" s="2" t="n">
        <f aca="false">+H101+H108</f>
        <v>5056252.38828353</v>
      </c>
      <c r="I111" s="2" t="n">
        <f aca="false">+I101+I108</f>
        <v>8163640.4220534</v>
      </c>
      <c r="J111" s="2" t="n">
        <f aca="false">+J101+J108</f>
        <v>2257508.14100619</v>
      </c>
      <c r="K111" s="2" t="n">
        <f aca="false">+K101+K108</f>
        <v>3319736.31010331</v>
      </c>
      <c r="L111" s="2" t="n">
        <f aca="false">+L101+L108</f>
        <v>4107718.21511637</v>
      </c>
      <c r="M111" s="2" t="n">
        <f aca="false">+M101+M108</f>
        <v>2429968.35544825</v>
      </c>
      <c r="N111" s="2" t="n">
        <f aca="false">+N101+N108</f>
        <v>2453130.68404026</v>
      </c>
      <c r="O111" s="2" t="n">
        <f aca="false">+O101+O108</f>
        <v>3706418.47524548</v>
      </c>
      <c r="P111" s="2" t="n">
        <f aca="false">+P101+P108</f>
        <v>6598161.57531973</v>
      </c>
      <c r="Q111" s="2" t="n">
        <f aca="false">+Q101+Q108</f>
        <v>6633901.61718604</v>
      </c>
      <c r="R111" s="2" t="n">
        <f aca="false">+R101+R108</f>
        <v>5896501.91761247</v>
      </c>
      <c r="S111" s="2" t="n">
        <f aca="false">+S101+S108</f>
        <v>6399869.87442811</v>
      </c>
      <c r="T111" s="2" t="n">
        <f aca="false">+T101+T108</f>
        <v>4994535.83624792</v>
      </c>
      <c r="U111" s="2" t="n">
        <f aca="false">+U101+U108</f>
        <v>13794025.3853609</v>
      </c>
      <c r="V111" s="16" t="n">
        <f aca="false">SUM(C111:U111)</f>
        <v>147113125.86225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customFormat="false" ht="12.75" hidden="false" customHeight="false" outlineLevel="0" collapsed="false">
      <c r="A112" s="2" t="s">
        <v>52</v>
      </c>
      <c r="B112" s="2"/>
      <c r="C112" s="2" t="n">
        <f aca="false">C111</f>
        <v>16819758</v>
      </c>
      <c r="D112" s="2" t="n">
        <f aca="false">C112+D111</f>
        <v>57713578.1111111</v>
      </c>
      <c r="E112" s="2" t="n">
        <f aca="false">D112+E111</f>
        <v>62143727.8655622</v>
      </c>
      <c r="F112" s="2" t="n">
        <f aca="false">E112+F111</f>
        <v>66710374.2645165</v>
      </c>
      <c r="G112" s="2" t="n">
        <f aca="false">F112+G111</f>
        <v>71301756.6647985</v>
      </c>
      <c r="H112" s="2" t="n">
        <f aca="false">G112+H111</f>
        <v>76358009.0530821</v>
      </c>
      <c r="I112" s="2" t="n">
        <f aca="false">H112+I111</f>
        <v>84521649.4751355</v>
      </c>
      <c r="J112" s="2" t="n">
        <f aca="false">I112+J111</f>
        <v>86779157.6161416</v>
      </c>
      <c r="K112" s="2" t="n">
        <f aca="false">J112+K111</f>
        <v>90098893.9262449</v>
      </c>
      <c r="L112" s="2" t="n">
        <f aca="false">K112+L111</f>
        <v>94206612.1413613</v>
      </c>
      <c r="M112" s="2" t="n">
        <f aca="false">L112+M111</f>
        <v>96636580.4968096</v>
      </c>
      <c r="N112" s="2" t="n">
        <f aca="false">M112+N111</f>
        <v>99089711.1808498</v>
      </c>
      <c r="O112" s="2" t="n">
        <f aca="false">N112+O111</f>
        <v>102796129.656095</v>
      </c>
      <c r="P112" s="2" t="n">
        <f aca="false">O112+P111</f>
        <v>109394291.231415</v>
      </c>
      <c r="Q112" s="2" t="n">
        <f aca="false">P112+Q111</f>
        <v>116028192.848601</v>
      </c>
      <c r="R112" s="2" t="n">
        <f aca="false">Q112+R111</f>
        <v>121924694.766214</v>
      </c>
      <c r="S112" s="2" t="n">
        <f aca="false">R112+S111</f>
        <v>128324564.640642</v>
      </c>
      <c r="T112" s="2" t="n">
        <f aca="false">S112+T111</f>
        <v>133319100.47689</v>
      </c>
      <c r="U112" s="2" t="n">
        <f aca="false">T112+U111</f>
        <v>147113125.86225</v>
      </c>
      <c r="V112" s="16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customFormat="false" ht="12.75" hidden="false" customHeight="false" outlineLevel="0" collapsed="false">
      <c r="A113" s="2"/>
      <c r="B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1" t="n">
        <f aca="false">+V111/C115/1000</f>
        <v>319.811143178805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</row>
    <row r="114" customFormat="false" ht="12.75" hidden="false" customHeight="false" outlineLevel="0" collapsed="false">
      <c r="A114" s="15" t="s">
        <v>53</v>
      </c>
      <c r="B114" s="2"/>
      <c r="C114" s="8" t="n">
        <v>0.065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16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customFormat="false" ht="12.75" hidden="false" customHeight="false" outlineLevel="0" collapsed="false">
      <c r="A115" s="1" t="s">
        <v>44</v>
      </c>
      <c r="B115" s="2"/>
      <c r="C115" s="2" t="n">
        <v>460</v>
      </c>
      <c r="D115" s="2" t="s">
        <v>54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16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1" t="s">
        <v>55</v>
      </c>
      <c r="C116" s="2" t="n">
        <v>0</v>
      </c>
      <c r="U116" s="1" t="n">
        <v>5842000</v>
      </c>
      <c r="V116" s="22" t="n">
        <f aca="false">SUM(C116:U116)</f>
        <v>5842000</v>
      </c>
      <c r="W116" s="17" t="str">
        <f aca="false">W106</f>
        <v>Rodney Malcolm</v>
      </c>
    </row>
    <row r="117" customFormat="false" ht="12.75" hidden="false" customHeight="false" outlineLevel="0" collapsed="false">
      <c r="A117" s="15"/>
      <c r="B117" s="2"/>
      <c r="C117" s="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16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" t="s">
        <v>56</v>
      </c>
      <c r="C118" s="2" t="n">
        <f aca="false">+C111-C105</f>
        <v>16673404</v>
      </c>
      <c r="D118" s="2" t="n">
        <f aca="false">+D111-D105</f>
        <v>40789611.1111111</v>
      </c>
      <c r="E118" s="2" t="n">
        <f aca="false">+E111-E105</f>
        <v>4117534.53968254</v>
      </c>
      <c r="F118" s="2" t="n">
        <f aca="false">+F111-F105</f>
        <v>4230034.53968254</v>
      </c>
      <c r="G118" s="2" t="n">
        <f aca="false">+G111-G105</f>
        <v>4230034.53968254</v>
      </c>
      <c r="H118" s="2" t="n">
        <f aca="false">+H111-H105</f>
        <v>4670034.53968254</v>
      </c>
      <c r="I118" s="2" t="n">
        <f aca="false">+I111-I105</f>
        <v>7750034.53968254</v>
      </c>
      <c r="J118" s="2" t="n">
        <f aca="false">+J111-J105</f>
        <v>1799682.53968254</v>
      </c>
      <c r="K118" s="2" t="n">
        <f aca="false">+K111-K105</f>
        <v>2849682.53968254</v>
      </c>
      <c r="L118" s="2" t="n">
        <f aca="false">+L111-L105</f>
        <v>3619682.53968254</v>
      </c>
      <c r="M118" s="2" t="n">
        <f aca="false">+M111-M105</f>
        <v>1919682.53968254</v>
      </c>
      <c r="N118" s="2" t="n">
        <f aca="false">+N111-N105</f>
        <v>1929682.53968254</v>
      </c>
      <c r="O118" s="2" t="n">
        <f aca="false">+O111-O105</f>
        <v>3169682.53968254</v>
      </c>
      <c r="P118" s="2" t="n">
        <f aca="false">+P111-P105</f>
        <v>6041349.20634921</v>
      </c>
      <c r="Q118" s="2" t="n">
        <f aca="false">+Q111-Q105</f>
        <v>6041349.20634921</v>
      </c>
      <c r="R118" s="2" t="n">
        <f aca="false">+R111-R105</f>
        <v>5268015.87301588</v>
      </c>
      <c r="S118" s="2" t="n">
        <f aca="false">+S111-S105</f>
        <v>5739444.44444445</v>
      </c>
      <c r="T118" s="2" t="n">
        <f aca="false">+T111-T105</f>
        <v>4299444.44444444</v>
      </c>
      <c r="U118" s="2" t="n">
        <f aca="false">+U111-U105</f>
        <v>13071880.2577778</v>
      </c>
      <c r="V118" s="22" t="n">
        <f aca="false">SUM(C118:U118)</f>
        <v>138210266.48</v>
      </c>
    </row>
    <row r="120" customFormat="false" ht="12.75" hidden="false" customHeight="false" outlineLevel="0" collapsed="false">
      <c r="A120" s="1" t="s">
        <v>71</v>
      </c>
      <c r="C120" s="1" t="n">
        <f aca="false">+C112+C75+C36</f>
        <v>53134117</v>
      </c>
      <c r="D120" s="1" t="n">
        <f aca="false">+D112+D75+D36</f>
        <v>124266800.333333</v>
      </c>
      <c r="E120" s="1" t="n">
        <f aca="false">+E112+E75+E36</f>
        <v>177479740.358948</v>
      </c>
      <c r="F120" s="1" t="n">
        <f aca="false">+F112+F75+F36</f>
        <v>199684895.143036</v>
      </c>
      <c r="G120" s="1" t="n">
        <f aca="false">+G112+G75+G36</f>
        <v>217963588.84887</v>
      </c>
      <c r="H120" s="1" t="n">
        <f aca="false">+H112+H75+H36</f>
        <v>234152892.145611</v>
      </c>
      <c r="I120" s="1" t="n">
        <f aca="false">+I112+I75+I36</f>
        <v>259429687.501876</v>
      </c>
      <c r="J120" s="1" t="n">
        <f aca="false">+J112+J75+J36</f>
        <v>273980546.832987</v>
      </c>
      <c r="K120" s="1" t="n">
        <f aca="false">+K112+K75+K36</f>
        <v>288822887.318809</v>
      </c>
      <c r="L120" s="1" t="n">
        <f aca="false">+L112+L75+L36</f>
        <v>308281685.815595</v>
      </c>
      <c r="M120" s="1" t="n">
        <f aca="false">+M112+M75+M36</f>
        <v>324152171.137572</v>
      </c>
      <c r="N120" s="1" t="n">
        <f aca="false">+N112+N75+N36</f>
        <v>344377777.588377</v>
      </c>
      <c r="O120" s="1" t="n">
        <f aca="false">+O112+O75+O36</f>
        <v>373661901.407457</v>
      </c>
      <c r="P120" s="1" t="n">
        <f aca="false">+P112+P75+P36</f>
        <v>395401445.230557</v>
      </c>
      <c r="Q120" s="1" t="n">
        <f aca="false">+Q112+Q75+Q36</f>
        <v>418566444.582699</v>
      </c>
      <c r="R120" s="1" t="n">
        <f aca="false">+R112+R75+R36</f>
        <v>441355887.681331</v>
      </c>
      <c r="S120" s="1" t="n">
        <f aca="false">+S112+S75+S36</f>
        <v>461726630.739605</v>
      </c>
      <c r="T120" s="1" t="n">
        <f aca="false">+T112+T75+T36</f>
        <v>478767715.322778</v>
      </c>
      <c r="U120" s="1" t="n">
        <f aca="false">+U112+U75+U36</f>
        <v>529238861.020776</v>
      </c>
    </row>
    <row r="121" customFormat="false" ht="12.75" hidden="false" customHeight="false" outlineLevel="0" collapsed="false">
      <c r="A121" s="2"/>
      <c r="C121" s="1" t="n">
        <f aca="false">+C116+C79+C40</f>
        <v>0</v>
      </c>
      <c r="D121" s="1" t="n">
        <f aca="false">+D116+D79+D40</f>
        <v>0</v>
      </c>
      <c r="E121" s="1" t="n">
        <f aca="false">+E116+E79+E40</f>
        <v>0</v>
      </c>
      <c r="F121" s="1" t="n">
        <f aca="false">+F116+F79+F40</f>
        <v>0</v>
      </c>
      <c r="G121" s="1" t="n">
        <f aca="false">+G116+G79+G40</f>
        <v>0</v>
      </c>
      <c r="H121" s="1" t="n">
        <f aca="false">+H116+H79+H40</f>
        <v>0</v>
      </c>
      <c r="I121" s="1" t="n">
        <f aca="false">+I116+I79+I40</f>
        <v>0</v>
      </c>
      <c r="J121" s="1" t="n">
        <f aca="false">+J116+J79+J40</f>
        <v>0</v>
      </c>
      <c r="K121" s="1" t="n">
        <f aca="false">+K116+K79+K40</f>
        <v>0</v>
      </c>
      <c r="L121" s="1" t="n">
        <f aca="false">+L116+L79+L40</f>
        <v>0</v>
      </c>
      <c r="M121" s="1" t="n">
        <f aca="false">+M116+M79+M40</f>
        <v>0</v>
      </c>
      <c r="N121" s="1" t="n">
        <f aca="false">+N116+N79+N40</f>
        <v>0</v>
      </c>
      <c r="O121" s="1" t="n">
        <f aca="false">+O116+O79+O40</f>
        <v>0</v>
      </c>
      <c r="P121" s="1" t="n">
        <f aca="false">+P116+P79+P40</f>
        <v>0</v>
      </c>
      <c r="Q121" s="1" t="n">
        <f aca="false">+Q116+Q79+Q40</f>
        <v>0</v>
      </c>
      <c r="R121" s="1" t="n">
        <f aca="false">+R116+R79+R40</f>
        <v>0</v>
      </c>
      <c r="S121" s="1" t="n">
        <f aca="false">+S116+S79+S40</f>
        <v>0</v>
      </c>
      <c r="T121" s="1" t="n">
        <f aca="false">+T116+T79+T40</f>
        <v>0</v>
      </c>
      <c r="U121" s="1" t="n">
        <f aca="false">+U116+U79+U40</f>
        <v>19520000</v>
      </c>
    </row>
    <row r="122" customFormat="false" ht="12.75" hidden="false" customHeight="false" outlineLevel="0" collapsed="false">
      <c r="A122" s="1" t="s">
        <v>72</v>
      </c>
      <c r="C122" s="1" t="n">
        <f aca="false">+C120+C121</f>
        <v>53134117</v>
      </c>
      <c r="D122" s="1" t="n">
        <f aca="false">+D120+D121</f>
        <v>124266800.333333</v>
      </c>
      <c r="E122" s="1" t="n">
        <f aca="false">+E120+E121</f>
        <v>177479740.358948</v>
      </c>
      <c r="F122" s="1" t="n">
        <f aca="false">+F120+F121</f>
        <v>199684895.143036</v>
      </c>
      <c r="G122" s="1" t="n">
        <f aca="false">+G120+G121</f>
        <v>217963588.84887</v>
      </c>
      <c r="H122" s="1" t="n">
        <f aca="false">+H120+H121</f>
        <v>234152892.145611</v>
      </c>
      <c r="I122" s="1" t="n">
        <f aca="false">+I120+I121</f>
        <v>259429687.501876</v>
      </c>
      <c r="J122" s="1" t="n">
        <f aca="false">+J120+J121</f>
        <v>273980546.832987</v>
      </c>
      <c r="K122" s="1" t="n">
        <f aca="false">+K120+K121</f>
        <v>288822887.318809</v>
      </c>
      <c r="L122" s="1" t="n">
        <f aca="false">+L120+L121</f>
        <v>308281685.815595</v>
      </c>
      <c r="M122" s="1" t="n">
        <f aca="false">+M120+M121</f>
        <v>324152171.137572</v>
      </c>
      <c r="N122" s="1" t="n">
        <f aca="false">+N120+N121</f>
        <v>344377777.588377</v>
      </c>
      <c r="O122" s="1" t="n">
        <f aca="false">+O120+O121</f>
        <v>373661901.407457</v>
      </c>
      <c r="P122" s="1" t="n">
        <f aca="false">+P120+P121</f>
        <v>395401445.230557</v>
      </c>
      <c r="Q122" s="1" t="n">
        <f aca="false">+Q120+Q121</f>
        <v>418566444.582699</v>
      </c>
      <c r="R122" s="1" t="n">
        <f aca="false">+R120+R121</f>
        <v>441355887.681331</v>
      </c>
      <c r="S122" s="1" t="n">
        <f aca="false">+S120+S121</f>
        <v>461726630.739605</v>
      </c>
      <c r="T122" s="1" t="n">
        <f aca="false">+T120+T121</f>
        <v>478767715.322778</v>
      </c>
      <c r="U122" s="1" t="n">
        <f aca="false">+U120+U121</f>
        <v>548758861.020776</v>
      </c>
    </row>
  </sheetData>
  <mergeCells count="2">
    <mergeCell ref="D5:O5"/>
    <mergeCell ref="P5:V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3" man="true" max="16383" min="0"/>
    <brk id="8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3.85"/>
    <col collapsed="false" customWidth="true" hidden="false" outlineLevel="0" max="2" min="2" style="1" width="1.7"/>
    <col collapsed="false" customWidth="true" hidden="false" outlineLevel="0" max="3" min="3" style="2" width="13.14"/>
    <col collapsed="false" customWidth="true" hidden="false" outlineLevel="0" max="4" min="4" style="1" width="14.99"/>
    <col collapsed="false" customWidth="true" hidden="false" outlineLevel="0" max="5" min="5" style="1" width="12.85"/>
    <col collapsed="false" customWidth="true" hidden="false" outlineLevel="0" max="6" min="6" style="1" width="13.28"/>
    <col collapsed="false" customWidth="true" hidden="false" outlineLevel="0" max="7" min="7" style="1" width="12.28"/>
    <col collapsed="false" customWidth="true" hidden="false" outlineLevel="0" max="8" min="8" style="1" width="14.14"/>
    <col collapsed="false" customWidth="true" hidden="false" outlineLevel="0" max="9" min="9" style="1" width="13.99"/>
    <col collapsed="false" customWidth="true" hidden="false" outlineLevel="0" max="10" min="10" style="1" width="13.41"/>
    <col collapsed="false" customWidth="true" hidden="false" outlineLevel="0" max="11" min="11" style="1" width="13.56"/>
    <col collapsed="false" customWidth="true" hidden="false" outlineLevel="0" max="12" min="12" style="1" width="14.41"/>
    <col collapsed="false" customWidth="true" hidden="false" outlineLevel="0" max="14" min="13" style="1" width="14.28"/>
    <col collapsed="false" customWidth="true" hidden="false" outlineLevel="0" max="15" min="15" style="1" width="14.7"/>
    <col collapsed="false" customWidth="true" hidden="false" outlineLevel="0" max="16" min="16" style="2" width="14.41"/>
    <col collapsed="false" customWidth="true" hidden="false" outlineLevel="0" max="17" min="17" style="1" width="12.28"/>
    <col collapsed="false" customWidth="true" hidden="false" outlineLevel="0" max="18" min="18" style="1" width="14.14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73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 t="str">
        <f aca="true">CELL("filename")</f>
        <v>'file:///mnt/12tb/@roms/datasets/enron/EDRM Enron Email Data Set v2 XML/filtered-attachments/xls/TVADraw122199.xls'#$Brownsville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74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7" t="n">
        <f aca="true">NOW()</f>
        <v>45926.966727433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/>
      <c r="E5" s="12"/>
      <c r="F5" s="12"/>
      <c r="G5" s="12"/>
      <c r="H5" s="12"/>
      <c r="I5" s="12" t="s">
        <v>4</v>
      </c>
      <c r="J5" s="12"/>
      <c r="K5" s="12"/>
      <c r="L5" s="12"/>
      <c r="M5" s="12"/>
      <c r="N5" s="12"/>
      <c r="O5" s="12"/>
      <c r="P5" s="12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3" t="s">
        <v>6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9.5" hidden="false" customHeight="false" outlineLevel="0" collapsed="false">
      <c r="A7" s="26" t="s">
        <v>75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27"/>
      <c r="N7" s="10"/>
      <c r="O7" s="10"/>
      <c r="P7" s="14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76</v>
      </c>
      <c r="B8" s="10"/>
      <c r="C8" s="10"/>
      <c r="D8" s="10"/>
      <c r="E8" s="10"/>
      <c r="F8" s="10"/>
      <c r="G8" s="27"/>
      <c r="H8" s="10"/>
      <c r="I8" s="10"/>
      <c r="J8" s="10"/>
      <c r="K8" s="10"/>
      <c r="L8" s="27"/>
      <c r="M8" s="27"/>
      <c r="N8" s="27"/>
      <c r="O8" s="10"/>
      <c r="P8" s="14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77</v>
      </c>
      <c r="B9" s="10"/>
      <c r="C9" s="10"/>
      <c r="D9" s="10"/>
      <c r="E9" s="10"/>
      <c r="F9" s="10"/>
      <c r="G9" s="27"/>
      <c r="H9" s="10"/>
      <c r="I9" s="10"/>
      <c r="J9" s="10"/>
      <c r="K9" s="10"/>
      <c r="L9" s="27"/>
      <c r="M9" s="27"/>
      <c r="N9" s="27"/>
      <c r="O9" s="10"/>
      <c r="P9" s="14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78</v>
      </c>
      <c r="C10" s="28" t="n">
        <v>58899539</v>
      </c>
      <c r="D10" s="29" t="n">
        <v>48600</v>
      </c>
      <c r="E10" s="29" t="n">
        <v>3567810</v>
      </c>
      <c r="F10" s="29" t="n">
        <v>3342088</v>
      </c>
      <c r="G10" s="29" t="n">
        <v>338722</v>
      </c>
      <c r="H10" s="29" t="n">
        <v>840995</v>
      </c>
      <c r="I10" s="29" t="n">
        <v>276019</v>
      </c>
      <c r="J10" s="29" t="n">
        <v>136426</v>
      </c>
      <c r="K10" s="29" t="n">
        <v>3337741</v>
      </c>
      <c r="L10" s="29" t="n">
        <v>172832</v>
      </c>
      <c r="M10" s="29" t="n">
        <v>16019</v>
      </c>
      <c r="N10" s="29" t="n">
        <v>0</v>
      </c>
      <c r="O10" s="15" t="n">
        <v>1637615</v>
      </c>
      <c r="P10" s="16" t="n">
        <f aca="false">SUM(C10:O10)</f>
        <v>72614406</v>
      </c>
      <c r="Q10" s="1" t="n">
        <f aca="false">+[1]Brownsville!AY18</f>
        <v>72614405.8</v>
      </c>
      <c r="R10" s="1" t="n">
        <f aca="false">+Q10-P10</f>
        <v>-0.199999988079071</v>
      </c>
    </row>
    <row r="11" customFormat="false" ht="12.75" hidden="false" customHeight="false" outlineLevel="0" collapsed="false">
      <c r="A11" s="1" t="s">
        <v>24</v>
      </c>
      <c r="C11" s="28" t="n">
        <v>2998569</v>
      </c>
      <c r="D11" s="29" t="n">
        <v>2951629</v>
      </c>
      <c r="E11" s="29" t="n">
        <v>137615</v>
      </c>
      <c r="F11" s="15" t="n">
        <v>0</v>
      </c>
      <c r="G11" s="29" t="n">
        <v>1229873</v>
      </c>
      <c r="H11" s="29" t="n">
        <v>747040</v>
      </c>
      <c r="I11" s="29" t="n">
        <v>692016</v>
      </c>
      <c r="J11" s="29" t="n">
        <v>174000</v>
      </c>
      <c r="K11" s="29" t="n">
        <v>0</v>
      </c>
      <c r="L11" s="29" t="n">
        <v>227783</v>
      </c>
      <c r="M11" s="29" t="n">
        <v>0</v>
      </c>
      <c r="N11" s="29" t="n">
        <v>0</v>
      </c>
      <c r="O11" s="1" t="n">
        <v>-273278</v>
      </c>
      <c r="P11" s="16" t="n">
        <f aca="false">SUM(C11:O11)</f>
        <v>8885247</v>
      </c>
      <c r="Q11" s="1" t="n">
        <f aca="false">+[1]Brownsville!AY31</f>
        <v>8885247.14</v>
      </c>
      <c r="R11" s="1" t="n">
        <f aca="false">+Q11-P11</f>
        <v>0.140000000596046</v>
      </c>
    </row>
    <row r="12" customFormat="false" ht="12.75" hidden="false" customHeight="false" outlineLevel="0" collapsed="false">
      <c r="A12" s="1" t="s">
        <v>25</v>
      </c>
      <c r="C12" s="28" t="n">
        <v>182376</v>
      </c>
      <c r="D12" s="29" t="n">
        <v>0</v>
      </c>
      <c r="E12" s="29" t="n">
        <v>0</v>
      </c>
      <c r="F12" s="15" t="n">
        <v>0</v>
      </c>
      <c r="G12" s="29" t="n">
        <v>0</v>
      </c>
      <c r="H12" s="29" t="n">
        <v>0</v>
      </c>
      <c r="I12" s="29" t="n">
        <v>324238</v>
      </c>
      <c r="J12" s="29" t="n">
        <v>125335</v>
      </c>
      <c r="K12" s="29" t="n">
        <v>30644</v>
      </c>
      <c r="L12" s="29" t="n">
        <v>0</v>
      </c>
      <c r="M12" s="29" t="n">
        <v>21103</v>
      </c>
      <c r="N12" s="29" t="n">
        <f aca="false">58187-31431+38249-22549-1</f>
        <v>42455</v>
      </c>
      <c r="O12" s="1" t="n">
        <f aca="false">8571+1</f>
        <v>8572</v>
      </c>
      <c r="P12" s="16" t="n">
        <f aca="false">SUM(C12:O12)</f>
        <v>734723</v>
      </c>
      <c r="Q12" s="1" t="n">
        <f aca="false">+[1]Brownsville!AY41</f>
        <v>734722.72</v>
      </c>
      <c r="R12" s="1" t="n">
        <f aca="false">+Q12-P12</f>
        <v>-0.28000000002794</v>
      </c>
    </row>
    <row r="13" customFormat="false" ht="12.75" hidden="false" customHeight="false" outlineLevel="0" collapsed="false">
      <c r="A13" s="1" t="s">
        <v>26</v>
      </c>
      <c r="C13" s="28" t="n">
        <v>1415805</v>
      </c>
      <c r="D13" s="29" t="n">
        <v>3042655</v>
      </c>
      <c r="E13" s="29" t="n">
        <v>1851195</v>
      </c>
      <c r="F13" s="29" t="n">
        <v>3966412</v>
      </c>
      <c r="G13" s="29" t="n">
        <f aca="false">3055350+54996+12907-1641480</f>
        <v>1481773</v>
      </c>
      <c r="H13" s="29" t="n">
        <v>4260335</v>
      </c>
      <c r="I13" s="29" t="n">
        <v>4701685</v>
      </c>
      <c r="J13" s="29" t="n">
        <v>4762777</v>
      </c>
      <c r="K13" s="29" t="n">
        <v>4478140</v>
      </c>
      <c r="L13" s="29" t="n">
        <v>983532</v>
      </c>
      <c r="M13" s="29" t="n">
        <v>775246</v>
      </c>
      <c r="N13" s="29" t="n">
        <v>287383</v>
      </c>
      <c r="O13" s="1" t="n">
        <f aca="false">1256989-837423+822996-304996</f>
        <v>937566</v>
      </c>
      <c r="P13" s="16" t="n">
        <f aca="false">SUM(C13:O13)</f>
        <v>32944504</v>
      </c>
      <c r="Q13" s="1" t="n">
        <f aca="false">+[1]Brownsville!AY106</f>
        <v>32944503.7</v>
      </c>
      <c r="R13" s="1" t="n">
        <f aca="false">+Q13-P13</f>
        <v>-0.300000000745058</v>
      </c>
    </row>
    <row r="14" customFormat="false" ht="12.75" hidden="false" customHeight="false" outlineLevel="0" collapsed="false">
      <c r="A14" s="1" t="s">
        <v>27</v>
      </c>
      <c r="C14" s="28" t="n">
        <v>6111</v>
      </c>
      <c r="D14" s="29" t="n">
        <v>25337</v>
      </c>
      <c r="E14" s="29" t="n">
        <v>0</v>
      </c>
      <c r="F14" s="15" t="n">
        <v>0</v>
      </c>
      <c r="G14" s="29" t="n">
        <v>74417</v>
      </c>
      <c r="H14" s="29" t="n">
        <v>173681</v>
      </c>
      <c r="I14" s="29" t="n">
        <v>225874</v>
      </c>
      <c r="J14" s="29" t="n">
        <v>95732</v>
      </c>
      <c r="K14" s="29" t="n">
        <v>68947</v>
      </c>
      <c r="L14" s="29" t="n">
        <v>26337</v>
      </c>
      <c r="M14" s="29" t="n">
        <f aca="false">-1+1023+57</f>
        <v>1079</v>
      </c>
      <c r="N14" s="29" t="n">
        <v>775</v>
      </c>
      <c r="O14" s="1" t="n">
        <f aca="false">-2+1</f>
        <v>-1</v>
      </c>
      <c r="P14" s="16" t="n">
        <f aca="false">SUM(C14:O14)</f>
        <v>698289</v>
      </c>
      <c r="Q14" s="1" t="n">
        <f aca="false">+[1]Brownsville!AY113</f>
        <v>698289.4</v>
      </c>
      <c r="R14" s="1" t="n">
        <f aca="false">+Q14-P14</f>
        <v>0.400000000023283</v>
      </c>
    </row>
    <row r="15" customFormat="false" ht="12.75" hidden="false" customHeight="false" outlineLevel="0" collapsed="false">
      <c r="A15" s="1" t="s">
        <v>29</v>
      </c>
      <c r="C15" s="28" t="n">
        <v>0</v>
      </c>
      <c r="D15" s="29" t="n">
        <v>0</v>
      </c>
      <c r="E15" s="29" t="n">
        <v>0</v>
      </c>
      <c r="F15" s="15" t="n">
        <v>0</v>
      </c>
      <c r="G15" s="29" t="n">
        <v>0</v>
      </c>
      <c r="H15" s="1" t="n">
        <v>0</v>
      </c>
      <c r="I15" s="29" t="n">
        <v>0</v>
      </c>
      <c r="J15" s="29" t="n">
        <v>0</v>
      </c>
      <c r="K15" s="29" t="n">
        <v>238231</v>
      </c>
      <c r="L15" s="29" t="n">
        <v>16621</v>
      </c>
      <c r="M15" s="29" t="n">
        <f aca="false">1048957+13938</f>
        <v>1062895</v>
      </c>
      <c r="N15" s="29" t="n">
        <v>0</v>
      </c>
      <c r="O15" s="1" t="n">
        <v>0</v>
      </c>
      <c r="P15" s="16" t="n">
        <f aca="false">SUM(C15:O15)</f>
        <v>1317747</v>
      </c>
      <c r="Q15" s="1" t="n">
        <f aca="false">+[1]Brownsville!AY115</f>
        <v>1317746.81</v>
      </c>
      <c r="R15" s="1" t="n">
        <f aca="false">+Q15-P15</f>
        <v>-0.189999999944121</v>
      </c>
    </row>
    <row r="16" customFormat="false" ht="12.75" hidden="false" customHeight="false" outlineLevel="0" collapsed="false">
      <c r="A16" s="1" t="s">
        <v>30</v>
      </c>
      <c r="C16" s="28" t="n">
        <v>458107</v>
      </c>
      <c r="D16" s="29" t="n">
        <v>0</v>
      </c>
      <c r="E16" s="29" t="n">
        <v>0</v>
      </c>
      <c r="F16" s="15" t="n">
        <v>0</v>
      </c>
      <c r="G16" s="29" t="n">
        <v>0</v>
      </c>
      <c r="H16" s="29" t="n">
        <v>3333</v>
      </c>
      <c r="I16" s="29" t="n">
        <v>0</v>
      </c>
      <c r="J16" s="29" t="n">
        <v>0</v>
      </c>
      <c r="K16" s="29" t="n">
        <v>0</v>
      </c>
      <c r="L16" s="29" t="n">
        <v>0</v>
      </c>
      <c r="M16" s="29" t="n">
        <v>0</v>
      </c>
      <c r="N16" s="29" t="n">
        <v>0</v>
      </c>
      <c r="O16" s="1" t="n">
        <v>0</v>
      </c>
      <c r="P16" s="16" t="n">
        <f aca="false">SUM(C16:O16)</f>
        <v>461440</v>
      </c>
      <c r="Q16" s="1" t="n">
        <f aca="false">+[1]Brownsville!AY120</f>
        <v>461440.33</v>
      </c>
      <c r="R16" s="1" t="n">
        <f aca="false">+Q16-P16</f>
        <v>0.330000000016298</v>
      </c>
    </row>
    <row r="17" customFormat="false" ht="12.75" hidden="false" customHeight="false" outlineLevel="0" collapsed="false">
      <c r="A17" s="1" t="s">
        <v>32</v>
      </c>
      <c r="C17" s="28" t="n">
        <v>220810</v>
      </c>
      <c r="D17" s="29" t="n">
        <v>59942</v>
      </c>
      <c r="E17" s="29" t="n">
        <v>30441</v>
      </c>
      <c r="F17" s="29" t="n">
        <v>125058</v>
      </c>
      <c r="G17" s="29" t="n">
        <v>24442</v>
      </c>
      <c r="H17" s="29" t="n">
        <v>66861</v>
      </c>
      <c r="I17" s="29" t="n">
        <v>204010</v>
      </c>
      <c r="J17" s="29" t="n">
        <v>84200</v>
      </c>
      <c r="K17" s="29" t="n">
        <v>0</v>
      </c>
      <c r="L17" s="29" t="n">
        <v>0</v>
      </c>
      <c r="M17" s="29" t="n">
        <v>37358</v>
      </c>
      <c r="N17" s="29" t="n">
        <v>0</v>
      </c>
      <c r="O17" s="1" t="n">
        <f aca="false">12248-1</f>
        <v>12247</v>
      </c>
      <c r="P17" s="16" t="n">
        <f aca="false">SUM(C17:O17)</f>
        <v>865369</v>
      </c>
      <c r="Q17" s="1" t="n">
        <f aca="false">+[1]Brownsville!AY130</f>
        <v>865369.28</v>
      </c>
      <c r="R17" s="1" t="n">
        <f aca="false">+Q17-P17</f>
        <v>0.279999999911524</v>
      </c>
    </row>
    <row r="18" customFormat="false" ht="12.75" hidden="false" customHeight="false" outlineLevel="0" collapsed="false">
      <c r="A18" s="1" t="s">
        <v>33</v>
      </c>
      <c r="C18" s="28" t="n">
        <v>0</v>
      </c>
      <c r="D18" s="29" t="n">
        <v>0</v>
      </c>
      <c r="E18" s="29" t="n">
        <v>0</v>
      </c>
      <c r="F18" s="15" t="n">
        <v>0</v>
      </c>
      <c r="G18" s="29" t="n">
        <v>0</v>
      </c>
      <c r="H18" s="29" t="n">
        <v>0</v>
      </c>
      <c r="I18" s="29" t="n">
        <v>0</v>
      </c>
      <c r="J18" s="29" t="n">
        <v>0</v>
      </c>
      <c r="K18" s="29" t="n">
        <v>0</v>
      </c>
      <c r="L18" s="29" t="n">
        <v>0</v>
      </c>
      <c r="M18" s="29" t="n">
        <v>0</v>
      </c>
      <c r="N18" s="29" t="n">
        <v>0</v>
      </c>
      <c r="O18" s="1" t="n">
        <v>0</v>
      </c>
      <c r="P18" s="16" t="n">
        <f aca="false">SUM(C18:O18)</f>
        <v>0</v>
      </c>
      <c r="Q18" s="1" t="n">
        <f aca="false">+[1]Brownsville!AY132</f>
        <v>0</v>
      </c>
      <c r="R18" s="1" t="n">
        <f aca="false">+Q18-P18</f>
        <v>0</v>
      </c>
    </row>
    <row r="19" customFormat="false" ht="12.75" hidden="false" customHeight="false" outlineLevel="0" collapsed="false">
      <c r="A19" s="1" t="s">
        <v>35</v>
      </c>
      <c r="C19" s="28" t="n">
        <v>0</v>
      </c>
      <c r="D19" s="29" t="n">
        <v>73862</v>
      </c>
      <c r="E19" s="29" t="n">
        <v>0</v>
      </c>
      <c r="F19" s="15" t="n">
        <v>0</v>
      </c>
      <c r="G19" s="29" t="n">
        <f aca="false">1789210-500000-500000-71799</f>
        <v>717411</v>
      </c>
      <c r="H19" s="29" t="n">
        <v>0</v>
      </c>
      <c r="I19" s="29" t="n">
        <v>379197</v>
      </c>
      <c r="J19" s="29" t="n">
        <v>353836</v>
      </c>
      <c r="K19" s="29" t="n">
        <v>91393</v>
      </c>
      <c r="L19" s="29" t="n">
        <v>52976</v>
      </c>
      <c r="M19" s="29" t="n">
        <v>5188</v>
      </c>
      <c r="N19" s="29" t="n">
        <v>133605</v>
      </c>
      <c r="O19" s="1" t="n">
        <v>165021</v>
      </c>
      <c r="P19" s="16" t="n">
        <f aca="false">SUM(C19:O19)</f>
        <v>1972489</v>
      </c>
      <c r="Q19" s="1" t="n">
        <f aca="false">+[1]Brownsville!AY139</f>
        <v>1972489.012</v>
      </c>
      <c r="R19" s="1" t="n">
        <f aca="false">+Q19-P19</f>
        <v>0.0119999998714775</v>
      </c>
    </row>
    <row r="20" customFormat="false" ht="12.75" hidden="false" customHeight="false" outlineLevel="0" collapsed="false">
      <c r="A20" s="1" t="s">
        <v>36</v>
      </c>
      <c r="C20" s="28" t="n">
        <v>0</v>
      </c>
      <c r="D20" s="29" t="n">
        <v>0</v>
      </c>
      <c r="E20" s="29" t="n">
        <v>0</v>
      </c>
      <c r="F20" s="15" t="n">
        <v>0</v>
      </c>
      <c r="G20" s="29" t="n">
        <v>0</v>
      </c>
      <c r="H20" s="29" t="n">
        <v>121528</v>
      </c>
      <c r="I20" s="29" t="n">
        <v>58914</v>
      </c>
      <c r="J20" s="29" t="n">
        <v>47610</v>
      </c>
      <c r="K20" s="1" t="n">
        <v>0</v>
      </c>
      <c r="L20" s="29" t="n">
        <v>0</v>
      </c>
      <c r="M20" s="29" t="n">
        <v>0</v>
      </c>
      <c r="N20" s="29" t="n">
        <v>0</v>
      </c>
      <c r="O20" s="1" t="n">
        <v>-1</v>
      </c>
      <c r="P20" s="16" t="n">
        <f aca="false">SUM(C20:O20)</f>
        <v>228051</v>
      </c>
      <c r="Q20" s="1" t="n">
        <f aca="false">+[1]Brownsville!AY194</f>
        <v>228051.11</v>
      </c>
      <c r="R20" s="1" t="n">
        <f aca="false">+Q20-P20</f>
        <v>0.10999999998603</v>
      </c>
    </row>
    <row r="21" customFormat="false" ht="12.75" hidden="false" customHeight="false" outlineLevel="0" collapsed="false">
      <c r="A21" s="1" t="s">
        <v>37</v>
      </c>
      <c r="C21" s="28" t="n">
        <v>0</v>
      </c>
      <c r="D21" s="29" t="n">
        <v>0</v>
      </c>
      <c r="E21" s="29" t="n">
        <v>5853</v>
      </c>
      <c r="F21" s="15" t="n">
        <v>0</v>
      </c>
      <c r="G21" s="29" t="n">
        <v>27412</v>
      </c>
      <c r="H21" s="29" t="n">
        <v>0</v>
      </c>
      <c r="I21" s="29" t="n">
        <v>0</v>
      </c>
      <c r="J21" s="29" t="n">
        <v>0</v>
      </c>
      <c r="K21" s="1" t="n">
        <v>0</v>
      </c>
      <c r="L21" s="29" t="n">
        <v>0</v>
      </c>
      <c r="M21" s="29" t="n">
        <v>0</v>
      </c>
      <c r="N21" s="29" t="n">
        <v>0</v>
      </c>
      <c r="O21" s="1" t="n">
        <v>192684</v>
      </c>
      <c r="P21" s="16" t="n">
        <f aca="false">SUM(C21:O21)</f>
        <v>225949</v>
      </c>
      <c r="Q21" s="1" t="n">
        <f aca="false">+[1]Brownsville!AY141</f>
        <v>225949</v>
      </c>
      <c r="R21" s="1" t="n">
        <f aca="false">+Q21-P21</f>
        <v>0</v>
      </c>
    </row>
    <row r="22" customFormat="false" ht="12.75" hidden="false" customHeight="false" outlineLevel="0" collapsed="false">
      <c r="A22" s="1" t="s">
        <v>70</v>
      </c>
      <c r="C22" s="28" t="n">
        <f aca="false">67487+2450-1</f>
        <v>69936</v>
      </c>
      <c r="D22" s="29" t="n">
        <v>0</v>
      </c>
      <c r="E22" s="29" t="n">
        <v>0</v>
      </c>
      <c r="F22" s="15" t="n">
        <v>0</v>
      </c>
      <c r="G22" s="29" t="n">
        <v>0</v>
      </c>
      <c r="H22" s="29" t="n">
        <v>0</v>
      </c>
      <c r="I22" s="29" t="n">
        <v>0</v>
      </c>
      <c r="J22" s="29" t="n">
        <v>0</v>
      </c>
      <c r="K22" s="1" t="n">
        <v>0</v>
      </c>
      <c r="L22" s="29" t="n">
        <v>0</v>
      </c>
      <c r="M22" s="29" t="n">
        <v>0</v>
      </c>
      <c r="N22" s="29" t="n">
        <v>0</v>
      </c>
      <c r="O22" s="1" t="n">
        <v>1</v>
      </c>
      <c r="P22" s="16" t="n">
        <f aca="false">SUM(C22:O22)</f>
        <v>69937</v>
      </c>
      <c r="Q22" s="1" t="n">
        <f aca="false">+[1]Brownsville!AY161</f>
        <v>69937</v>
      </c>
      <c r="R22" s="1" t="n">
        <f aca="false">+Q22-P22</f>
        <v>0</v>
      </c>
    </row>
    <row r="23" customFormat="false" ht="12.75" hidden="false" customHeight="false" outlineLevel="0" collapsed="false">
      <c r="A23" s="1" t="s">
        <v>38</v>
      </c>
      <c r="C23" s="28" t="n">
        <v>0</v>
      </c>
      <c r="D23" s="29" t="n">
        <v>117600</v>
      </c>
      <c r="E23" s="29" t="n">
        <v>0</v>
      </c>
      <c r="F23" s="15" t="n">
        <v>0</v>
      </c>
      <c r="G23" s="29" t="n">
        <v>0</v>
      </c>
      <c r="H23" s="29" t="n">
        <v>0</v>
      </c>
      <c r="I23" s="29" t="n">
        <v>0</v>
      </c>
      <c r="J23" s="29" t="n">
        <v>14699</v>
      </c>
      <c r="K23" s="1" t="n">
        <v>0</v>
      </c>
      <c r="L23" s="29" t="n">
        <v>22048</v>
      </c>
      <c r="M23" s="29" t="n">
        <v>0</v>
      </c>
      <c r="N23" s="29" t="n">
        <v>0</v>
      </c>
      <c r="O23" s="1" t="n">
        <v>10001</v>
      </c>
      <c r="P23" s="16" t="n">
        <f aca="false">SUM(C23:O23)</f>
        <v>164348</v>
      </c>
      <c r="Q23" s="1" t="n">
        <f aca="false">+[1]Brownsville!AY143</f>
        <v>164348</v>
      </c>
      <c r="R23" s="1" t="n">
        <f aca="false">+Q23-P23</f>
        <v>0</v>
      </c>
    </row>
    <row r="24" customFormat="false" ht="12.75" hidden="false" customHeight="false" outlineLevel="0" collapsed="false">
      <c r="A24" s="1" t="s">
        <v>39</v>
      </c>
      <c r="C24" s="28" t="n">
        <v>0</v>
      </c>
      <c r="D24" s="29" t="n">
        <v>0</v>
      </c>
      <c r="E24" s="29" t="n">
        <v>5869</v>
      </c>
      <c r="F24" s="15" t="n">
        <v>0</v>
      </c>
      <c r="G24" s="29" t="n">
        <f aca="false">12000-7724</f>
        <v>4276</v>
      </c>
      <c r="H24" s="29" t="n">
        <v>14353</v>
      </c>
      <c r="I24" s="29" t="n">
        <v>6434</v>
      </c>
      <c r="J24" s="29" t="n">
        <v>4128</v>
      </c>
      <c r="K24" s="1" t="n">
        <v>0</v>
      </c>
      <c r="L24" s="29" t="n">
        <v>0</v>
      </c>
      <c r="M24" s="29" t="n">
        <v>0</v>
      </c>
      <c r="N24" s="29" t="n">
        <v>0</v>
      </c>
      <c r="O24" s="1" t="n">
        <v>0</v>
      </c>
      <c r="P24" s="16" t="n">
        <f aca="false">SUM(C24:O24)</f>
        <v>35060</v>
      </c>
      <c r="Q24" s="1" t="n">
        <f aca="false">+[1]Brownsville!AY145</f>
        <v>35060.42</v>
      </c>
      <c r="R24" s="1" t="n">
        <f aca="false">+Q24-P24</f>
        <v>0.419999999998254</v>
      </c>
    </row>
    <row r="25" customFormat="false" ht="12.75" hidden="false" customHeight="false" outlineLevel="0" collapsed="false">
      <c r="A25" s="1" t="s">
        <v>40</v>
      </c>
      <c r="C25" s="28" t="n">
        <v>200157</v>
      </c>
      <c r="D25" s="29" t="n">
        <v>3386</v>
      </c>
      <c r="E25" s="29" t="n">
        <f aca="false">3357+1055</f>
        <v>4412</v>
      </c>
      <c r="F25" s="29" t="n">
        <v>-19953</v>
      </c>
      <c r="G25" s="29" t="n">
        <f aca="false">19953-16439</f>
        <v>3514</v>
      </c>
      <c r="H25" s="29" t="n">
        <v>147966</v>
      </c>
      <c r="I25" s="29" t="n">
        <v>41583</v>
      </c>
      <c r="J25" s="29" t="n">
        <v>64584</v>
      </c>
      <c r="K25" s="29" t="n">
        <v>77226</v>
      </c>
      <c r="L25" s="29" t="n">
        <v>25706</v>
      </c>
      <c r="M25" s="29" t="n">
        <f aca="false">3271+1</f>
        <v>3272</v>
      </c>
      <c r="N25" s="29" t="n">
        <v>3463</v>
      </c>
      <c r="O25" s="1" t="n">
        <v>-1</v>
      </c>
      <c r="P25" s="16" t="n">
        <f aca="false">SUM(C25:O25)</f>
        <v>555315</v>
      </c>
      <c r="Q25" s="1" t="n">
        <f aca="false">+[1]Brownsville!AY179</f>
        <v>555315.14</v>
      </c>
      <c r="R25" s="1" t="n">
        <f aca="false">+Q25-P25</f>
        <v>0.140000000130385</v>
      </c>
    </row>
    <row r="26" customFormat="false" ht="12.75" hidden="false" customHeight="false" outlineLevel="0" collapsed="false">
      <c r="A26" s="1" t="s">
        <v>41</v>
      </c>
      <c r="C26" s="28" t="n">
        <f aca="false">181515</f>
        <v>181515</v>
      </c>
      <c r="D26" s="29" t="n">
        <v>5254</v>
      </c>
      <c r="E26" s="29" t="n">
        <f aca="false">2145+126458</f>
        <v>128603</v>
      </c>
      <c r="F26" s="15" t="n">
        <v>0</v>
      </c>
      <c r="G26" s="29" t="n">
        <v>3491</v>
      </c>
      <c r="H26" s="29" t="n">
        <f aca="false">265296+1</f>
        <v>265297</v>
      </c>
      <c r="I26" s="29" t="n">
        <v>0</v>
      </c>
      <c r="J26" s="29" t="n">
        <v>27841</v>
      </c>
      <c r="K26" s="1" t="n">
        <v>0</v>
      </c>
      <c r="L26" s="29" t="n">
        <v>146514</v>
      </c>
      <c r="M26" s="29" t="n">
        <v>7904</v>
      </c>
      <c r="N26" s="29" t="n">
        <v>0</v>
      </c>
      <c r="O26" s="1" t="n">
        <v>-2</v>
      </c>
      <c r="P26" s="16" t="n">
        <f aca="false">SUM(C26:O26)</f>
        <v>766417</v>
      </c>
      <c r="Q26" s="1" t="n">
        <f aca="false">+[1]Brownsville!AY192</f>
        <v>766416.75</v>
      </c>
      <c r="R26" s="1" t="n">
        <f aca="false">+Q26-P26</f>
        <v>-0.25</v>
      </c>
    </row>
    <row r="27" customFormat="false" ht="12.75" hidden="false" customHeight="false" outlineLevel="0" collapsed="false">
      <c r="A27" s="1" t="s">
        <v>79</v>
      </c>
      <c r="C27" s="28" t="n">
        <v>0</v>
      </c>
      <c r="D27" s="29" t="n">
        <v>0</v>
      </c>
      <c r="E27" s="29" t="n">
        <v>0</v>
      </c>
      <c r="F27" s="15" t="n">
        <v>0</v>
      </c>
      <c r="G27" s="29" t="n">
        <v>0</v>
      </c>
      <c r="H27" s="29" t="n">
        <v>0</v>
      </c>
      <c r="I27" s="29"/>
      <c r="J27" s="29"/>
      <c r="K27" s="29" t="n">
        <f aca="false">+J27</f>
        <v>0</v>
      </c>
      <c r="L27" s="29" t="n">
        <v>0</v>
      </c>
      <c r="M27" s="29" t="n">
        <v>0</v>
      </c>
      <c r="N27" s="29" t="n">
        <v>0</v>
      </c>
      <c r="O27" s="1" t="n">
        <v>0</v>
      </c>
      <c r="P27" s="16" t="n">
        <f aca="false">SUM(C27:O27)</f>
        <v>0</v>
      </c>
    </row>
    <row r="28" customFormat="false" ht="12.75" hidden="false" customHeight="false" outlineLevel="0" collapsed="false">
      <c r="A28" s="1" t="s">
        <v>42</v>
      </c>
      <c r="C28" s="30" t="n">
        <f aca="false">SUM(C10:C27)</f>
        <v>64632925</v>
      </c>
      <c r="D28" s="30" t="n">
        <f aca="false">SUM(D10:D27)</f>
        <v>6328265</v>
      </c>
      <c r="E28" s="30" t="n">
        <f aca="false">SUM(E10:E27)</f>
        <v>5731798</v>
      </c>
      <c r="F28" s="30" t="n">
        <f aca="false">SUM(F10:F27)</f>
        <v>7413605</v>
      </c>
      <c r="G28" s="30" t="n">
        <f aca="false">SUM(G10:G27)</f>
        <v>3905331</v>
      </c>
      <c r="H28" s="30" t="n">
        <f aca="false">SUM(H10:H27)</f>
        <v>6641389</v>
      </c>
      <c r="I28" s="30" t="n">
        <f aca="false">SUM(I10:I27)</f>
        <v>6909970</v>
      </c>
      <c r="J28" s="30" t="n">
        <f aca="false">SUM(J10:J27)</f>
        <v>5891168</v>
      </c>
      <c r="K28" s="30" t="n">
        <f aca="false">SUM(K10:K27)</f>
        <v>8322322</v>
      </c>
      <c r="L28" s="30" t="n">
        <f aca="false">SUM(L10:L27)</f>
        <v>1674349</v>
      </c>
      <c r="M28" s="30" t="n">
        <f aca="false">SUM(M10:M27)</f>
        <v>1930064</v>
      </c>
      <c r="N28" s="30" t="n">
        <f aca="false">SUM(N10:N27)</f>
        <v>467681</v>
      </c>
      <c r="O28" s="18" t="n">
        <f aca="false">SUM(O10:O27)</f>
        <v>2690424</v>
      </c>
      <c r="P28" s="19" t="n">
        <f aca="false">SUM(C28:O28)</f>
        <v>122539291</v>
      </c>
    </row>
    <row r="29" customFormat="false" ht="12.75" hidden="false" customHeight="false" outlineLevel="0" collapsed="false">
      <c r="A29" s="1" t="s">
        <v>43</v>
      </c>
      <c r="C29" s="30" t="n">
        <f aca="false">+C28</f>
        <v>64632925</v>
      </c>
      <c r="D29" s="30" t="n">
        <f aca="false">+C29+D28</f>
        <v>70961190</v>
      </c>
      <c r="E29" s="30" t="n">
        <f aca="false">+D29+E28</f>
        <v>76692988</v>
      </c>
      <c r="F29" s="30" t="n">
        <f aca="false">+E29+F28</f>
        <v>84106593</v>
      </c>
      <c r="G29" s="30" t="n">
        <f aca="false">+F29+G28</f>
        <v>88011924</v>
      </c>
      <c r="H29" s="30" t="n">
        <f aca="false">+G29+H28</f>
        <v>94653313</v>
      </c>
      <c r="I29" s="30" t="n">
        <f aca="false">+H29+I28</f>
        <v>101563283</v>
      </c>
      <c r="J29" s="30" t="n">
        <f aca="false">+I29+J28</f>
        <v>107454451</v>
      </c>
      <c r="K29" s="30" t="n">
        <f aca="false">+J29+K28</f>
        <v>115776773</v>
      </c>
      <c r="L29" s="30" t="n">
        <f aca="false">+K29+L28</f>
        <v>117451122</v>
      </c>
      <c r="M29" s="30" t="n">
        <f aca="false">+L29+M28</f>
        <v>119381186</v>
      </c>
      <c r="N29" s="30" t="n">
        <f aca="false">+M29+N28</f>
        <v>119848867</v>
      </c>
      <c r="O29" s="18" t="n">
        <f aca="false">+N29+O28</f>
        <v>122539291</v>
      </c>
      <c r="P29" s="20"/>
    </row>
    <row r="30" customFormat="false" ht="12.75" hidden="false" customHeight="false" outlineLevel="0" collapsed="false">
      <c r="A30" s="1" t="s">
        <v>44</v>
      </c>
      <c r="C30" s="28"/>
      <c r="D30" s="29"/>
      <c r="E30" s="29"/>
      <c r="F30" s="15"/>
      <c r="G30" s="29"/>
      <c r="H30" s="29"/>
      <c r="I30" s="29"/>
      <c r="J30" s="29"/>
      <c r="K30" s="29"/>
      <c r="L30" s="29"/>
      <c r="M30" s="29"/>
      <c r="N30" s="29"/>
      <c r="P30" s="21" t="n">
        <f aca="false">+P28/C59/1000</f>
        <v>267.553037117904</v>
      </c>
    </row>
    <row r="31" customFormat="false" ht="12.75" hidden="false" customHeight="false" outlineLevel="0" collapsed="false">
      <c r="C31" s="28"/>
      <c r="D31" s="29"/>
      <c r="E31" s="29"/>
      <c r="F31" s="15"/>
      <c r="G31" s="29"/>
      <c r="H31" s="29"/>
      <c r="I31" s="29"/>
      <c r="J31" s="29"/>
      <c r="K31" s="29"/>
      <c r="L31" s="29"/>
      <c r="M31" s="29"/>
      <c r="N31" s="29"/>
      <c r="P31" s="16"/>
    </row>
    <row r="32" customFormat="false" ht="12.75" hidden="false" customHeight="false" outlineLevel="0" collapsed="false">
      <c r="A32" s="1" t="s">
        <v>45</v>
      </c>
      <c r="C32" s="29" t="n">
        <f aca="false">806147+1245945+32657</f>
        <v>2084749</v>
      </c>
      <c r="D32" s="29" t="n">
        <f aca="false">39185+401814+1</f>
        <v>441000</v>
      </c>
      <c r="E32" s="29" t="n">
        <f aca="false">SUM($C48:D48)*E57/360*30</f>
        <v>374381.8295876</v>
      </c>
      <c r="F32" s="29" t="n">
        <f aca="false">SUM($C48:E48)*F57/360*28</f>
        <v>391590.457223677</v>
      </c>
      <c r="G32" s="29" t="n">
        <f aca="false">SUM($C48:F48)*G57/360*33</f>
        <v>467674.292427375</v>
      </c>
      <c r="H32" s="29" t="n">
        <v>256005</v>
      </c>
      <c r="I32" s="29" t="n">
        <f aca="false">559857+123417</f>
        <v>683274</v>
      </c>
      <c r="J32" s="29" t="n">
        <v>598297</v>
      </c>
      <c r="K32" s="29" t="n">
        <v>-598297</v>
      </c>
      <c r="L32" s="29" t="n">
        <v>-290628</v>
      </c>
      <c r="M32" s="29" t="n">
        <v>0</v>
      </c>
      <c r="N32" s="29" t="n">
        <v>0</v>
      </c>
      <c r="O32" s="1" t="n">
        <v>0</v>
      </c>
      <c r="P32" s="16" t="n">
        <f aca="false">SUM(C32:O32)</f>
        <v>4408046.57923865</v>
      </c>
      <c r="Q32" s="1" t="n">
        <f aca="false">+[1]Brownsville!AY147</f>
        <v>4408047</v>
      </c>
      <c r="R32" s="1" t="n">
        <f aca="false">+Q32-P32</f>
        <v>0.420761347748339</v>
      </c>
    </row>
    <row r="33" customFormat="false" ht="12.75" hidden="false" customHeight="false" outlineLevel="0" collapsed="false">
      <c r="A33" s="1" t="s">
        <v>80</v>
      </c>
      <c r="C33" s="29"/>
      <c r="D33" s="29"/>
      <c r="E33" s="29"/>
      <c r="F33" s="29"/>
      <c r="G33" s="29" t="n">
        <f aca="false">-125689+1725</f>
        <v>-123964</v>
      </c>
      <c r="H33" s="29"/>
      <c r="I33" s="29"/>
      <c r="J33" s="29"/>
      <c r="K33" s="29"/>
      <c r="L33" s="29"/>
      <c r="M33" s="29"/>
      <c r="N33" s="29"/>
      <c r="P33" s="16" t="n">
        <f aca="false">SUM(C33:O33)</f>
        <v>-123964</v>
      </c>
      <c r="Q33" s="1" t="n">
        <f aca="false">+[1]Brownsville!AY148</f>
        <v>-123964</v>
      </c>
      <c r="R33" s="1" t="n">
        <f aca="false">+Q33-P33</f>
        <v>0</v>
      </c>
    </row>
    <row r="34" customFormat="false" ht="12.75" hidden="false" customHeight="false" outlineLevel="0" collapsed="false">
      <c r="A34" s="1" t="s">
        <v>81</v>
      </c>
      <c r="C34" s="29" t="n">
        <v>0</v>
      </c>
      <c r="D34" s="29" t="n">
        <v>6251.012125</v>
      </c>
      <c r="E34" s="29" t="n">
        <v>5254.994</v>
      </c>
      <c r="F34" s="29" t="n">
        <v>4060.875125</v>
      </c>
      <c r="G34" s="29" t="n">
        <v>3911.41875</v>
      </c>
      <c r="H34" s="29" t="n">
        <v>3727</v>
      </c>
      <c r="I34" s="29"/>
      <c r="J34" s="29"/>
      <c r="K34" s="29"/>
      <c r="L34" s="29" t="n">
        <v>0</v>
      </c>
      <c r="M34" s="29"/>
      <c r="N34" s="29" t="n">
        <v>0</v>
      </c>
      <c r="O34" s="15" t="n">
        <v>0</v>
      </c>
      <c r="P34" s="16" t="n">
        <f aca="false">SUM(C34:O34)</f>
        <v>23205.3</v>
      </c>
      <c r="Q34" s="1" t="n">
        <f aca="false">+[1]Brownsville!AY149</f>
        <v>23205.3</v>
      </c>
      <c r="R34" s="1" t="n">
        <f aca="false">+Q34-P34</f>
        <v>0</v>
      </c>
    </row>
    <row r="35" customFormat="false" ht="12.75" hidden="false" customHeight="false" outlineLevel="0" collapsed="false">
      <c r="A35" s="1" t="s">
        <v>46</v>
      </c>
      <c r="C35" s="29" t="n">
        <v>68386</v>
      </c>
      <c r="D35" s="29" t="n">
        <v>761038</v>
      </c>
      <c r="E35" s="29" t="n">
        <v>0</v>
      </c>
      <c r="F35" s="29" t="n">
        <v>0</v>
      </c>
      <c r="G35" s="29" t="n">
        <f aca="false">100000-100000</f>
        <v>0</v>
      </c>
      <c r="H35" s="29" t="n">
        <v>83333</v>
      </c>
      <c r="I35" s="29" t="n">
        <v>0</v>
      </c>
      <c r="J35" s="29"/>
      <c r="K35" s="29"/>
      <c r="L35" s="29"/>
      <c r="M35" s="29"/>
      <c r="N35" s="29" t="n">
        <v>83333</v>
      </c>
      <c r="O35" s="1" t="n">
        <v>107680</v>
      </c>
      <c r="P35" s="16" t="n">
        <f aca="false">SUM(C35:O35)</f>
        <v>1103770</v>
      </c>
      <c r="Q35" s="1" t="n">
        <f aca="false">+[1]Brownsville!AY159</f>
        <v>1103769.72333333</v>
      </c>
      <c r="R35" s="1" t="n">
        <f aca="false">+Q35-P35</f>
        <v>-0.276666666613892</v>
      </c>
    </row>
    <row r="36" customFormat="false" ht="12.75" hidden="false" customHeight="false" outlineLevel="0" collapsed="false">
      <c r="A36" s="1" t="s">
        <v>82</v>
      </c>
      <c r="C36" s="29" t="n">
        <v>0</v>
      </c>
      <c r="D36" s="29"/>
      <c r="E36" s="29"/>
      <c r="F36" s="29"/>
      <c r="G36" s="29" t="n">
        <v>2666</v>
      </c>
      <c r="H36" s="29" t="n">
        <v>-18334</v>
      </c>
      <c r="I36" s="29"/>
      <c r="J36" s="29"/>
      <c r="K36" s="29"/>
      <c r="L36" s="29"/>
      <c r="M36" s="29"/>
      <c r="N36" s="29"/>
      <c r="P36" s="16" t="n">
        <f aca="false">SUM(C36:O36)</f>
        <v>-15668</v>
      </c>
      <c r="Q36" s="1" t="n">
        <f aca="false">+[1]Brownsville!AY150</f>
        <v>-15667.94</v>
      </c>
      <c r="R36" s="1" t="n">
        <f aca="false">+Q36-P36</f>
        <v>0.0600000000013097</v>
      </c>
    </row>
    <row r="37" customFormat="false" ht="12.75" hidden="false" customHeight="false" outlineLevel="0" collapsed="false">
      <c r="A37" s="1" t="s">
        <v>83</v>
      </c>
      <c r="C37" s="28" t="n"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P37" s="16" t="n">
        <f aca="false">SUM(C37:O37)</f>
        <v>0</v>
      </c>
    </row>
    <row r="38" customFormat="false" ht="12.75" hidden="false" customHeight="false" outlineLevel="0" collapsed="false">
      <c r="A38" s="1" t="s">
        <v>49</v>
      </c>
      <c r="C38" s="30" t="n">
        <f aca="false">SUM(C32:C37)</f>
        <v>2153135</v>
      </c>
      <c r="D38" s="30" t="n">
        <f aca="false">SUM(D32:D37)</f>
        <v>1208289.012125</v>
      </c>
      <c r="E38" s="30" t="n">
        <f aca="false">SUM(E32:E37)</f>
        <v>379636.8235876</v>
      </c>
      <c r="F38" s="30" t="n">
        <f aca="false">SUM(F32:F37)</f>
        <v>395651.332348677</v>
      </c>
      <c r="G38" s="30" t="n">
        <f aca="false">SUM(G32:G37)</f>
        <v>350287.711177375</v>
      </c>
      <c r="H38" s="30" t="n">
        <f aca="false">SUM(H32:H37)</f>
        <v>324731</v>
      </c>
      <c r="I38" s="30" t="n">
        <f aca="false">SUM(I32:I37)</f>
        <v>683274</v>
      </c>
      <c r="J38" s="30" t="n">
        <f aca="false">SUM(J32:J37)</f>
        <v>598297</v>
      </c>
      <c r="K38" s="30" t="n">
        <f aca="false">SUM(K32:K37)</f>
        <v>-598297</v>
      </c>
      <c r="L38" s="30" t="n">
        <f aca="false">SUM(L32:L37)</f>
        <v>-290628</v>
      </c>
      <c r="M38" s="30" t="n">
        <f aca="false">SUM(M32:M37)</f>
        <v>0</v>
      </c>
      <c r="N38" s="30" t="n">
        <f aca="false">SUM(N32:N37)</f>
        <v>83333</v>
      </c>
      <c r="O38" s="18" t="n">
        <f aca="false">SUM(O32:O37)</f>
        <v>107680</v>
      </c>
      <c r="P38" s="19" t="n">
        <f aca="false">SUM(C38:O38)</f>
        <v>5395389.87923865</v>
      </c>
    </row>
    <row r="39" customFormat="false" ht="12.75" hidden="false" customHeight="false" outlineLevel="0" collapsed="false">
      <c r="A39" s="1" t="s">
        <v>50</v>
      </c>
      <c r="C39" s="30" t="n">
        <f aca="false">+C38</f>
        <v>2153135</v>
      </c>
      <c r="D39" s="30" t="n">
        <f aca="false">+D38+C39</f>
        <v>3361424.012125</v>
      </c>
      <c r="E39" s="30" t="n">
        <f aca="false">+E38+D39</f>
        <v>3741060.8357126</v>
      </c>
      <c r="F39" s="30" t="n">
        <f aca="false">+F38+E39</f>
        <v>4136712.16806128</v>
      </c>
      <c r="G39" s="30" t="n">
        <f aca="false">+G38+F39</f>
        <v>4486999.87923865</v>
      </c>
      <c r="H39" s="30" t="n">
        <f aca="false">+H38+G39</f>
        <v>4811730.87923865</v>
      </c>
      <c r="I39" s="30" t="n">
        <f aca="false">+I38+H39</f>
        <v>5495004.87923865</v>
      </c>
      <c r="J39" s="30" t="n">
        <f aca="false">+J38+I39</f>
        <v>6093301.87923865</v>
      </c>
      <c r="K39" s="30" t="n">
        <f aca="false">+K38+J39</f>
        <v>5495004.87923865</v>
      </c>
      <c r="L39" s="30" t="n">
        <f aca="false">+L38+K39</f>
        <v>5204376.87923865</v>
      </c>
      <c r="M39" s="30" t="n">
        <f aca="false">+M38+L39</f>
        <v>5204376.87923865</v>
      </c>
      <c r="N39" s="30" t="n">
        <f aca="false">+N38+M39</f>
        <v>5287709.87923865</v>
      </c>
      <c r="O39" s="18" t="n">
        <f aca="false">+O38+N39</f>
        <v>5395389.87923865</v>
      </c>
      <c r="P39" s="16"/>
    </row>
    <row r="40" customFormat="false" ht="12.75" hidden="false" customHeight="false" outlineLevel="0" collapsed="false">
      <c r="C40" s="28"/>
      <c r="D40" s="29"/>
      <c r="E40" s="29"/>
      <c r="G40" s="29"/>
      <c r="H40" s="29"/>
      <c r="I40" s="29"/>
      <c r="J40" s="29"/>
      <c r="K40" s="29"/>
      <c r="L40" s="29"/>
      <c r="M40" s="29"/>
      <c r="N40" s="29"/>
      <c r="P40" s="16"/>
    </row>
    <row r="41" customFormat="false" ht="12.75" hidden="false" customHeight="false" outlineLevel="0" collapsed="false">
      <c r="A41" s="2" t="s">
        <v>84</v>
      </c>
      <c r="B41" s="2"/>
      <c r="C41" s="28" t="n">
        <f aca="false">+C28+C38</f>
        <v>66786060</v>
      </c>
      <c r="D41" s="28" t="n">
        <f aca="false">+D28+D38</f>
        <v>7536554.012125</v>
      </c>
      <c r="E41" s="28" t="n">
        <f aca="false">+E28+E38</f>
        <v>6111434.8235876</v>
      </c>
      <c r="F41" s="28" t="n">
        <f aca="false">+F28+F38</f>
        <v>7809256.33234868</v>
      </c>
      <c r="G41" s="28" t="n">
        <f aca="false">+G28+G38</f>
        <v>4255618.71117738</v>
      </c>
      <c r="H41" s="28" t="n">
        <f aca="false">+H28+H38</f>
        <v>6966120</v>
      </c>
      <c r="I41" s="28" t="n">
        <f aca="false">+I28+I38</f>
        <v>7593244</v>
      </c>
      <c r="J41" s="28" t="n">
        <f aca="false">+J28+J38</f>
        <v>6489465</v>
      </c>
      <c r="K41" s="28" t="n">
        <f aca="false">+K28+K38</f>
        <v>7724025</v>
      </c>
      <c r="L41" s="28" t="n">
        <f aca="false">+L28+L38</f>
        <v>1383721</v>
      </c>
      <c r="M41" s="28" t="n">
        <f aca="false">+M28+M38</f>
        <v>1930064</v>
      </c>
      <c r="N41" s="28" t="n">
        <f aca="false">+N28+N38</f>
        <v>551014</v>
      </c>
      <c r="O41" s="2" t="n">
        <f aca="false">+O28+O38</f>
        <v>2798104</v>
      </c>
      <c r="P41" s="16" t="n">
        <f aca="false">SUM(C41:O41)</f>
        <v>127934680.879239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2" t="s">
        <v>52</v>
      </c>
      <c r="B42" s="2"/>
      <c r="C42" s="28" t="n">
        <f aca="false">C41</f>
        <v>66786060</v>
      </c>
      <c r="D42" s="28" t="n">
        <f aca="false">C42+D41</f>
        <v>74322614.012125</v>
      </c>
      <c r="E42" s="28" t="n">
        <f aca="false">D42+E41</f>
        <v>80434048.8357126</v>
      </c>
      <c r="F42" s="28" t="n">
        <f aca="false">E42+F41</f>
        <v>88243305.1680613</v>
      </c>
      <c r="G42" s="28" t="n">
        <f aca="false">F42+G41</f>
        <v>92498923.8792387</v>
      </c>
      <c r="H42" s="28" t="n">
        <f aca="false">G42+H41</f>
        <v>99465043.8792387</v>
      </c>
      <c r="I42" s="28" t="n">
        <f aca="false">H42+I41</f>
        <v>107058287.879239</v>
      </c>
      <c r="J42" s="28" t="n">
        <f aca="false">I42+J41</f>
        <v>113547752.879239</v>
      </c>
      <c r="K42" s="28" t="n">
        <f aca="false">J42+K41</f>
        <v>121271777.879239</v>
      </c>
      <c r="L42" s="28" t="n">
        <f aca="false">K42+L41</f>
        <v>122655498.879239</v>
      </c>
      <c r="M42" s="28" t="n">
        <f aca="false">L42+M41</f>
        <v>124585562.879239</v>
      </c>
      <c r="N42" s="28" t="n">
        <f aca="false">M42+N41</f>
        <v>125136576.879239</v>
      </c>
      <c r="O42" s="2" t="n">
        <f aca="false">N42+O41</f>
        <v>127934680.879239</v>
      </c>
      <c r="P42" s="16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12.75" hidden="false" customHeight="false" outlineLevel="0" collapsed="false">
      <c r="A43" s="1" t="s">
        <v>44</v>
      </c>
      <c r="B43" s="2"/>
      <c r="C43" s="28"/>
      <c r="D43" s="28"/>
      <c r="E43" s="28"/>
      <c r="F43" s="2"/>
      <c r="G43" s="28"/>
      <c r="H43" s="28"/>
      <c r="I43" s="28"/>
      <c r="J43" s="28"/>
      <c r="K43" s="28"/>
      <c r="L43" s="28"/>
      <c r="M43" s="28"/>
      <c r="N43" s="28"/>
      <c r="O43" s="2"/>
      <c r="P43" s="21" t="n">
        <f aca="false">+P41/C59/1000</f>
        <v>279.33336436515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12.75" hidden="false" customHeight="false" outlineLevel="0" collapsed="false">
      <c r="C44" s="28"/>
      <c r="D44" s="29"/>
      <c r="E44" s="29"/>
      <c r="G44" s="29"/>
      <c r="H44" s="29"/>
      <c r="I44" s="29"/>
      <c r="J44" s="29"/>
      <c r="K44" s="29"/>
      <c r="L44" s="29"/>
      <c r="M44" s="29"/>
      <c r="N44" s="29"/>
      <c r="P44" s="16"/>
    </row>
    <row r="45" customFormat="false" ht="12.75" hidden="false" customHeight="false" outlineLevel="0" collapsed="false">
      <c r="A45" s="1" t="s">
        <v>55</v>
      </c>
      <c r="C45" s="28" t="n">
        <v>0</v>
      </c>
      <c r="D45" s="29"/>
      <c r="E45" s="29"/>
      <c r="G45" s="29"/>
      <c r="H45" s="29"/>
      <c r="I45" s="29" t="n">
        <v>0</v>
      </c>
      <c r="J45" s="29"/>
      <c r="K45" s="29"/>
      <c r="L45" s="29"/>
      <c r="M45" s="29"/>
      <c r="N45" s="29"/>
      <c r="P45" s="19" t="n">
        <f aca="false">SUM(C45:O45)</f>
        <v>0</v>
      </c>
      <c r="R45" s="1" t="n">
        <f aca="false">+Q45-P45</f>
        <v>0</v>
      </c>
    </row>
    <row r="46" customFormat="false" ht="12.75" hidden="false" customHeight="false" outlineLevel="0" collapsed="false">
      <c r="A46" s="15"/>
      <c r="B46" s="2"/>
      <c r="C46" s="31"/>
      <c r="D46" s="28"/>
      <c r="E46" s="28"/>
      <c r="F46" s="2"/>
      <c r="G46" s="28"/>
      <c r="H46" s="28"/>
      <c r="I46" s="28"/>
      <c r="J46" s="28"/>
      <c r="K46" s="28"/>
      <c r="L46" s="28"/>
      <c r="M46" s="28"/>
      <c r="N46" s="28"/>
      <c r="O46" s="2"/>
      <c r="P46" s="16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1" t="s">
        <v>56</v>
      </c>
      <c r="C47" s="28" t="n">
        <f aca="false">+C41-C32</f>
        <v>64701311</v>
      </c>
      <c r="D47" s="28" t="n">
        <f aca="false">+D41-D32</f>
        <v>7095554.012125</v>
      </c>
      <c r="E47" s="28" t="n">
        <f aca="false">+E41-E32</f>
        <v>5737052.994</v>
      </c>
      <c r="F47" s="28" t="n">
        <f aca="false">+F41-F32</f>
        <v>7417665.875125</v>
      </c>
      <c r="G47" s="28" t="n">
        <f aca="false">+G41-G32</f>
        <v>3787944.41875</v>
      </c>
      <c r="H47" s="28" t="n">
        <f aca="false">+H41-H32</f>
        <v>6710115</v>
      </c>
      <c r="I47" s="28" t="n">
        <f aca="false">+I41-I32</f>
        <v>6909970</v>
      </c>
      <c r="J47" s="28" t="n">
        <f aca="false">+J41-J32</f>
        <v>5891168</v>
      </c>
      <c r="K47" s="28" t="n">
        <f aca="false">+K41-K32</f>
        <v>8322322</v>
      </c>
      <c r="L47" s="28" t="n">
        <f aca="false">ROUND(+L41-L32,0)</f>
        <v>1674349</v>
      </c>
      <c r="M47" s="28" t="n">
        <f aca="false">+M41-M32</f>
        <v>1930064</v>
      </c>
      <c r="N47" s="28" t="n">
        <f aca="false">+N41-N32</f>
        <v>551014</v>
      </c>
      <c r="O47" s="2" t="n">
        <f aca="false">+O41-O32</f>
        <v>2798104</v>
      </c>
      <c r="P47" s="16" t="n">
        <f aca="false">SUM(C47:O47)</f>
        <v>123526634.3</v>
      </c>
    </row>
    <row r="48" customFormat="false" ht="12.75" hidden="true" customHeight="false" outlineLevel="0" collapsed="false">
      <c r="A48" s="1" t="s">
        <v>85</v>
      </c>
      <c r="C48" s="32" t="n">
        <f aca="false">61516763+9309496+126459+39185</f>
        <v>70991903</v>
      </c>
      <c r="D48" s="32" t="n">
        <f aca="false">6803830+756250+401814+6251</f>
        <v>7968145</v>
      </c>
      <c r="E48" s="32" t="n">
        <f aca="false">9173314+374382+5255</f>
        <v>9552951</v>
      </c>
      <c r="F48" s="32" t="n">
        <f aca="false">800000+391590+4061</f>
        <v>1195651</v>
      </c>
      <c r="G48" s="28" t="n">
        <f aca="false">IF(+G42-F49-G47&gt;0,G42-F49-G47,250000)</f>
        <v>250000</v>
      </c>
      <c r="H48" s="28" t="n">
        <v>0</v>
      </c>
      <c r="I48" s="28" t="n">
        <v>0</v>
      </c>
      <c r="J48" s="28" t="n">
        <v>0</v>
      </c>
      <c r="K48" s="28" t="n">
        <v>0</v>
      </c>
      <c r="L48" s="28"/>
      <c r="M48" s="28"/>
      <c r="N48" s="28"/>
      <c r="O48" s="2"/>
      <c r="P48" s="16"/>
    </row>
    <row r="49" customFormat="false" ht="12.75" hidden="true" customHeight="false" outlineLevel="0" collapsed="false">
      <c r="A49" s="1" t="s">
        <v>86</v>
      </c>
      <c r="C49" s="28" t="n">
        <f aca="false">+C48</f>
        <v>70991903</v>
      </c>
      <c r="D49" s="28" t="n">
        <f aca="false">+D48+C49</f>
        <v>78960048</v>
      </c>
      <c r="E49" s="28" t="n">
        <f aca="false">+E48+D49</f>
        <v>88512999</v>
      </c>
      <c r="F49" s="28" t="n">
        <f aca="false">+F48+E49</f>
        <v>89708650</v>
      </c>
      <c r="G49" s="28" t="n">
        <f aca="false">+G48+F49</f>
        <v>89958650</v>
      </c>
      <c r="H49" s="28" t="n">
        <v>0</v>
      </c>
      <c r="I49" s="28" t="n">
        <f aca="false">+I48+H49</f>
        <v>0</v>
      </c>
      <c r="J49" s="28" t="n">
        <f aca="false">+J48+I49</f>
        <v>0</v>
      </c>
      <c r="K49" s="28" t="n">
        <f aca="false">+K48+J49</f>
        <v>0</v>
      </c>
      <c r="L49" s="28"/>
      <c r="M49" s="28"/>
      <c r="N49" s="28"/>
      <c r="O49" s="2"/>
      <c r="P49" s="16"/>
    </row>
    <row r="50" customFormat="false" ht="12.75" hidden="false" customHeight="false" outlineLevel="0" collapsed="false">
      <c r="C50" s="28"/>
      <c r="D50" s="29"/>
      <c r="E50" s="29"/>
      <c r="G50" s="29"/>
      <c r="H50" s="29"/>
      <c r="I50" s="29"/>
      <c r="J50" s="29"/>
      <c r="K50" s="29"/>
      <c r="L50" s="29"/>
      <c r="M50" s="29"/>
      <c r="N50" s="29"/>
      <c r="P50" s="16"/>
    </row>
    <row r="51" customFormat="false" ht="12.75" hidden="false" customHeight="false" outlineLevel="0" collapsed="false">
      <c r="C51" s="28"/>
      <c r="D51" s="29"/>
      <c r="E51" s="29"/>
      <c r="G51" s="29"/>
      <c r="H51" s="29"/>
      <c r="I51" s="29"/>
      <c r="J51" s="29"/>
      <c r="K51" s="29"/>
      <c r="L51" s="29"/>
      <c r="M51" s="29"/>
      <c r="N51" s="29"/>
      <c r="P51" s="16"/>
    </row>
    <row r="52" customFormat="false" ht="13.5" hidden="false" customHeight="false" outlineLevel="0" collapsed="false">
      <c r="A52" s="2" t="s">
        <v>87</v>
      </c>
      <c r="C52" s="33" t="n">
        <f aca="false">+C41</f>
        <v>66786060</v>
      </c>
      <c r="D52" s="33" t="n">
        <f aca="false">+D41</f>
        <v>7536554.012125</v>
      </c>
      <c r="E52" s="33" t="n">
        <f aca="false">+E41</f>
        <v>6111434.8235876</v>
      </c>
      <c r="F52" s="33" t="n">
        <f aca="false">+F41</f>
        <v>7809256.33234868</v>
      </c>
      <c r="G52" s="33" t="n">
        <f aca="false">+G41</f>
        <v>4255618.71117738</v>
      </c>
      <c r="H52" s="33" t="n">
        <f aca="false">+H41</f>
        <v>6966120</v>
      </c>
      <c r="I52" s="33" t="n">
        <f aca="false">+I41</f>
        <v>7593244</v>
      </c>
      <c r="J52" s="33" t="n">
        <f aca="false">+J41</f>
        <v>6489465</v>
      </c>
      <c r="K52" s="33" t="n">
        <f aca="false">+K41</f>
        <v>7724025</v>
      </c>
      <c r="L52" s="33" t="n">
        <f aca="false">+L41</f>
        <v>1383721</v>
      </c>
      <c r="M52" s="33" t="n">
        <f aca="false">+M41</f>
        <v>1930064</v>
      </c>
      <c r="N52" s="33" t="n">
        <f aca="false">+N41</f>
        <v>551014</v>
      </c>
      <c r="O52" s="33" t="n">
        <f aca="false">+O41</f>
        <v>2798104</v>
      </c>
      <c r="P52" s="34" t="n">
        <f aca="false">SUM(C52:O52)</f>
        <v>127934680.879239</v>
      </c>
      <c r="R52" s="1" t="n">
        <f aca="false">SUM(R10:R51)</f>
        <v>0.816094692872866</v>
      </c>
    </row>
    <row r="53" customFormat="false" ht="13.5" hidden="false" customHeight="false" outlineLevel="0" collapsed="false">
      <c r="A53" s="2" t="s">
        <v>88</v>
      </c>
      <c r="C53" s="35" t="n">
        <f aca="false">+C52</f>
        <v>66786060</v>
      </c>
      <c r="D53" s="35" t="n">
        <f aca="false">+D52+C53</f>
        <v>74322614.012125</v>
      </c>
      <c r="E53" s="35" t="n">
        <f aca="false">+E52+D53</f>
        <v>80434048.8357126</v>
      </c>
      <c r="F53" s="35" t="n">
        <f aca="false">+F52+E53</f>
        <v>88243305.1680613</v>
      </c>
      <c r="G53" s="35" t="n">
        <f aca="false">+G52+F53</f>
        <v>92498923.8792387</v>
      </c>
      <c r="H53" s="35" t="n">
        <f aca="false">+H52+G53</f>
        <v>99465043.8792387</v>
      </c>
      <c r="I53" s="35" t="n">
        <f aca="false">+I52+H53</f>
        <v>107058287.879239</v>
      </c>
      <c r="J53" s="35" t="n">
        <f aca="false">+J52+I53</f>
        <v>113547752.879239</v>
      </c>
      <c r="K53" s="35" t="n">
        <f aca="false">+K52+J53</f>
        <v>121271777.879239</v>
      </c>
      <c r="L53" s="35" t="n">
        <f aca="false">+L52+K53</f>
        <v>122655498.879239</v>
      </c>
      <c r="M53" s="35" t="n">
        <f aca="false">+M52+L53</f>
        <v>124585562.879239</v>
      </c>
      <c r="N53" s="35" t="n">
        <f aca="false">+N52+M53</f>
        <v>125136576.879239</v>
      </c>
      <c r="O53" s="36" t="n">
        <f aca="false">+O52+N53</f>
        <v>127934680.879239</v>
      </c>
      <c r="P53" s="16"/>
    </row>
    <row r="54" customFormat="false" ht="12.75" hidden="false" customHeight="false" outlineLevel="0" collapsed="false">
      <c r="C54" s="28"/>
      <c r="D54" s="29"/>
      <c r="E54" s="29"/>
      <c r="G54" s="29"/>
      <c r="H54" s="29"/>
      <c r="I54" s="29"/>
      <c r="J54" s="29"/>
      <c r="K54" s="29"/>
      <c r="L54" s="29"/>
      <c r="M54" s="29"/>
      <c r="N54" s="29"/>
      <c r="P54" s="37"/>
    </row>
    <row r="55" customFormat="false" ht="13.5" hidden="false" customHeight="false" outlineLevel="0" collapsed="false">
      <c r="A55" s="2" t="s">
        <v>89</v>
      </c>
      <c r="C55" s="33" t="n">
        <f aca="false">+C52+C45</f>
        <v>66786060</v>
      </c>
      <c r="D55" s="33" t="n">
        <f aca="false">+D52+D45</f>
        <v>7536554.012125</v>
      </c>
      <c r="E55" s="33" t="n">
        <f aca="false">+E52+E45</f>
        <v>6111434.8235876</v>
      </c>
      <c r="F55" s="33" t="n">
        <f aca="false">+F52+F45</f>
        <v>7809256.33234868</v>
      </c>
      <c r="G55" s="33" t="n">
        <f aca="false">+G52+G45</f>
        <v>4255618.71117738</v>
      </c>
      <c r="H55" s="33" t="n">
        <f aca="false">+H52+H45</f>
        <v>6966120</v>
      </c>
      <c r="I55" s="33" t="n">
        <f aca="false">+I52+I45</f>
        <v>7593244</v>
      </c>
      <c r="J55" s="33" t="n">
        <f aca="false">+J52+J45</f>
        <v>6489465</v>
      </c>
      <c r="K55" s="33" t="n">
        <f aca="false">+K52+K45+2</f>
        <v>7724027</v>
      </c>
      <c r="L55" s="33" t="n">
        <f aca="false">+L52+L45</f>
        <v>1383721</v>
      </c>
      <c r="M55" s="33" t="n">
        <f aca="false">+M52+M45</f>
        <v>1930064</v>
      </c>
      <c r="N55" s="33" t="n">
        <f aca="false">+N52+N45</f>
        <v>551014</v>
      </c>
      <c r="O55" s="38" t="n">
        <f aca="false">+O52+O45</f>
        <v>2798104</v>
      </c>
      <c r="P55" s="34" t="n">
        <f aca="false">+P52+P45</f>
        <v>127934680.879239</v>
      </c>
      <c r="Q55" s="1" t="n">
        <f aca="false">+[1]Brownsville!AY197</f>
        <v>127934680.695333</v>
      </c>
      <c r="R55" s="1" t="n">
        <f aca="false">+Q55-P55</f>
        <v>-0.183905318379402</v>
      </c>
    </row>
    <row r="56" customFormat="false" ht="12.75" hidden="false" customHeight="false" outlineLevel="0" collapsed="false">
      <c r="G56" s="29"/>
      <c r="H56" s="29"/>
      <c r="J56" s="29"/>
      <c r="L56" s="29"/>
      <c r="M56" s="29"/>
      <c r="P56" s="0"/>
    </row>
    <row r="57" customFormat="false" ht="12.75" hidden="false" customHeight="false" outlineLevel="0" collapsed="false">
      <c r="A57" s="15" t="s">
        <v>90</v>
      </c>
      <c r="B57" s="2"/>
      <c r="C57" s="31" t="n">
        <v>0.1</v>
      </c>
      <c r="D57" s="39" t="n">
        <v>0.063675</v>
      </c>
      <c r="E57" s="39" t="n">
        <v>0.0568969</v>
      </c>
      <c r="F57" s="39" t="n">
        <v>0.0568813</v>
      </c>
      <c r="G57" s="39" t="n">
        <v>0.0568719</v>
      </c>
      <c r="H57" s="8" t="n">
        <v>0.065</v>
      </c>
      <c r="I57" s="8" t="n">
        <v>0.065</v>
      </c>
      <c r="J57" s="40" t="n">
        <v>0.065</v>
      </c>
      <c r="K57" s="8" t="n">
        <v>0.065</v>
      </c>
      <c r="L57" s="8" t="n">
        <v>0.065</v>
      </c>
      <c r="M57" s="8" t="n">
        <v>0.065</v>
      </c>
      <c r="N57" s="8" t="n">
        <v>0.065</v>
      </c>
      <c r="O57" s="8" t="n">
        <v>0.065</v>
      </c>
      <c r="P57" s="41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15" t="s">
        <v>91</v>
      </c>
      <c r="B58" s="2"/>
      <c r="C58" s="39" t="n">
        <v>0.0015</v>
      </c>
      <c r="D58" s="42"/>
      <c r="E58" s="2"/>
      <c r="F58" s="2"/>
      <c r="G58" s="2"/>
      <c r="H58" s="2"/>
      <c r="I58" s="2"/>
      <c r="J58" s="28"/>
      <c r="K58" s="2"/>
      <c r="L58" s="2"/>
      <c r="M58" s="28"/>
      <c r="N58" s="2"/>
      <c r="O58" s="2"/>
      <c r="P58" s="41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15"/>
      <c r="B59" s="2"/>
      <c r="C59" s="2" t="n">
        <v>458</v>
      </c>
      <c r="D59" s="2" t="s">
        <v>54</v>
      </c>
      <c r="E59" s="2"/>
      <c r="F59" s="2"/>
      <c r="G59" s="2"/>
      <c r="H59" s="2"/>
      <c r="I59" s="2"/>
      <c r="J59" s="28"/>
      <c r="K59" s="2"/>
      <c r="L59" s="2"/>
      <c r="M59" s="2"/>
      <c r="N59" s="2"/>
      <c r="O59" s="2"/>
      <c r="P59" s="0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2.75" hidden="false" customHeight="false" outlineLevel="0" collapsed="false">
      <c r="J60" s="29"/>
    </row>
    <row r="61" customFormat="false" ht="12.75" hidden="false" customHeight="false" outlineLevel="0" collapsed="false">
      <c r="C61" s="28" t="s">
        <v>92</v>
      </c>
      <c r="D61" s="1" t="s">
        <v>93</v>
      </c>
      <c r="J61" s="29"/>
    </row>
    <row r="62" customFormat="false" ht="12.75" hidden="false" customHeight="false" outlineLevel="0" collapsed="false">
      <c r="C62" s="32"/>
      <c r="D62" s="1" t="str">
        <f aca="false">+'New Albany'!D62</f>
        <v>Input from WestLB statements for each month's actuals (1/99 - 5/99)</v>
      </c>
    </row>
    <row r="64" customFormat="false" ht="12.75" hidden="false" customHeight="false" outlineLevel="0" collapsed="false">
      <c r="A64" s="9"/>
      <c r="B64" s="10"/>
      <c r="C64" s="11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</row>
    <row r="66" customFormat="false" ht="19.5" hidden="false" customHeight="false" outlineLevel="0" collapsed="false">
      <c r="A66" s="26"/>
    </row>
    <row r="67" customFormat="false" ht="12.75" hidden="false" customHeight="false" outlineLevel="0" collapsed="false">
      <c r="A67" s="9"/>
      <c r="C67" s="28"/>
      <c r="D67" s="29"/>
      <c r="E67" s="29"/>
    </row>
    <row r="68" customFormat="false" ht="12.75" hidden="false" customHeight="false" outlineLevel="0" collapsed="false">
      <c r="C68" s="28"/>
      <c r="D68" s="29"/>
      <c r="E68" s="29"/>
      <c r="L68" s="15"/>
      <c r="M68" s="15"/>
      <c r="N68" s="15"/>
      <c r="O68" s="15"/>
    </row>
    <row r="69" customFormat="false" ht="12.75" hidden="false" customHeight="false" outlineLevel="0" collapsed="false">
      <c r="C69" s="28"/>
      <c r="D69" s="29"/>
      <c r="E69" s="29"/>
    </row>
    <row r="70" customFormat="false" ht="12.75" hidden="false" customHeight="false" outlineLevel="0" collapsed="false">
      <c r="C70" s="28"/>
      <c r="D70" s="29"/>
      <c r="E70" s="29"/>
    </row>
    <row r="71" customFormat="false" ht="12.75" hidden="false" customHeight="false" outlineLevel="0" collapsed="false">
      <c r="A71" s="2"/>
      <c r="C71" s="28"/>
      <c r="D71" s="28"/>
      <c r="E71" s="28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customFormat="false" ht="12.75" hidden="false" customHeight="false" outlineLevel="0" collapsed="false">
      <c r="P72" s="43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M36" activePane="bottomRight" state="frozen"/>
      <selection pane="topLeft" activeCell="A1" activeCellId="0" sqref="A1"/>
      <selection pane="topRight" activeCell="M1" activeCellId="0" sqref="M1"/>
      <selection pane="bottomLeft" activeCell="A36" activeCellId="0" sqref="A36"/>
      <selection pane="bottomRight" activeCell="O42" activeCellId="0" sqref="O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7.56"/>
    <col collapsed="false" customWidth="true" hidden="false" outlineLevel="0" max="2" min="2" style="1" width="1.7"/>
    <col collapsed="false" customWidth="true" hidden="false" outlineLevel="0" max="3" min="3" style="2" width="16.84"/>
    <col collapsed="false" customWidth="true" hidden="false" outlineLevel="0" max="4" min="4" style="1" width="14.99"/>
    <col collapsed="false" customWidth="true" hidden="false" outlineLevel="0" max="5" min="5" style="1" width="14.28"/>
    <col collapsed="false" customWidth="true" hidden="false" outlineLevel="0" max="6" min="6" style="1" width="13.41"/>
    <col collapsed="false" customWidth="true" hidden="false" outlineLevel="0" max="7" min="7" style="1" width="14.56"/>
    <col collapsed="false" customWidth="true" hidden="false" outlineLevel="0" max="8" min="8" style="1" width="14.28"/>
    <col collapsed="false" customWidth="true" hidden="false" outlineLevel="0" max="9" min="9" style="1" width="14.85"/>
    <col collapsed="false" customWidth="true" hidden="false" outlineLevel="0" max="10" min="10" style="1" width="14.7"/>
    <col collapsed="false" customWidth="true" hidden="false" outlineLevel="0" max="12" min="11" style="1" width="14.85"/>
    <col collapsed="false" customWidth="true" hidden="false" outlineLevel="0" max="13" min="13" style="1" width="15.7"/>
    <col collapsed="false" customWidth="true" hidden="false" outlineLevel="0" max="15" min="14" style="1" width="15.28"/>
    <col collapsed="false" customWidth="true" hidden="false" outlineLevel="0" max="16" min="16" style="2" width="14.41"/>
    <col collapsed="false" customWidth="true" hidden="false" outlineLevel="0" max="17" min="17" style="1" width="12.28"/>
    <col collapsed="false" customWidth="true" hidden="false" outlineLevel="0" max="18" min="18" style="1" width="13.85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+Brownsville!D2</f>
        <v>Last updated:  Actuals through December 17,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 t="str">
        <f aca="true">CELL("filename")</f>
        <v>'file:///mnt/12tb/@roms/datasets/enron/EDRM Enron Email Data Set v2 XML/filtered-attachments/xls/TVADraw122199.xls'#$Caledonia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74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7" t="n">
        <f aca="true">NOW()</f>
        <v>45926.9667274614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3" t="s">
        <v>6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9.5" hidden="false" customHeight="false" outlineLevel="0" collapsed="false">
      <c r="A7" s="26" t="s">
        <v>75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27"/>
      <c r="O7" s="10"/>
      <c r="P7" s="14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94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7"/>
      <c r="O8" s="10"/>
      <c r="P8" s="14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77</v>
      </c>
      <c r="B9" s="10"/>
      <c r="C9" s="10"/>
      <c r="D9" s="10"/>
      <c r="E9" s="10"/>
      <c r="F9" s="10"/>
      <c r="G9" s="27"/>
      <c r="H9" s="10"/>
      <c r="I9" s="10"/>
      <c r="J9" s="10"/>
      <c r="K9" s="10"/>
      <c r="L9" s="27"/>
      <c r="M9" s="27"/>
      <c r="N9" s="27"/>
      <c r="O9" s="10"/>
      <c r="P9" s="14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95</v>
      </c>
      <c r="C10" s="28" t="n">
        <v>37377776</v>
      </c>
      <c r="D10" s="29" t="n">
        <v>6859220</v>
      </c>
      <c r="E10" s="29" t="n">
        <v>6859220</v>
      </c>
      <c r="F10" s="29" t="n">
        <v>12326714</v>
      </c>
      <c r="G10" s="29" t="n">
        <v>12919710</v>
      </c>
      <c r="H10" s="29" t="n">
        <v>15213392</v>
      </c>
      <c r="I10" s="15" t="n">
        <v>0</v>
      </c>
      <c r="J10" s="29" t="n">
        <v>0</v>
      </c>
      <c r="K10" s="29" t="n">
        <v>3280101</v>
      </c>
      <c r="L10" s="29" t="n">
        <v>0</v>
      </c>
      <c r="M10" s="29" t="n">
        <v>0</v>
      </c>
      <c r="N10" s="29" t="n">
        <v>4852796</v>
      </c>
      <c r="O10" s="15" t="n">
        <v>1940179</v>
      </c>
      <c r="P10" s="16" t="n">
        <f aca="false">SUM(C10:O10)</f>
        <v>101629108</v>
      </c>
      <c r="Q10" s="1" t="n">
        <f aca="false">+[1]Caledonia!$AY$21</f>
        <v>101629107.92</v>
      </c>
      <c r="R10" s="1" t="n">
        <f aca="false">+Q10-P10</f>
        <v>-0.0799999982118607</v>
      </c>
    </row>
    <row r="11" customFormat="false" ht="12.75" hidden="false" customHeight="false" outlineLevel="0" collapsed="false">
      <c r="A11" s="1" t="s">
        <v>24</v>
      </c>
      <c r="C11" s="28" t="n">
        <v>1897561</v>
      </c>
      <c r="D11" s="29" t="n">
        <v>4007308</v>
      </c>
      <c r="E11" s="29" t="n">
        <v>0</v>
      </c>
      <c r="F11" s="29" t="n">
        <v>615000</v>
      </c>
      <c r="G11" s="29" t="n">
        <v>1398550</v>
      </c>
      <c r="H11" s="29" t="n">
        <v>821775</v>
      </c>
      <c r="I11" s="29" t="n">
        <v>445570</v>
      </c>
      <c r="J11" s="29" t="n">
        <v>0</v>
      </c>
      <c r="K11" s="29" t="n">
        <v>0</v>
      </c>
      <c r="L11" s="29" t="n">
        <v>1100956</v>
      </c>
      <c r="M11" s="29" t="n">
        <v>0</v>
      </c>
      <c r="N11" s="29" t="n">
        <v>0</v>
      </c>
      <c r="O11" s="1" t="n">
        <v>1</v>
      </c>
      <c r="P11" s="16" t="n">
        <f aca="false">SUM(C11:O11)</f>
        <v>10286721</v>
      </c>
      <c r="Q11" s="1" t="n">
        <f aca="false">+[1]Caledonia!$AY$34</f>
        <v>10286721</v>
      </c>
      <c r="R11" s="1" t="n">
        <f aca="false">+Q11-P11</f>
        <v>0</v>
      </c>
    </row>
    <row r="12" customFormat="false" ht="12.75" hidden="false" customHeight="false" outlineLevel="0" collapsed="false">
      <c r="A12" s="1" t="s">
        <v>25</v>
      </c>
      <c r="C12" s="28" t="n">
        <v>232364</v>
      </c>
      <c r="D12" s="29" t="n">
        <v>0</v>
      </c>
      <c r="E12" s="29" t="n">
        <v>0</v>
      </c>
      <c r="F12" s="15" t="n">
        <v>0</v>
      </c>
      <c r="G12" s="29" t="n">
        <v>0</v>
      </c>
      <c r="H12" s="1" t="n">
        <v>0</v>
      </c>
      <c r="I12" s="29" t="n">
        <v>316915</v>
      </c>
      <c r="J12" s="29" t="n">
        <v>143865</v>
      </c>
      <c r="K12" s="29" t="n">
        <v>41523</v>
      </c>
      <c r="L12" s="29" t="n">
        <v>0</v>
      </c>
      <c r="M12" s="29" t="n">
        <v>27419</v>
      </c>
      <c r="N12" s="29" t="n">
        <v>10884</v>
      </c>
      <c r="O12" s="1" t="n">
        <f aca="false">1424+11560</f>
        <v>12984</v>
      </c>
      <c r="P12" s="16" t="n">
        <f aca="false">SUM(C12:O12)</f>
        <v>785954</v>
      </c>
      <c r="Q12" s="1" t="n">
        <f aca="false">+[1]Caledonia!$AY$44</f>
        <v>785954.21</v>
      </c>
      <c r="R12" s="1" t="n">
        <f aca="false">+Q12-P12</f>
        <v>0.209999999962747</v>
      </c>
    </row>
    <row r="13" customFormat="false" ht="12.75" hidden="false" customHeight="false" outlineLevel="0" collapsed="false">
      <c r="A13" s="1" t="s">
        <v>26</v>
      </c>
      <c r="C13" s="28" t="n">
        <v>167072</v>
      </c>
      <c r="D13" s="29" t="n">
        <v>899776</v>
      </c>
      <c r="E13" s="29" t="n">
        <v>810086</v>
      </c>
      <c r="F13" s="29" t="n">
        <v>1831143</v>
      </c>
      <c r="G13" s="29" t="n">
        <v>0</v>
      </c>
      <c r="H13" s="29" t="n">
        <v>3372514</v>
      </c>
      <c r="I13" s="29" t="n">
        <v>2932107</v>
      </c>
      <c r="J13" s="29" t="n">
        <v>9360536</v>
      </c>
      <c r="K13" s="29" t="n">
        <v>4662889</v>
      </c>
      <c r="L13" s="29" t="n">
        <v>2317012</v>
      </c>
      <c r="M13" s="29" t="n">
        <v>1167995</v>
      </c>
      <c r="N13" s="29" t="n">
        <v>960719</v>
      </c>
      <c r="O13" s="1" t="n">
        <f aca="false">283000+546651-48651</f>
        <v>781000</v>
      </c>
      <c r="P13" s="16" t="n">
        <f aca="false">SUM(C13:O13)</f>
        <v>29262849</v>
      </c>
      <c r="Q13" s="1" t="n">
        <f aca="false">+[1]Caledonia!$AY$117</f>
        <v>29262849.15</v>
      </c>
      <c r="R13" s="1" t="n">
        <f aca="false">+Q13-P13</f>
        <v>0.149999998509884</v>
      </c>
    </row>
    <row r="14" customFormat="false" ht="12.75" hidden="false" customHeight="false" outlineLevel="0" collapsed="false">
      <c r="A14" s="1" t="s">
        <v>27</v>
      </c>
      <c r="C14" s="28" t="n">
        <v>0</v>
      </c>
      <c r="D14" s="29" t="n">
        <v>0</v>
      </c>
      <c r="E14" s="29" t="n">
        <v>0</v>
      </c>
      <c r="F14" s="15" t="n">
        <v>0</v>
      </c>
      <c r="G14" s="29" t="n">
        <v>72162</v>
      </c>
      <c r="H14" s="29" t="n">
        <v>162075</v>
      </c>
      <c r="I14" s="29" t="n">
        <v>232977</v>
      </c>
      <c r="J14" s="29" t="n">
        <v>64037</v>
      </c>
      <c r="K14" s="29" t="n">
        <v>17168</v>
      </c>
      <c r="L14" s="29" t="n">
        <v>19696</v>
      </c>
      <c r="M14" s="29" t="n">
        <v>464</v>
      </c>
      <c r="N14" s="29" t="n">
        <v>0</v>
      </c>
      <c r="O14" s="1" t="n">
        <v>0</v>
      </c>
      <c r="P14" s="16" t="n">
        <f aca="false">SUM(C14:O14)</f>
        <v>568579</v>
      </c>
      <c r="Q14" s="1" t="n">
        <f aca="false">+[1]Caledonia!$AY$123</f>
        <v>568579.44</v>
      </c>
      <c r="R14" s="1" t="n">
        <f aca="false">+Q14-P14</f>
        <v>0.439999999944121</v>
      </c>
    </row>
    <row r="15" customFormat="false" ht="12.75" hidden="false" customHeight="false" outlineLevel="0" collapsed="false">
      <c r="A15" s="1" t="s">
        <v>29</v>
      </c>
      <c r="C15" s="28" t="n">
        <v>0</v>
      </c>
      <c r="D15" s="29" t="n">
        <v>0</v>
      </c>
      <c r="E15" s="29" t="n">
        <v>0</v>
      </c>
      <c r="F15" s="15" t="n">
        <v>0</v>
      </c>
      <c r="G15" s="29" t="n">
        <v>0</v>
      </c>
      <c r="H15" s="29" t="n">
        <v>0</v>
      </c>
      <c r="I15" s="1" t="n">
        <v>0</v>
      </c>
      <c r="J15" s="29" t="n">
        <v>0</v>
      </c>
      <c r="K15" s="29" t="n">
        <v>157467</v>
      </c>
      <c r="L15" s="29" t="n">
        <v>525706</v>
      </c>
      <c r="M15" s="29" t="n">
        <v>11614</v>
      </c>
      <c r="N15" s="29" t="n">
        <v>1988</v>
      </c>
      <c r="O15" s="1" t="n">
        <v>91025</v>
      </c>
      <c r="P15" s="16" t="n">
        <f aca="false">SUM(C15:O15)</f>
        <v>787800</v>
      </c>
      <c r="Q15" s="1" t="n">
        <f aca="false">+[1]Caledonia!$AY$125</f>
        <v>787800</v>
      </c>
      <c r="R15" s="1" t="n">
        <f aca="false">+Q15-P15</f>
        <v>0</v>
      </c>
    </row>
    <row r="16" customFormat="false" ht="12.75" hidden="false" customHeight="false" outlineLevel="0" collapsed="false">
      <c r="A16" s="1" t="s">
        <v>30</v>
      </c>
      <c r="C16" s="28" t="n">
        <v>532310</v>
      </c>
      <c r="D16" s="29" t="n">
        <v>0</v>
      </c>
      <c r="E16" s="29" t="n">
        <v>0</v>
      </c>
      <c r="F16" s="29" t="n">
        <v>22050</v>
      </c>
      <c r="G16" s="29" t="n">
        <v>0</v>
      </c>
      <c r="H16" s="29" t="n">
        <v>3333</v>
      </c>
      <c r="I16" s="1" t="n">
        <v>0</v>
      </c>
      <c r="J16" s="29" t="n">
        <v>0</v>
      </c>
      <c r="K16" s="29" t="n">
        <v>0</v>
      </c>
      <c r="L16" s="29" t="n">
        <v>0</v>
      </c>
      <c r="M16" s="29" t="n">
        <v>0</v>
      </c>
      <c r="N16" s="29" t="n">
        <v>0</v>
      </c>
      <c r="O16" s="1" t="n">
        <v>0</v>
      </c>
      <c r="P16" s="16" t="n">
        <f aca="false">SUM(C16:O16)</f>
        <v>557693</v>
      </c>
      <c r="Q16" s="1" t="n">
        <f aca="false">+[1]Caledonia!$AY$136</f>
        <v>557693.33</v>
      </c>
      <c r="R16" s="1" t="n">
        <f aca="false">+Q16-P16</f>
        <v>0.329999999958091</v>
      </c>
    </row>
    <row r="17" customFormat="false" ht="12.75" hidden="false" customHeight="false" outlineLevel="0" collapsed="false">
      <c r="A17" s="1" t="s">
        <v>32</v>
      </c>
      <c r="C17" s="28" t="n">
        <v>207085</v>
      </c>
      <c r="D17" s="29" t="n">
        <v>0</v>
      </c>
      <c r="E17" s="29" t="n">
        <v>0</v>
      </c>
      <c r="F17" s="15" t="n">
        <v>0</v>
      </c>
      <c r="G17" s="29" t="n">
        <v>0</v>
      </c>
      <c r="H17" s="29" t="n">
        <v>29791</v>
      </c>
      <c r="I17" s="1" t="n">
        <v>0</v>
      </c>
      <c r="J17" s="29" t="n">
        <v>0</v>
      </c>
      <c r="K17" s="29" t="n">
        <v>227</v>
      </c>
      <c r="L17" s="29" t="n">
        <v>0</v>
      </c>
      <c r="M17" s="29" t="n">
        <v>250</v>
      </c>
      <c r="N17" s="29" t="n">
        <v>0</v>
      </c>
      <c r="O17" s="1" t="n">
        <v>0</v>
      </c>
      <c r="P17" s="16" t="n">
        <f aca="false">SUM(C17:O17)</f>
        <v>237353</v>
      </c>
      <c r="Q17" s="1" t="n">
        <f aca="false">+[1]Caledonia!$AY$138</f>
        <v>237352.65</v>
      </c>
      <c r="R17" s="1" t="n">
        <f aca="false">+Q17-P17</f>
        <v>-0.350000000005821</v>
      </c>
    </row>
    <row r="18" customFormat="false" ht="12.75" hidden="false" customHeight="false" outlineLevel="0" collapsed="false">
      <c r="A18" s="1" t="s">
        <v>33</v>
      </c>
      <c r="C18" s="28" t="n">
        <v>738500</v>
      </c>
      <c r="D18" s="29" t="n">
        <v>0</v>
      </c>
      <c r="E18" s="29" t="n">
        <v>242359</v>
      </c>
      <c r="F18" s="15" t="n">
        <v>0</v>
      </c>
      <c r="G18" s="29" t="n">
        <v>0</v>
      </c>
      <c r="H18" s="29" t="n">
        <v>0</v>
      </c>
      <c r="I18" s="1" t="n">
        <v>0</v>
      </c>
      <c r="J18" s="29" t="n">
        <v>0</v>
      </c>
      <c r="K18" s="29" t="n">
        <v>0</v>
      </c>
      <c r="L18" s="29" t="n">
        <v>0</v>
      </c>
      <c r="M18" s="29" t="n">
        <v>0</v>
      </c>
      <c r="N18" s="29" t="n">
        <v>0</v>
      </c>
      <c r="O18" s="1" t="n">
        <v>141</v>
      </c>
      <c r="P18" s="16" t="n">
        <f aca="false">SUM(C18:O18)</f>
        <v>981000</v>
      </c>
      <c r="Q18" s="1" t="n">
        <f aca="false">+[1]Caledonia!$AY$141</f>
        <v>981000</v>
      </c>
      <c r="R18" s="1" t="n">
        <f aca="false">+Q18-P18</f>
        <v>0</v>
      </c>
    </row>
    <row r="19" customFormat="false" ht="12.75" hidden="false" customHeight="false" outlineLevel="0" collapsed="false">
      <c r="A19" s="1" t="s">
        <v>35</v>
      </c>
      <c r="C19" s="28" t="n">
        <v>0</v>
      </c>
      <c r="D19" s="29" t="n">
        <v>110523</v>
      </c>
      <c r="E19" s="29" t="n">
        <v>0</v>
      </c>
      <c r="F19" s="15" t="n">
        <v>0</v>
      </c>
      <c r="G19" s="29" t="n">
        <v>1651484</v>
      </c>
      <c r="H19" s="29" t="n">
        <v>0</v>
      </c>
      <c r="I19" s="29" t="n">
        <v>59847</v>
      </c>
      <c r="J19" s="29" t="n">
        <v>230834</v>
      </c>
      <c r="K19" s="29" t="n">
        <v>864906</v>
      </c>
      <c r="L19" s="29" t="n">
        <v>146302</v>
      </c>
      <c r="M19" s="29" t="n">
        <v>0</v>
      </c>
      <c r="N19" s="29" t="n">
        <v>3218</v>
      </c>
      <c r="O19" s="1" t="n">
        <v>440706</v>
      </c>
      <c r="P19" s="16" t="n">
        <f aca="false">SUM(C19:O19)</f>
        <v>3507820</v>
      </c>
      <c r="Q19" s="1" t="n">
        <f aca="false">+[1]Caledonia!$AY$148</f>
        <v>3507819.876</v>
      </c>
      <c r="R19" s="1" t="n">
        <f aca="false">+Q19-P19</f>
        <v>-0.123999999836087</v>
      </c>
    </row>
    <row r="20" customFormat="false" ht="12.75" hidden="false" customHeight="false" outlineLevel="0" collapsed="false">
      <c r="A20" s="1" t="s">
        <v>36</v>
      </c>
      <c r="C20" s="28" t="n">
        <v>0</v>
      </c>
      <c r="D20" s="29" t="n">
        <v>0</v>
      </c>
      <c r="E20" s="29" t="n">
        <v>0</v>
      </c>
      <c r="F20" s="15" t="n">
        <v>0</v>
      </c>
      <c r="G20" s="29" t="n">
        <v>10000</v>
      </c>
      <c r="H20" s="29" t="n">
        <v>53741</v>
      </c>
      <c r="I20" s="29" t="n">
        <v>61014</v>
      </c>
      <c r="J20" s="29" t="n">
        <v>11281</v>
      </c>
      <c r="K20" s="1" t="n">
        <v>0</v>
      </c>
      <c r="L20" s="29" t="n">
        <v>0</v>
      </c>
      <c r="M20" s="29" t="n">
        <v>0</v>
      </c>
      <c r="N20" s="29" t="n">
        <v>0</v>
      </c>
      <c r="O20" s="1" t="n">
        <v>0</v>
      </c>
      <c r="P20" s="16" t="n">
        <f aca="false">SUM(C20:O20)</f>
        <v>136036</v>
      </c>
      <c r="Q20" s="1" t="n">
        <f aca="false">+[1]Caledonia!$AY$194</f>
        <v>136036.07</v>
      </c>
      <c r="R20" s="1" t="n">
        <f aca="false">+Q20-P20</f>
        <v>0.0700000000069849</v>
      </c>
    </row>
    <row r="21" customFormat="false" ht="12.75" hidden="false" customHeight="false" outlineLevel="0" collapsed="false">
      <c r="A21" s="1" t="s">
        <v>37</v>
      </c>
      <c r="C21" s="28" t="n">
        <v>280627</v>
      </c>
      <c r="D21" s="29" t="n">
        <v>6383</v>
      </c>
      <c r="E21" s="29" t="n">
        <v>0</v>
      </c>
      <c r="F21" s="15" t="n">
        <v>0</v>
      </c>
      <c r="G21" s="29" t="n">
        <v>0</v>
      </c>
      <c r="H21" s="29" t="n">
        <v>0</v>
      </c>
      <c r="I21" s="1" t="n">
        <v>0</v>
      </c>
      <c r="J21" s="29" t="n">
        <v>85968</v>
      </c>
      <c r="K21" s="1" t="n">
        <v>0</v>
      </c>
      <c r="L21" s="29" t="n">
        <v>0</v>
      </c>
      <c r="M21" s="29" t="n">
        <v>0</v>
      </c>
      <c r="N21" s="29" t="n">
        <v>0</v>
      </c>
      <c r="O21" s="1" t="n">
        <v>-272978</v>
      </c>
      <c r="P21" s="16" t="n">
        <f aca="false">SUM(C21:O21)</f>
        <v>100000</v>
      </c>
      <c r="Q21" s="1" t="n">
        <f aca="false">+[1]Caledonia!$AY$150</f>
        <v>99999.9999999999</v>
      </c>
      <c r="R21" s="1" t="n">
        <f aca="false">+Q21-P21</f>
        <v>0</v>
      </c>
    </row>
    <row r="22" customFormat="false" ht="12.75" hidden="false" customHeight="false" outlineLevel="0" collapsed="false">
      <c r="A22" s="1" t="s">
        <v>70</v>
      </c>
      <c r="C22" s="28" t="n">
        <f aca="false">93542+479</f>
        <v>94021</v>
      </c>
      <c r="D22" s="29" t="n">
        <v>0</v>
      </c>
      <c r="E22" s="29" t="n">
        <v>0</v>
      </c>
      <c r="F22" s="15" t="n">
        <v>0</v>
      </c>
      <c r="G22" s="29" t="n">
        <v>0</v>
      </c>
      <c r="H22" s="29" t="n">
        <v>0</v>
      </c>
      <c r="I22" s="1" t="n">
        <v>0</v>
      </c>
      <c r="J22" s="1" t="n">
        <v>0</v>
      </c>
      <c r="K22" s="1" t="n">
        <v>0</v>
      </c>
      <c r="L22" s="29" t="n">
        <v>0</v>
      </c>
      <c r="M22" s="29" t="n">
        <v>0</v>
      </c>
      <c r="N22" s="29" t="n">
        <v>0</v>
      </c>
      <c r="O22" s="1" t="n">
        <v>0</v>
      </c>
      <c r="P22" s="16" t="n">
        <f aca="false">SUM(C22:O22)</f>
        <v>94021</v>
      </c>
      <c r="Q22" s="1" t="n">
        <f aca="false">+[1]Caledonia!$AY$171</f>
        <v>94021</v>
      </c>
      <c r="R22" s="1" t="n">
        <f aca="false">+Q22-P22</f>
        <v>0</v>
      </c>
    </row>
    <row r="23" customFormat="false" ht="12.75" hidden="false" customHeight="false" outlineLevel="0" collapsed="false">
      <c r="A23" s="1" t="s">
        <v>38</v>
      </c>
      <c r="C23" s="28" t="n">
        <v>0</v>
      </c>
      <c r="D23" s="29" t="n">
        <v>145042</v>
      </c>
      <c r="E23" s="29" t="n">
        <v>0</v>
      </c>
      <c r="F23" s="15" t="n">
        <v>0</v>
      </c>
      <c r="G23" s="29" t="n">
        <v>0</v>
      </c>
      <c r="H23" s="29" t="n">
        <v>0</v>
      </c>
      <c r="I23" s="1" t="n">
        <v>0</v>
      </c>
      <c r="J23" s="29" t="n">
        <f aca="false">21931+16702</f>
        <v>38633</v>
      </c>
      <c r="K23" s="1" t="n">
        <v>0</v>
      </c>
      <c r="L23" s="29" t="n">
        <v>38633</v>
      </c>
      <c r="M23" s="29" t="n">
        <v>0</v>
      </c>
      <c r="N23" s="29" t="n">
        <v>0</v>
      </c>
      <c r="O23" s="1" t="n">
        <v>2615</v>
      </c>
      <c r="P23" s="16" t="n">
        <f aca="false">SUM(C23:O23)</f>
        <v>224923</v>
      </c>
      <c r="Q23" s="1" t="n">
        <f aca="false">+[1]Caledonia!$AY$152</f>
        <v>224923</v>
      </c>
      <c r="R23" s="1" t="n">
        <f aca="false">+Q23-P23</f>
        <v>0</v>
      </c>
    </row>
    <row r="24" customFormat="false" ht="12.75" hidden="false" customHeight="false" outlineLevel="0" collapsed="false">
      <c r="A24" s="1" t="s">
        <v>39</v>
      </c>
      <c r="C24" s="28" t="n">
        <v>0</v>
      </c>
      <c r="D24" s="29" t="n">
        <v>0</v>
      </c>
      <c r="E24" s="29" t="n">
        <v>8735</v>
      </c>
      <c r="F24" s="15" t="n">
        <v>0</v>
      </c>
      <c r="G24" s="29" t="n">
        <v>5963</v>
      </c>
      <c r="H24" s="29" t="n">
        <v>23696</v>
      </c>
      <c r="I24" s="29" t="n">
        <v>9719</v>
      </c>
      <c r="J24" s="29" t="n">
        <v>5091</v>
      </c>
      <c r="K24" s="1" t="n">
        <v>0</v>
      </c>
      <c r="L24" s="29" t="n">
        <v>0</v>
      </c>
      <c r="M24" s="29" t="n">
        <v>0</v>
      </c>
      <c r="N24" s="29" t="n">
        <v>0</v>
      </c>
      <c r="O24" s="1" t="n">
        <v>0</v>
      </c>
      <c r="P24" s="16" t="n">
        <f aca="false">SUM(C24:O24)</f>
        <v>53204</v>
      </c>
      <c r="Q24" s="1" t="n">
        <f aca="false">+[1]Caledonia!$AY$154</f>
        <v>53203.58</v>
      </c>
      <c r="R24" s="1" t="n">
        <f aca="false">+Q24-P24</f>
        <v>-0.419999999998254</v>
      </c>
    </row>
    <row r="25" customFormat="false" ht="12.75" hidden="false" customHeight="false" outlineLevel="0" collapsed="false">
      <c r="A25" s="1" t="s">
        <v>40</v>
      </c>
      <c r="C25" s="28" t="n">
        <f aca="false">75528+6111</f>
        <v>81639</v>
      </c>
      <c r="D25" s="29" t="n">
        <v>27824</v>
      </c>
      <c r="E25" s="29" t="n">
        <f aca="false">3333+368</f>
        <v>3701</v>
      </c>
      <c r="F25" s="29" t="n">
        <v>-21839</v>
      </c>
      <c r="G25" s="29" t="n">
        <v>2188</v>
      </c>
      <c r="H25" s="29" t="n">
        <v>205652</v>
      </c>
      <c r="I25" s="29" t="n">
        <v>74162</v>
      </c>
      <c r="J25" s="29" t="n">
        <v>109970</v>
      </c>
      <c r="K25" s="29" t="n">
        <v>67695</v>
      </c>
      <c r="L25" s="29" t="n">
        <v>29497</v>
      </c>
      <c r="M25" s="29" t="n">
        <v>3271</v>
      </c>
      <c r="N25" s="29" t="n">
        <v>163989</v>
      </c>
      <c r="O25" s="1" t="n">
        <v>-6113</v>
      </c>
      <c r="P25" s="16" t="n">
        <f aca="false">SUM(C25:O25)</f>
        <v>741636</v>
      </c>
      <c r="Q25" s="1" t="n">
        <f aca="false">+[1]Caledonia!$AY$184</f>
        <v>741635.96</v>
      </c>
      <c r="R25" s="1" t="n">
        <f aca="false">+Q25-P25</f>
        <v>-0.0400000000372529</v>
      </c>
    </row>
    <row r="26" customFormat="false" ht="12.75" hidden="false" customHeight="false" outlineLevel="0" collapsed="false">
      <c r="A26" s="1" t="s">
        <v>41</v>
      </c>
      <c r="C26" s="28" t="n">
        <v>105274</v>
      </c>
      <c r="D26" s="29" t="n">
        <v>6484</v>
      </c>
      <c r="E26" s="29" t="n">
        <f aca="false">150775+1</f>
        <v>150776</v>
      </c>
      <c r="F26" s="15" t="n">
        <v>0</v>
      </c>
      <c r="G26" s="29" t="n">
        <v>0</v>
      </c>
      <c r="H26" s="29" t="n">
        <f aca="false">221476-1</f>
        <v>221475</v>
      </c>
      <c r="I26" s="29" t="n">
        <f aca="false">86054-86054</f>
        <v>0</v>
      </c>
      <c r="J26" s="29" t="n">
        <f aca="false">51988-1</f>
        <v>51987</v>
      </c>
      <c r="K26" s="1" t="n">
        <v>0</v>
      </c>
      <c r="L26" s="29" t="n">
        <v>33731</v>
      </c>
      <c r="M26" s="29" t="n">
        <v>3474</v>
      </c>
      <c r="N26" s="29" t="n">
        <v>8180</v>
      </c>
      <c r="O26" s="1" t="n">
        <v>1</v>
      </c>
      <c r="P26" s="16" t="n">
        <f aca="false">SUM(C26:O26)</f>
        <v>581382</v>
      </c>
      <c r="Q26" s="1" t="n">
        <f aca="false">+[1]Caledonia!$AY$192</f>
        <v>581382.25</v>
      </c>
      <c r="R26" s="1" t="n">
        <f aca="false">+Q26-P26</f>
        <v>0.25</v>
      </c>
    </row>
    <row r="27" customFormat="false" ht="12.75" hidden="false" customHeight="false" outlineLevel="0" collapsed="false">
      <c r="A27" s="1" t="s">
        <v>79</v>
      </c>
      <c r="C27" s="28" t="n">
        <v>0</v>
      </c>
      <c r="D27" s="29" t="n">
        <v>0</v>
      </c>
      <c r="E27" s="29" t="n">
        <v>0</v>
      </c>
      <c r="F27" s="15" t="n">
        <v>0</v>
      </c>
      <c r="G27" s="29" t="n">
        <v>0</v>
      </c>
      <c r="H27" s="29" t="n">
        <v>0</v>
      </c>
      <c r="I27" s="29" t="n">
        <v>0</v>
      </c>
      <c r="J27" s="29"/>
      <c r="L27" s="29" t="n">
        <v>0</v>
      </c>
      <c r="M27" s="29" t="n">
        <v>0</v>
      </c>
      <c r="N27" s="29" t="n">
        <v>0</v>
      </c>
      <c r="O27" s="1" t="n">
        <v>0</v>
      </c>
      <c r="P27" s="16" t="n">
        <f aca="false">SUM(C27:O27)</f>
        <v>0</v>
      </c>
    </row>
    <row r="28" customFormat="false" ht="12.75" hidden="false" customHeight="false" outlineLevel="0" collapsed="false">
      <c r="A28" s="1" t="s">
        <v>42</v>
      </c>
      <c r="C28" s="30" t="n">
        <f aca="false">SUM(C10:C27)</f>
        <v>41714229</v>
      </c>
      <c r="D28" s="30" t="n">
        <f aca="false">SUM(D10:D27)</f>
        <v>12062560</v>
      </c>
      <c r="E28" s="30" t="n">
        <f aca="false">SUM(E10:E27)</f>
        <v>8074877</v>
      </c>
      <c r="F28" s="30" t="n">
        <f aca="false">SUM(F10:F27)</f>
        <v>14773068</v>
      </c>
      <c r="G28" s="30" t="n">
        <f aca="false">SUM(G10:G27)</f>
        <v>16060057</v>
      </c>
      <c r="H28" s="30" t="n">
        <f aca="false">SUM(H10:H27)</f>
        <v>20107444</v>
      </c>
      <c r="I28" s="30" t="n">
        <f aca="false">SUM(I10:I27)</f>
        <v>4132311</v>
      </c>
      <c r="J28" s="30" t="n">
        <f aca="false">SUM(J10:J27)</f>
        <v>10102202</v>
      </c>
      <c r="K28" s="30" t="n">
        <f aca="false">SUM(K10:K27)</f>
        <v>9091976</v>
      </c>
      <c r="L28" s="30" t="n">
        <f aca="false">SUM(L10:L27)</f>
        <v>4211533</v>
      </c>
      <c r="M28" s="30" t="n">
        <f aca="false">SUM(M10:M27)</f>
        <v>1214487</v>
      </c>
      <c r="N28" s="30" t="n">
        <f aca="false">SUM(N10:N27)</f>
        <v>6001774</v>
      </c>
      <c r="O28" s="18" t="n">
        <f aca="false">SUM(O10:O27)</f>
        <v>2989561</v>
      </c>
      <c r="P28" s="19" t="n">
        <f aca="false">SUM(C28:O28)</f>
        <v>150536079</v>
      </c>
    </row>
    <row r="29" customFormat="false" ht="12.75" hidden="false" customHeight="false" outlineLevel="0" collapsed="false">
      <c r="A29" s="1" t="s">
        <v>43</v>
      </c>
      <c r="C29" s="30" t="n">
        <f aca="false">+C28</f>
        <v>41714229</v>
      </c>
      <c r="D29" s="30" t="n">
        <f aca="false">+C29+D28</f>
        <v>53776789</v>
      </c>
      <c r="E29" s="30" t="n">
        <f aca="false">+D29+E28</f>
        <v>61851666</v>
      </c>
      <c r="F29" s="30" t="n">
        <f aca="false">+E29+F28</f>
        <v>76624734</v>
      </c>
      <c r="G29" s="30" t="n">
        <f aca="false">+F29+G28</f>
        <v>92684791</v>
      </c>
      <c r="H29" s="30" t="n">
        <f aca="false">+G29+H28</f>
        <v>112792235</v>
      </c>
      <c r="I29" s="30" t="n">
        <f aca="false">+H29+I28</f>
        <v>116924546</v>
      </c>
      <c r="J29" s="30" t="n">
        <f aca="false">+I29+J28</f>
        <v>127026748</v>
      </c>
      <c r="K29" s="30" t="n">
        <f aca="false">+J29+K28</f>
        <v>136118724</v>
      </c>
      <c r="L29" s="30" t="n">
        <f aca="false">+K29+L28</f>
        <v>140330257</v>
      </c>
      <c r="M29" s="30" t="n">
        <f aca="false">+L29+M28</f>
        <v>141544744</v>
      </c>
      <c r="N29" s="30" t="n">
        <f aca="false">+M29+N28</f>
        <v>147546518</v>
      </c>
      <c r="O29" s="18" t="n">
        <f aca="false">+N29+O28</f>
        <v>150536079</v>
      </c>
      <c r="P29" s="20"/>
    </row>
    <row r="30" customFormat="false" ht="12.75" hidden="false" customHeight="false" outlineLevel="0" collapsed="false">
      <c r="A30" s="1" t="s">
        <v>44</v>
      </c>
      <c r="C30" s="28"/>
      <c r="D30" s="29"/>
      <c r="E30" s="29"/>
      <c r="F30" s="15"/>
      <c r="G30" s="29"/>
      <c r="H30" s="29"/>
      <c r="I30" s="29"/>
      <c r="J30" s="29"/>
      <c r="K30" s="29"/>
      <c r="L30" s="29"/>
      <c r="M30" s="29"/>
      <c r="N30" s="29"/>
      <c r="P30" s="21" t="n">
        <f aca="false">+P28/C59/1000</f>
        <v>340.579364253394</v>
      </c>
    </row>
    <row r="31" customFormat="false" ht="12.75" hidden="false" customHeight="false" outlineLevel="0" collapsed="false">
      <c r="C31" s="28"/>
      <c r="D31" s="29"/>
      <c r="E31" s="29"/>
      <c r="F31" s="15"/>
      <c r="G31" s="29"/>
      <c r="H31" s="29"/>
      <c r="I31" s="29"/>
      <c r="J31" s="29"/>
      <c r="K31" s="29"/>
      <c r="L31" s="29"/>
      <c r="M31" s="29"/>
      <c r="N31" s="29"/>
      <c r="P31" s="16"/>
    </row>
    <row r="32" customFormat="false" ht="12.75" hidden="false" customHeight="false" outlineLevel="0" collapsed="false">
      <c r="A32" s="1" t="s">
        <v>45</v>
      </c>
      <c r="C32" s="29" t="n">
        <f aca="false">2084658-1075020+3412</f>
        <v>1013050</v>
      </c>
      <c r="D32" s="29" t="n">
        <f aca="false">315367+27457</f>
        <v>342824</v>
      </c>
      <c r="E32" s="29" t="n">
        <f aca="false">SUM($C48:D48)*E57/360*30</f>
        <v>321299.918888092</v>
      </c>
      <c r="F32" s="29" t="n">
        <f aca="false">SUM($C48:E48)*F57/360*28</f>
        <v>443917.85361798</v>
      </c>
      <c r="G32" s="29" t="n">
        <f aca="false">SUM($C48:F48)*G57/360*33</f>
        <v>528055.684864703</v>
      </c>
      <c r="H32" s="29" t="n">
        <v>124517</v>
      </c>
      <c r="I32" s="29" t="n">
        <v>725143</v>
      </c>
      <c r="J32" s="29" t="n">
        <v>684126</v>
      </c>
      <c r="K32" s="29" t="n">
        <v>-684126</v>
      </c>
      <c r="L32" s="29" t="n">
        <v>-326769</v>
      </c>
      <c r="M32" s="29" t="n">
        <v>0</v>
      </c>
      <c r="N32" s="29" t="n">
        <v>0</v>
      </c>
      <c r="O32" s="1" t="n">
        <v>0</v>
      </c>
      <c r="P32" s="16" t="n">
        <f aca="false">SUM(C32:O32)</f>
        <v>3172038.45737077</v>
      </c>
      <c r="Q32" s="1" t="n">
        <f aca="false">+[1]Caledonia!$AY$156</f>
        <v>3172038.28</v>
      </c>
      <c r="R32" s="1" t="n">
        <f aca="false">+P32-Q32</f>
        <v>0.177370774559677</v>
      </c>
    </row>
    <row r="33" customFormat="false" ht="12.75" hidden="false" customHeight="false" outlineLevel="0" collapsed="false">
      <c r="A33" s="1" t="s">
        <v>80</v>
      </c>
      <c r="C33" s="29"/>
      <c r="D33" s="29"/>
      <c r="E33" s="29"/>
      <c r="F33" s="29" t="n">
        <v>-309104</v>
      </c>
      <c r="G33" s="29" t="n">
        <v>-117884</v>
      </c>
      <c r="H33" s="29"/>
      <c r="I33" s="29"/>
      <c r="J33" s="29"/>
      <c r="K33" s="29"/>
      <c r="L33" s="29"/>
      <c r="M33" s="29"/>
      <c r="N33" s="29"/>
      <c r="P33" s="16" t="n">
        <f aca="false">SUM(C33:O33)</f>
        <v>-426988</v>
      </c>
      <c r="Q33" s="1" t="n">
        <f aca="false">+[1]Caledonia!$AY$157</f>
        <v>-426988</v>
      </c>
      <c r="R33" s="1" t="n">
        <f aca="false">+P33-Q33</f>
        <v>0</v>
      </c>
    </row>
    <row r="34" customFormat="false" ht="12.75" hidden="false" customHeight="false" outlineLevel="0" collapsed="false">
      <c r="A34" s="1" t="s">
        <v>81</v>
      </c>
      <c r="C34" s="29" t="n">
        <v>0</v>
      </c>
      <c r="D34" s="29" t="n">
        <v>11785.189</v>
      </c>
      <c r="E34" s="29" t="n">
        <v>10279.417625</v>
      </c>
      <c r="F34" s="29" t="n">
        <v>6207.39975</v>
      </c>
      <c r="G34" s="29" t="n">
        <v>6088.634125</v>
      </c>
      <c r="H34" s="29" t="n">
        <v>5897</v>
      </c>
      <c r="I34" s="29"/>
      <c r="J34" s="29"/>
      <c r="K34" s="29"/>
      <c r="L34" s="29"/>
      <c r="M34" s="29"/>
      <c r="N34" s="29" t="n">
        <v>0</v>
      </c>
      <c r="O34" s="15" t="n">
        <v>0</v>
      </c>
      <c r="P34" s="16" t="n">
        <f aca="false">SUM(C34:O34)</f>
        <v>40257.6405</v>
      </c>
      <c r="Q34" s="1" t="n">
        <f aca="false">+[1]Caledonia!$AY$158</f>
        <v>40258</v>
      </c>
      <c r="R34" s="1" t="n">
        <f aca="false">+P34-Q34</f>
        <v>-0.359499999998661</v>
      </c>
    </row>
    <row r="35" customFormat="false" ht="12.75" hidden="false" customHeight="false" outlineLevel="0" collapsed="false">
      <c r="A35" s="1" t="s">
        <v>96</v>
      </c>
      <c r="C35" s="29"/>
      <c r="D35" s="29"/>
      <c r="E35" s="29"/>
      <c r="F35" s="29" t="n">
        <v>-5266</v>
      </c>
      <c r="G35" s="29" t="n">
        <f aca="false">13200</f>
        <v>13200</v>
      </c>
      <c r="H35" s="29" t="n">
        <f aca="false">-18334</f>
        <v>-18334</v>
      </c>
      <c r="I35" s="29" t="n">
        <v>0</v>
      </c>
      <c r="J35" s="29"/>
      <c r="K35" s="29" t="n">
        <v>0</v>
      </c>
      <c r="L35" s="29" t="n">
        <v>0</v>
      </c>
      <c r="M35" s="29" t="n">
        <v>0</v>
      </c>
      <c r="N35" s="29" t="n">
        <v>0</v>
      </c>
      <c r="O35" s="15" t="n">
        <v>1</v>
      </c>
      <c r="P35" s="16" t="n">
        <f aca="false">SUM(C35:O35)</f>
        <v>-10399</v>
      </c>
      <c r="Q35" s="1" t="n">
        <f aca="false">+[1]Caledonia!$AY$159</f>
        <v>-10399.47</v>
      </c>
      <c r="R35" s="1" t="n">
        <f aca="false">+P35-Q35</f>
        <v>0.469999999999345</v>
      </c>
    </row>
    <row r="36" customFormat="false" ht="12.75" hidden="false" customHeight="false" outlineLevel="0" collapsed="false">
      <c r="A36" s="1" t="s">
        <v>46</v>
      </c>
      <c r="C36" s="29" t="n">
        <v>68386</v>
      </c>
      <c r="D36" s="29" t="n">
        <v>942288</v>
      </c>
      <c r="E36" s="29" t="n">
        <v>0</v>
      </c>
      <c r="F36" s="29" t="n">
        <v>0</v>
      </c>
      <c r="G36" s="29" t="n">
        <v>0</v>
      </c>
      <c r="H36" s="29" t="n">
        <v>83333</v>
      </c>
      <c r="I36" s="29" t="n">
        <v>0</v>
      </c>
      <c r="J36" s="29" t="n">
        <v>0</v>
      </c>
      <c r="K36" s="29" t="n">
        <v>0</v>
      </c>
      <c r="L36" s="29" t="n">
        <v>0</v>
      </c>
      <c r="M36" s="29" t="n">
        <v>0</v>
      </c>
      <c r="N36" s="29" t="n">
        <v>83333</v>
      </c>
      <c r="O36" s="1" t="n">
        <v>107680</v>
      </c>
      <c r="P36" s="16" t="n">
        <f aca="false">SUM(C36:O36)</f>
        <v>1285020</v>
      </c>
      <c r="Q36" s="1" t="n">
        <f aca="false">+[1]Caledonia!$AY$169</f>
        <v>1285019.71333333</v>
      </c>
      <c r="R36" s="1" t="n">
        <f aca="false">+P36-Q36</f>
        <v>0.286666666856036</v>
      </c>
    </row>
    <row r="37" customFormat="false" ht="12.75" hidden="false" customHeight="false" outlineLevel="0" collapsed="false">
      <c r="A37" s="1" t="s">
        <v>83</v>
      </c>
      <c r="C37" s="28" t="n"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P37" s="16" t="n">
        <f aca="false">SUM(C37:O37)</f>
        <v>0</v>
      </c>
    </row>
    <row r="38" customFormat="false" ht="12.75" hidden="false" customHeight="false" outlineLevel="0" collapsed="false">
      <c r="A38" s="1" t="s">
        <v>49</v>
      </c>
      <c r="C38" s="30" t="n">
        <f aca="false">SUM(C32:C37)</f>
        <v>1081436</v>
      </c>
      <c r="D38" s="30" t="n">
        <f aca="false">SUM(D32:D37)</f>
        <v>1296897.189</v>
      </c>
      <c r="E38" s="30" t="n">
        <f aca="false">SUM(E32:E37)</f>
        <v>331579.336513092</v>
      </c>
      <c r="F38" s="30" t="n">
        <f aca="false">SUM(F32:F37)</f>
        <v>135755.25336798</v>
      </c>
      <c r="G38" s="30" t="n">
        <f aca="false">SUM(G32:G37)</f>
        <v>429460.318989703</v>
      </c>
      <c r="H38" s="30" t="n">
        <f aca="false">SUM(H32:H37)</f>
        <v>195413</v>
      </c>
      <c r="I38" s="30" t="n">
        <f aca="false">SUM(I32:I37)</f>
        <v>725143</v>
      </c>
      <c r="J38" s="30" t="n">
        <f aca="false">SUM(J32:J37)</f>
        <v>684126</v>
      </c>
      <c r="K38" s="30" t="n">
        <f aca="false">SUM(K32:K37)</f>
        <v>-684126</v>
      </c>
      <c r="L38" s="30" t="n">
        <f aca="false">SUM(L32:L37)</f>
        <v>-326769</v>
      </c>
      <c r="M38" s="30" t="n">
        <f aca="false">SUM(M32:M37)</f>
        <v>0</v>
      </c>
      <c r="N38" s="30" t="n">
        <f aca="false">SUM(N32:N37)</f>
        <v>83333</v>
      </c>
      <c r="O38" s="18" t="n">
        <f aca="false">SUM(O32:O37)</f>
        <v>107681</v>
      </c>
      <c r="P38" s="19" t="n">
        <f aca="false">SUM(C38:O38)</f>
        <v>4059929.09787077</v>
      </c>
    </row>
    <row r="39" customFormat="false" ht="12.75" hidden="false" customHeight="false" outlineLevel="0" collapsed="false">
      <c r="A39" s="1" t="s">
        <v>50</v>
      </c>
      <c r="C39" s="30" t="n">
        <f aca="false">+C38</f>
        <v>1081436</v>
      </c>
      <c r="D39" s="30" t="n">
        <f aca="false">+D38+C39</f>
        <v>2378333.189</v>
      </c>
      <c r="E39" s="30" t="n">
        <f aca="false">+E38+D39</f>
        <v>2709912.52551309</v>
      </c>
      <c r="F39" s="30" t="n">
        <f aca="false">+F38+E39</f>
        <v>2845667.77888107</v>
      </c>
      <c r="G39" s="30" t="n">
        <f aca="false">+G38+F39</f>
        <v>3275128.09787077</v>
      </c>
      <c r="H39" s="30" t="n">
        <f aca="false">+H38+G39</f>
        <v>3470541.09787077</v>
      </c>
      <c r="I39" s="30" t="n">
        <f aca="false">+I38+H39</f>
        <v>4195684.09787078</v>
      </c>
      <c r="J39" s="30" t="n">
        <f aca="false">+J38+I39</f>
        <v>4879810.09787078</v>
      </c>
      <c r="K39" s="30" t="n">
        <f aca="false">+K38+J39</f>
        <v>4195684.09787078</v>
      </c>
      <c r="L39" s="30" t="n">
        <f aca="false">+L38+K39</f>
        <v>3868915.09787077</v>
      </c>
      <c r="M39" s="30" t="n">
        <f aca="false">+M38+L39</f>
        <v>3868915.09787077</v>
      </c>
      <c r="N39" s="30" t="n">
        <f aca="false">+N38+M39</f>
        <v>3952248.09787077</v>
      </c>
      <c r="O39" s="18" t="n">
        <f aca="false">+O38+N39</f>
        <v>4059929.09787077</v>
      </c>
      <c r="P39" s="16"/>
    </row>
    <row r="40" customFormat="false" ht="12.75" hidden="false" customHeight="false" outlineLevel="0" collapsed="false">
      <c r="C40" s="28"/>
      <c r="D40" s="29"/>
      <c r="E40" s="29"/>
      <c r="G40" s="29"/>
      <c r="H40" s="29"/>
      <c r="I40" s="29"/>
      <c r="J40" s="29"/>
      <c r="K40" s="29"/>
      <c r="L40" s="29"/>
      <c r="M40" s="29"/>
      <c r="N40" s="29"/>
      <c r="P40" s="16"/>
    </row>
    <row r="41" customFormat="false" ht="12.75" hidden="false" customHeight="false" outlineLevel="0" collapsed="false">
      <c r="A41" s="2" t="s">
        <v>84</v>
      </c>
      <c r="B41" s="2"/>
      <c r="C41" s="28" t="n">
        <f aca="false">+C28+C38</f>
        <v>42795665</v>
      </c>
      <c r="D41" s="28" t="n">
        <f aca="false">+D28+D38</f>
        <v>13359457.189</v>
      </c>
      <c r="E41" s="28" t="n">
        <f aca="false">+E28+E38</f>
        <v>8406456.33651309</v>
      </c>
      <c r="F41" s="28" t="n">
        <f aca="false">+F28+F38</f>
        <v>14908823.253368</v>
      </c>
      <c r="G41" s="28" t="n">
        <f aca="false">+G28+G38</f>
        <v>16489517.3189897</v>
      </c>
      <c r="H41" s="28" t="n">
        <f aca="false">+H28+H38</f>
        <v>20302857</v>
      </c>
      <c r="I41" s="28" t="n">
        <f aca="false">+I28+I38</f>
        <v>4857454</v>
      </c>
      <c r="J41" s="28" t="n">
        <f aca="false">+J28+J38</f>
        <v>10786328</v>
      </c>
      <c r="K41" s="28" t="n">
        <f aca="false">ROUND(+K28+K38,0)+1</f>
        <v>8407851</v>
      </c>
      <c r="L41" s="28" t="n">
        <f aca="false">+L28+L38</f>
        <v>3884764</v>
      </c>
      <c r="M41" s="28" t="n">
        <f aca="false">+M28+M38</f>
        <v>1214487</v>
      </c>
      <c r="N41" s="28" t="n">
        <f aca="false">+N28+N38</f>
        <v>6085107</v>
      </c>
      <c r="O41" s="2" t="n">
        <f aca="false">+O28+O38</f>
        <v>3097242</v>
      </c>
      <c r="P41" s="16" t="n">
        <f aca="false">SUM(C41:O41)</f>
        <v>154596009.097871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2" t="s">
        <v>52</v>
      </c>
      <c r="B42" s="2"/>
      <c r="C42" s="28" t="n">
        <f aca="false">C41</f>
        <v>42795665</v>
      </c>
      <c r="D42" s="28" t="n">
        <f aca="false">C42+D41</f>
        <v>56155122.189</v>
      </c>
      <c r="E42" s="28" t="n">
        <f aca="false">D42+E41</f>
        <v>64561578.5255131</v>
      </c>
      <c r="F42" s="28" t="n">
        <f aca="false">E42+F41</f>
        <v>79470401.7788811</v>
      </c>
      <c r="G42" s="28" t="n">
        <f aca="false">F42+G41</f>
        <v>95959919.0978708</v>
      </c>
      <c r="H42" s="28" t="n">
        <f aca="false">G42+H41</f>
        <v>116262776.097871</v>
      </c>
      <c r="I42" s="28" t="n">
        <f aca="false">H42+I41</f>
        <v>121120230.097871</v>
      </c>
      <c r="J42" s="28" t="n">
        <f aca="false">I42+J41</f>
        <v>131906558.097871</v>
      </c>
      <c r="K42" s="28" t="n">
        <f aca="false">J42+K41</f>
        <v>140314409.097871</v>
      </c>
      <c r="L42" s="28" t="n">
        <f aca="false">K42+L41</f>
        <v>144199173.097871</v>
      </c>
      <c r="M42" s="28" t="n">
        <f aca="false">L42+M41</f>
        <v>145413660.097871</v>
      </c>
      <c r="N42" s="28" t="n">
        <f aca="false">M42+N41</f>
        <v>151498767.097871</v>
      </c>
      <c r="O42" s="2" t="n">
        <f aca="false">N42+O41</f>
        <v>154596009.097871</v>
      </c>
      <c r="P42" s="16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12.75" hidden="false" customHeight="false" outlineLevel="0" collapsed="false">
      <c r="A43" s="1" t="s">
        <v>44</v>
      </c>
      <c r="B43" s="2"/>
      <c r="C43" s="28"/>
      <c r="D43" s="28"/>
      <c r="E43" s="28"/>
      <c r="F43" s="2"/>
      <c r="G43" s="28"/>
      <c r="H43" s="28"/>
      <c r="I43" s="28"/>
      <c r="J43" s="28"/>
      <c r="K43" s="2"/>
      <c r="L43" s="28"/>
      <c r="M43" s="28"/>
      <c r="N43" s="28"/>
      <c r="O43" s="2"/>
      <c r="P43" s="21" t="n">
        <f aca="false">+P41/C59/1000</f>
        <v>349.764726465771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12.75" hidden="false" customHeight="false" outlineLevel="0" collapsed="false">
      <c r="C44" s="28"/>
      <c r="D44" s="29"/>
      <c r="E44" s="29"/>
      <c r="G44" s="29"/>
      <c r="H44" s="29"/>
      <c r="I44" s="29"/>
      <c r="J44" s="29"/>
      <c r="L44" s="29"/>
      <c r="M44" s="29"/>
      <c r="N44" s="29"/>
      <c r="P44" s="16"/>
    </row>
    <row r="45" customFormat="false" ht="12.75" hidden="false" customHeight="false" outlineLevel="0" collapsed="false">
      <c r="A45" s="1" t="s">
        <v>55</v>
      </c>
      <c r="C45" s="28" t="n">
        <v>0</v>
      </c>
      <c r="D45" s="29"/>
      <c r="E45" s="29"/>
      <c r="G45" s="29"/>
      <c r="H45" s="29"/>
      <c r="I45" s="29" t="n">
        <v>0</v>
      </c>
      <c r="J45" s="29"/>
      <c r="L45" s="29"/>
      <c r="M45" s="29"/>
      <c r="N45" s="29"/>
      <c r="P45" s="19" t="n">
        <f aca="false">SUM(C45:O45)</f>
        <v>0</v>
      </c>
    </row>
    <row r="46" customFormat="false" ht="12.75" hidden="false" customHeight="false" outlineLevel="0" collapsed="false">
      <c r="A46" s="15"/>
      <c r="B46" s="2"/>
      <c r="C46" s="31"/>
      <c r="D46" s="28"/>
      <c r="E46" s="28"/>
      <c r="F46" s="2"/>
      <c r="G46" s="28"/>
      <c r="H46" s="28"/>
      <c r="I46" s="28"/>
      <c r="J46" s="28"/>
      <c r="K46" s="2"/>
      <c r="L46" s="28"/>
      <c r="M46" s="28"/>
      <c r="N46" s="28"/>
      <c r="O46" s="2"/>
      <c r="P46" s="16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1" t="s">
        <v>56</v>
      </c>
      <c r="C47" s="28" t="n">
        <f aca="false">+C41-C32</f>
        <v>41782615</v>
      </c>
      <c r="D47" s="28" t="n">
        <f aca="false">+D41-D32</f>
        <v>13016633.189</v>
      </c>
      <c r="E47" s="28" t="n">
        <f aca="false">+E41-E32</f>
        <v>8085156.417625</v>
      </c>
      <c r="F47" s="28" t="n">
        <f aca="false">+F41-F32</f>
        <v>14464905.39975</v>
      </c>
      <c r="G47" s="28" t="n">
        <f aca="false">+G41-G32</f>
        <v>15961461.634125</v>
      </c>
      <c r="H47" s="28" t="n">
        <f aca="false">+H41-H32</f>
        <v>20178340</v>
      </c>
      <c r="I47" s="28" t="n">
        <f aca="false">+I41-I32</f>
        <v>4132311</v>
      </c>
      <c r="J47" s="28" t="n">
        <f aca="false">+J41-J32</f>
        <v>10102202</v>
      </c>
      <c r="K47" s="2" t="n">
        <f aca="false">+K41-K32</f>
        <v>9091977</v>
      </c>
      <c r="L47" s="28" t="n">
        <f aca="false">ROUND(+L41-L32,0)</f>
        <v>4211533</v>
      </c>
      <c r="M47" s="28" t="n">
        <f aca="false">+M41-M32</f>
        <v>1214487</v>
      </c>
      <c r="N47" s="28" t="n">
        <f aca="false">+N41-N32</f>
        <v>6085107</v>
      </c>
      <c r="O47" s="2" t="n">
        <f aca="false">+O41-O32</f>
        <v>3097242</v>
      </c>
      <c r="P47" s="16" t="n">
        <f aca="false">SUM(C47:O47)</f>
        <v>151423970.6405</v>
      </c>
    </row>
    <row r="48" customFormat="false" ht="12.75" hidden="true" customHeight="false" outlineLevel="0" collapsed="false">
      <c r="A48" s="1" t="s">
        <v>85</v>
      </c>
      <c r="C48" s="32" t="n">
        <f aca="false">43104549+12435707+150775+27457</f>
        <v>55718488</v>
      </c>
      <c r="D48" s="32" t="n">
        <f aca="false">10781519+937500+315367+11785</f>
        <v>12046171</v>
      </c>
      <c r="E48" s="32" t="n">
        <f aca="false">32244564+321300+10279</f>
        <v>32576143</v>
      </c>
      <c r="F48" s="32" t="n">
        <f aca="false">500000+443918+6207</f>
        <v>950125</v>
      </c>
      <c r="G48" s="28" t="n">
        <f aca="false">IF(+G42-F49-G47&gt;0,G42-F49-G47,250000)</f>
        <v>250000</v>
      </c>
      <c r="H48" s="28" t="n">
        <v>0</v>
      </c>
      <c r="I48" s="2" t="n">
        <v>0</v>
      </c>
      <c r="J48" s="28" t="n">
        <v>0</v>
      </c>
      <c r="K48" s="2" t="n">
        <v>0</v>
      </c>
      <c r="L48" s="28"/>
      <c r="M48" s="28"/>
      <c r="N48" s="28"/>
      <c r="O48" s="2"/>
      <c r="P48" s="16"/>
    </row>
    <row r="49" customFormat="false" ht="12.75" hidden="true" customHeight="false" outlineLevel="0" collapsed="false">
      <c r="A49" s="1" t="s">
        <v>86</v>
      </c>
      <c r="C49" s="28" t="n">
        <f aca="false">+C48</f>
        <v>55718488</v>
      </c>
      <c r="D49" s="28" t="n">
        <f aca="false">+D48+C49</f>
        <v>67764659</v>
      </c>
      <c r="E49" s="28" t="n">
        <f aca="false">+E48+D49</f>
        <v>100340802</v>
      </c>
      <c r="F49" s="28" t="n">
        <f aca="false">+F48+E49</f>
        <v>101290927</v>
      </c>
      <c r="G49" s="28" t="n">
        <f aca="false">+G48+F49</f>
        <v>101540927</v>
      </c>
      <c r="H49" s="28" t="n">
        <v>0</v>
      </c>
      <c r="I49" s="2" t="n">
        <f aca="false">+I48+H49</f>
        <v>0</v>
      </c>
      <c r="J49" s="28" t="n">
        <f aca="false">+J48+I49</f>
        <v>0</v>
      </c>
      <c r="K49" s="2" t="n">
        <f aca="false">+K48+J49</f>
        <v>0</v>
      </c>
      <c r="L49" s="28"/>
      <c r="M49" s="28"/>
      <c r="N49" s="28"/>
      <c r="O49" s="2"/>
      <c r="P49" s="16"/>
    </row>
    <row r="50" customFormat="false" ht="12.75" hidden="false" customHeight="false" outlineLevel="0" collapsed="false">
      <c r="C50" s="28"/>
      <c r="D50" s="29"/>
      <c r="E50" s="29"/>
      <c r="G50" s="29"/>
      <c r="H50" s="29"/>
      <c r="J50" s="29"/>
      <c r="L50" s="29"/>
      <c r="M50" s="29"/>
      <c r="N50" s="29"/>
      <c r="P50" s="16"/>
    </row>
    <row r="51" customFormat="false" ht="12.75" hidden="false" customHeight="false" outlineLevel="0" collapsed="false">
      <c r="C51" s="28"/>
      <c r="D51" s="29"/>
      <c r="E51" s="29"/>
      <c r="G51" s="29"/>
      <c r="H51" s="29"/>
      <c r="J51" s="29"/>
      <c r="L51" s="29"/>
      <c r="M51" s="29"/>
      <c r="N51" s="29"/>
      <c r="P51" s="16"/>
    </row>
    <row r="52" customFormat="false" ht="13.5" hidden="false" customHeight="false" outlineLevel="0" collapsed="false">
      <c r="A52" s="2" t="s">
        <v>87</v>
      </c>
      <c r="C52" s="33" t="n">
        <f aca="false">+C41</f>
        <v>42795665</v>
      </c>
      <c r="D52" s="33" t="n">
        <f aca="false">+D41</f>
        <v>13359457.189</v>
      </c>
      <c r="E52" s="33" t="n">
        <f aca="false">+E41</f>
        <v>8406456.33651309</v>
      </c>
      <c r="F52" s="33" t="n">
        <f aca="false">+F41</f>
        <v>14908823.253368</v>
      </c>
      <c r="G52" s="33" t="n">
        <f aca="false">+G41</f>
        <v>16489517.3189897</v>
      </c>
      <c r="H52" s="33" t="n">
        <f aca="false">+H41</f>
        <v>20302857</v>
      </c>
      <c r="I52" s="33" t="n">
        <f aca="false">+I41</f>
        <v>4857454</v>
      </c>
      <c r="J52" s="33" t="n">
        <f aca="false">+J41</f>
        <v>10786328</v>
      </c>
      <c r="K52" s="33" t="n">
        <f aca="false">+K41</f>
        <v>8407851</v>
      </c>
      <c r="L52" s="33" t="n">
        <f aca="false">+L41</f>
        <v>3884764</v>
      </c>
      <c r="M52" s="33" t="n">
        <f aca="false">+M41</f>
        <v>1214487</v>
      </c>
      <c r="N52" s="33" t="n">
        <f aca="false">+N41</f>
        <v>6085107</v>
      </c>
      <c r="O52" s="33" t="n">
        <f aca="false">+O41</f>
        <v>3097242</v>
      </c>
      <c r="P52" s="34" t="n">
        <f aca="false">SUM(C52:O52)+1</f>
        <v>154596010.097871</v>
      </c>
      <c r="R52" s="1" t="n">
        <f aca="false">SUM(R10:R51)</f>
        <v>1.01053744170895</v>
      </c>
    </row>
    <row r="53" customFormat="false" ht="13.5" hidden="false" customHeight="false" outlineLevel="0" collapsed="false">
      <c r="A53" s="2" t="s">
        <v>88</v>
      </c>
      <c r="C53" s="35" t="n">
        <f aca="false">+C52</f>
        <v>42795665</v>
      </c>
      <c r="D53" s="35" t="n">
        <f aca="false">+D52+C53</f>
        <v>56155122.189</v>
      </c>
      <c r="E53" s="35" t="n">
        <f aca="false">+E52+D53</f>
        <v>64561578.5255131</v>
      </c>
      <c r="F53" s="35" t="n">
        <f aca="false">+F52+E53</f>
        <v>79470401.7788811</v>
      </c>
      <c r="G53" s="35" t="n">
        <f aca="false">+G52+F53</f>
        <v>95959919.0978708</v>
      </c>
      <c r="H53" s="35" t="n">
        <f aca="false">+H52+G53</f>
        <v>116262776.097871</v>
      </c>
      <c r="I53" s="35" t="n">
        <f aca="false">+I52+H53</f>
        <v>121120230.097871</v>
      </c>
      <c r="J53" s="35" t="n">
        <f aca="false">+J52+I53</f>
        <v>131906558.097871</v>
      </c>
      <c r="K53" s="36" t="n">
        <f aca="false">+K52+J53</f>
        <v>140314409.097871</v>
      </c>
      <c r="L53" s="35" t="n">
        <f aca="false">+L52+K53</f>
        <v>144199173.097871</v>
      </c>
      <c r="M53" s="35" t="n">
        <f aca="false">+M52+L53</f>
        <v>145413660.097871</v>
      </c>
      <c r="N53" s="35" t="n">
        <f aca="false">+N52+M53</f>
        <v>151498767.097871</v>
      </c>
      <c r="O53" s="36" t="n">
        <f aca="false">+O52+N53</f>
        <v>154596009.097871</v>
      </c>
      <c r="P53" s="16"/>
    </row>
    <row r="54" customFormat="false" ht="12.75" hidden="false" customHeight="false" outlineLevel="0" collapsed="false">
      <c r="C54" s="28"/>
      <c r="D54" s="29"/>
      <c r="E54" s="29"/>
      <c r="G54" s="29"/>
      <c r="H54" s="29"/>
      <c r="J54" s="29"/>
      <c r="L54" s="29"/>
      <c r="M54" s="29"/>
      <c r="N54" s="29"/>
      <c r="P54" s="37"/>
    </row>
    <row r="55" customFormat="false" ht="13.5" hidden="false" customHeight="false" outlineLevel="0" collapsed="false">
      <c r="A55" s="2" t="s">
        <v>89</v>
      </c>
      <c r="C55" s="33" t="n">
        <f aca="false">+C52+C45</f>
        <v>42795665</v>
      </c>
      <c r="D55" s="33" t="n">
        <f aca="false">+D52+D45</f>
        <v>13359457.189</v>
      </c>
      <c r="E55" s="33" t="n">
        <f aca="false">+E52+E45</f>
        <v>8406456.33651309</v>
      </c>
      <c r="F55" s="33" t="n">
        <f aca="false">+F52+F45</f>
        <v>14908823.253368</v>
      </c>
      <c r="G55" s="33" t="n">
        <f aca="false">+G52+G45</f>
        <v>16489517.3189897</v>
      </c>
      <c r="H55" s="33" t="n">
        <f aca="false">+H52+H45</f>
        <v>20302857</v>
      </c>
      <c r="I55" s="33" t="n">
        <f aca="false">+I52+I45</f>
        <v>4857454</v>
      </c>
      <c r="J55" s="33" t="n">
        <f aca="false">+J52+J45</f>
        <v>10786328</v>
      </c>
      <c r="K55" s="38" t="n">
        <f aca="false">+K52+K45</f>
        <v>8407851</v>
      </c>
      <c r="L55" s="33" t="n">
        <f aca="false">+L52+L45</f>
        <v>3884764</v>
      </c>
      <c r="M55" s="33" t="n">
        <f aca="false">+M52+M45</f>
        <v>1214487</v>
      </c>
      <c r="N55" s="33" t="n">
        <f aca="false">+N52+N45</f>
        <v>6085107</v>
      </c>
      <c r="O55" s="38" t="n">
        <f aca="false">+O52+O45</f>
        <v>3097242</v>
      </c>
      <c r="P55" s="34" t="n">
        <f aca="false">+P52+P45</f>
        <v>154596010.097871</v>
      </c>
      <c r="Q55" s="1" t="n">
        <f aca="false">+[1]Caledonia!$AY$198</f>
        <v>154596009.959333</v>
      </c>
      <c r="R55" s="1" t="n">
        <f aca="false">+Q55-P55</f>
        <v>-0.138537466526032</v>
      </c>
    </row>
    <row r="56" customFormat="false" ht="12.75" hidden="false" customHeight="false" outlineLevel="0" collapsed="false">
      <c r="G56" s="29"/>
      <c r="J56" s="29"/>
      <c r="L56" s="29"/>
      <c r="M56" s="29"/>
      <c r="N56" s="29"/>
      <c r="P56" s="0"/>
    </row>
    <row r="57" customFormat="false" ht="12.75" hidden="false" customHeight="false" outlineLevel="0" collapsed="false">
      <c r="A57" s="15" t="s">
        <v>90</v>
      </c>
      <c r="B57" s="2"/>
      <c r="C57" s="31" t="n">
        <v>0.1</v>
      </c>
      <c r="D57" s="39" t="n">
        <v>0.063675</v>
      </c>
      <c r="E57" s="39" t="n">
        <v>0.0568969</v>
      </c>
      <c r="F57" s="39" t="n">
        <v>0.0568813</v>
      </c>
      <c r="G57" s="39" t="n">
        <v>0.0568719</v>
      </c>
      <c r="H57" s="8" t="n">
        <v>0.065</v>
      </c>
      <c r="I57" s="8" t="n">
        <v>0.065</v>
      </c>
      <c r="J57" s="8" t="n">
        <v>0.065</v>
      </c>
      <c r="K57" s="8" t="n">
        <v>0.065</v>
      </c>
      <c r="L57" s="8" t="n">
        <v>0.065</v>
      </c>
      <c r="M57" s="8" t="n">
        <v>0.065</v>
      </c>
      <c r="N57" s="8" t="n">
        <v>0.065</v>
      </c>
      <c r="O57" s="8" t="n">
        <v>0.065</v>
      </c>
      <c r="P57" s="41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15" t="s">
        <v>91</v>
      </c>
      <c r="B58" s="2"/>
      <c r="C58" s="39" t="n">
        <v>0.0015</v>
      </c>
      <c r="D58" s="4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41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15"/>
      <c r="B59" s="2"/>
      <c r="C59" s="2" t="n">
        <v>442</v>
      </c>
      <c r="D59" s="2" t="s">
        <v>54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0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1" customFormat="false" ht="12.75" hidden="false" customHeight="false" outlineLevel="0" collapsed="false">
      <c r="C61" s="28" t="s">
        <v>92</v>
      </c>
      <c r="D61" s="1" t="s">
        <v>93</v>
      </c>
    </row>
    <row r="62" customFormat="false" ht="12.75" hidden="false" customHeight="false" outlineLevel="0" collapsed="false">
      <c r="C62" s="32"/>
      <c r="D62" s="1" t="str">
        <f aca="false">+Brownsville!D62</f>
        <v>Input from WestLB statements for each month's actuals (1/99 - 5/99)</v>
      </c>
    </row>
    <row r="64" customFormat="false" ht="12.75" hidden="false" customHeight="false" outlineLevel="0" collapsed="false">
      <c r="A64" s="9"/>
      <c r="B64" s="10"/>
      <c r="C64" s="11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</row>
    <row r="66" customFormat="false" ht="19.5" hidden="false" customHeight="false" outlineLevel="0" collapsed="false">
      <c r="A66" s="26"/>
    </row>
    <row r="67" customFormat="false" ht="12.75" hidden="false" customHeight="false" outlineLevel="0" collapsed="false">
      <c r="A67" s="9"/>
      <c r="C67" s="28"/>
      <c r="D67" s="29"/>
      <c r="E67" s="29"/>
    </row>
    <row r="68" customFormat="false" ht="12.75" hidden="false" customHeight="false" outlineLevel="0" collapsed="false">
      <c r="C68" s="28"/>
      <c r="D68" s="29"/>
      <c r="E68" s="29"/>
      <c r="L68" s="15"/>
      <c r="M68" s="15"/>
      <c r="N68" s="15"/>
      <c r="O68" s="15"/>
    </row>
    <row r="69" customFormat="false" ht="12.75" hidden="false" customHeight="false" outlineLevel="0" collapsed="false">
      <c r="C69" s="28"/>
      <c r="D69" s="29"/>
      <c r="E69" s="29"/>
    </row>
    <row r="70" customFormat="false" ht="12.75" hidden="false" customHeight="false" outlineLevel="0" collapsed="false">
      <c r="C70" s="28"/>
      <c r="D70" s="29"/>
      <c r="E70" s="29"/>
    </row>
    <row r="71" customFormat="false" ht="12.75" hidden="false" customHeight="false" outlineLevel="0" collapsed="false">
      <c r="A71" s="2"/>
      <c r="C71" s="28"/>
      <c r="D71" s="28"/>
      <c r="E71" s="28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customFormat="false" ht="12.75" hidden="false" customHeight="false" outlineLevel="0" collapsed="false">
      <c r="P72" s="43"/>
    </row>
  </sheetData>
  <mergeCells count="2">
    <mergeCell ref="D5:O5"/>
    <mergeCell ref="D64:O64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M34" activePane="bottomRight" state="frozen"/>
      <selection pane="topLeft" activeCell="A1" activeCellId="0" sqref="A1"/>
      <selection pane="topRight" activeCell="M1" activeCellId="0" sqref="M1"/>
      <selection pane="bottomLeft" activeCell="A34" activeCellId="0" sqref="A34"/>
      <selection pane="bottomRight" activeCell="O42" activeCellId="0" sqref="O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7.56"/>
    <col collapsed="false" customWidth="true" hidden="false" outlineLevel="0" max="2" min="2" style="1" width="1.7"/>
    <col collapsed="false" customWidth="true" hidden="false" outlineLevel="0" max="3" min="3" style="2" width="13.14"/>
    <col collapsed="false" customWidth="true" hidden="false" outlineLevel="0" max="4" min="4" style="1" width="14.99"/>
    <col collapsed="false" customWidth="true" hidden="false" outlineLevel="0" max="5" min="5" style="1" width="14.28"/>
    <col collapsed="false" customWidth="true" hidden="false" outlineLevel="0" max="7" min="6" style="1" width="12.28"/>
    <col collapsed="false" customWidth="true" hidden="false" outlineLevel="0" max="8" min="8" style="1" width="13.41"/>
    <col collapsed="false" customWidth="true" hidden="false" outlineLevel="0" max="9" min="9" style="1" width="13.56"/>
    <col collapsed="false" customWidth="true" hidden="false" outlineLevel="0" max="10" min="10" style="1" width="14.28"/>
    <col collapsed="false" customWidth="true" hidden="false" outlineLevel="0" max="11" min="11" style="1" width="14.85"/>
    <col collapsed="false" customWidth="true" hidden="false" outlineLevel="0" max="14" min="12" style="1" width="14.14"/>
    <col collapsed="false" customWidth="true" hidden="false" outlineLevel="0" max="15" min="15" style="1" width="13.7"/>
    <col collapsed="false" customWidth="true" hidden="false" outlineLevel="0" max="16" min="16" style="2" width="14.41"/>
    <col collapsed="false" customWidth="true" hidden="false" outlineLevel="0" max="17" min="17" style="1" width="12.28"/>
    <col collapsed="false" customWidth="true" hidden="false" outlineLevel="0" max="18" min="18" style="1" width="13.7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+Brownsville!D2</f>
        <v>Last updated:  Actuals through December 17,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 t="str">
        <f aca="true">CELL("filename")</f>
        <v>'file:///mnt/12tb/@roms/datasets/enron/EDRM Enron Email Data Set v2 XML/filtered-attachments/xls/TVADraw122199.xls'#$New Albany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74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7" t="n">
        <f aca="true">NOW()</f>
        <v>45926.9667274893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/>
      <c r="E5" s="12"/>
      <c r="F5" s="12"/>
      <c r="G5" s="12"/>
      <c r="H5" s="12"/>
      <c r="I5" s="12" t="s">
        <v>4</v>
      </c>
      <c r="J5" s="12"/>
      <c r="K5" s="12"/>
      <c r="L5" s="12"/>
      <c r="M5" s="12"/>
      <c r="N5" s="12"/>
      <c r="O5" s="12"/>
      <c r="P5" s="12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3" t="s">
        <v>6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9.5" hidden="false" customHeight="false" outlineLevel="0" collapsed="false">
      <c r="A7" s="26" t="s">
        <v>75</v>
      </c>
      <c r="B7" s="10"/>
      <c r="C7" s="10"/>
      <c r="D7" s="10"/>
      <c r="E7" s="10"/>
      <c r="F7" s="10"/>
      <c r="G7" s="10"/>
      <c r="H7" s="27"/>
      <c r="I7" s="10"/>
      <c r="J7" s="10"/>
      <c r="K7" s="10"/>
      <c r="L7" s="10"/>
      <c r="M7" s="10"/>
      <c r="N7" s="10"/>
      <c r="O7" s="10"/>
      <c r="P7" s="14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97</v>
      </c>
      <c r="B8" s="10"/>
      <c r="C8" s="10"/>
      <c r="D8" s="10"/>
      <c r="E8" s="10"/>
      <c r="F8" s="10"/>
      <c r="G8" s="10"/>
      <c r="H8" s="27"/>
      <c r="I8" s="10"/>
      <c r="J8" s="10"/>
      <c r="K8" s="10"/>
      <c r="L8" s="10"/>
      <c r="M8" s="10"/>
      <c r="N8" s="27"/>
      <c r="O8" s="10"/>
      <c r="P8" s="14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58</v>
      </c>
      <c r="B9" s="10"/>
      <c r="C9" s="10"/>
      <c r="D9" s="10"/>
      <c r="E9" s="10"/>
      <c r="F9" s="10"/>
      <c r="G9" s="10"/>
      <c r="H9" s="27"/>
      <c r="I9" s="10"/>
      <c r="J9" s="10"/>
      <c r="K9" s="10"/>
      <c r="L9" s="10"/>
      <c r="M9" s="10"/>
      <c r="N9" s="27"/>
      <c r="O9" s="10"/>
      <c r="P9" s="14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95</v>
      </c>
      <c r="C10" s="28" t="n">
        <f aca="false">52751407</f>
        <v>52751407</v>
      </c>
      <c r="D10" s="29" t="n">
        <f aca="false">13627541-133528</f>
        <v>13494013</v>
      </c>
      <c r="E10" s="29" t="n">
        <f aca="false">-700000-200500-100000</f>
        <v>-1000500</v>
      </c>
      <c r="F10" s="29" t="n">
        <f aca="false">946610+268110.4</f>
        <v>1214720.4</v>
      </c>
      <c r="G10" s="29" t="n">
        <v>5942931</v>
      </c>
      <c r="H10" s="29" t="n">
        <v>5639430</v>
      </c>
      <c r="I10" s="29" t="n">
        <v>518483</v>
      </c>
      <c r="J10" s="29" t="n">
        <v>761820</v>
      </c>
      <c r="K10" s="29" t="n">
        <v>807720</v>
      </c>
      <c r="L10" s="29" t="n">
        <v>295000</v>
      </c>
      <c r="M10" s="29" t="n">
        <v>115737</v>
      </c>
      <c r="N10" s="29" t="n">
        <v>56819</v>
      </c>
      <c r="O10" s="15" t="n">
        <v>2157008</v>
      </c>
      <c r="P10" s="16" t="n">
        <f aca="false">SUM(C10:O10)</f>
        <v>82754588.4</v>
      </c>
      <c r="Q10" s="1" t="n">
        <f aca="false">+[1]NewAlbany!AY25</f>
        <v>82754588.73</v>
      </c>
      <c r="R10" s="1" t="n">
        <f aca="false">+Q10-P10</f>
        <v>0.329999998211861</v>
      </c>
    </row>
    <row r="11" customFormat="false" ht="12.75" hidden="false" customHeight="false" outlineLevel="0" collapsed="false">
      <c r="A11" s="1" t="s">
        <v>29</v>
      </c>
      <c r="C11" s="28" t="n">
        <v>7430171</v>
      </c>
      <c r="D11" s="29" t="n">
        <v>3111381</v>
      </c>
      <c r="E11" s="29" t="n">
        <v>0</v>
      </c>
      <c r="F11" s="29" t="n">
        <v>-5415746</v>
      </c>
      <c r="G11" s="29" t="n">
        <v>248257</v>
      </c>
      <c r="H11" s="29" t="n">
        <v>1334950</v>
      </c>
      <c r="I11" s="29" t="n">
        <v>92004</v>
      </c>
      <c r="J11" s="29" t="n">
        <v>13613</v>
      </c>
      <c r="K11" s="29" t="n">
        <v>20000</v>
      </c>
      <c r="L11" s="29" t="n">
        <v>1036626</v>
      </c>
      <c r="M11" s="29" t="n">
        <v>20000</v>
      </c>
      <c r="N11" s="29" t="n">
        <v>0</v>
      </c>
      <c r="O11" s="1" t="n">
        <v>1</v>
      </c>
      <c r="P11" s="16" t="n">
        <f aca="false">SUM(C11:O11)</f>
        <v>7891257</v>
      </c>
      <c r="Q11" s="1" t="n">
        <f aca="false">+[1]NewAlbany!AY27</f>
        <v>7891256.53</v>
      </c>
      <c r="R11" s="1" t="n">
        <f aca="false">+Q11-P11</f>
        <v>-0.46999999973923</v>
      </c>
    </row>
    <row r="12" customFormat="false" ht="12.75" hidden="false" customHeight="false" outlineLevel="0" collapsed="false">
      <c r="A12" s="1" t="s">
        <v>24</v>
      </c>
      <c r="C12" s="28" t="n">
        <f aca="false">9471199-7430171</f>
        <v>2041028</v>
      </c>
      <c r="D12" s="29" t="n">
        <f aca="false">4096431+133528-3111381</f>
        <v>1118578</v>
      </c>
      <c r="E12" s="29" t="n">
        <v>293815</v>
      </c>
      <c r="F12" s="29" t="n">
        <f aca="false">1230000+587629</f>
        <v>1817629</v>
      </c>
      <c r="G12" s="29" t="n">
        <f aca="false">168550+615000</f>
        <v>783550</v>
      </c>
      <c r="H12" s="29" t="n">
        <v>3531431</v>
      </c>
      <c r="I12" s="29" t="n">
        <v>853259</v>
      </c>
      <c r="J12" s="29" t="n">
        <v>300000</v>
      </c>
      <c r="K12" s="29" t="n">
        <v>6600</v>
      </c>
      <c r="L12" s="29" t="n">
        <v>724514</v>
      </c>
      <c r="M12" s="29" t="n">
        <v>0</v>
      </c>
      <c r="N12" s="29" t="n">
        <v>0</v>
      </c>
      <c r="O12" s="1" t="n">
        <f aca="false">51445-184973</f>
        <v>-133528</v>
      </c>
      <c r="P12" s="16" t="n">
        <f aca="false">SUM(C12:O12)</f>
        <v>11336876</v>
      </c>
      <c r="Q12" s="1" t="n">
        <f aca="false">+[1]NewAlbany!AY41</f>
        <v>11336875.91</v>
      </c>
      <c r="R12" s="1" t="n">
        <f aca="false">+Q12-P12</f>
        <v>-0.0899999998509884</v>
      </c>
    </row>
    <row r="13" customFormat="false" ht="12.75" hidden="false" customHeight="false" outlineLevel="0" collapsed="false">
      <c r="A13" s="1" t="s">
        <v>25</v>
      </c>
      <c r="C13" s="28" t="n">
        <v>134978</v>
      </c>
      <c r="D13" s="29" t="n">
        <v>36683</v>
      </c>
      <c r="E13" s="29" t="n">
        <v>0</v>
      </c>
      <c r="F13" s="15" t="n">
        <v>0</v>
      </c>
      <c r="G13" s="29" t="n">
        <v>15908</v>
      </c>
      <c r="H13" s="29" t="n">
        <v>0</v>
      </c>
      <c r="I13" s="29" t="n">
        <v>541378</v>
      </c>
      <c r="J13" s="29" t="n">
        <v>174321</v>
      </c>
      <c r="K13" s="29" t="n">
        <f aca="false">66961</f>
        <v>66961</v>
      </c>
      <c r="L13" s="29" t="n">
        <v>0</v>
      </c>
      <c r="M13" s="29" t="n">
        <v>107095</v>
      </c>
      <c r="N13" s="29" t="n">
        <v>8577</v>
      </c>
      <c r="O13" s="1" t="n">
        <v>113778</v>
      </c>
      <c r="P13" s="16" t="n">
        <f aca="false">SUM(C13:O13)</f>
        <v>1199679</v>
      </c>
      <c r="Q13" s="1" t="n">
        <f aca="false">+[1]NewAlbany!AY51</f>
        <v>1199679</v>
      </c>
      <c r="R13" s="1" t="n">
        <f aca="false">+Q13-P13</f>
        <v>0</v>
      </c>
    </row>
    <row r="14" customFormat="false" ht="12.75" hidden="false" customHeight="false" outlineLevel="0" collapsed="false">
      <c r="A14" s="1" t="s">
        <v>26</v>
      </c>
      <c r="C14" s="28" t="n">
        <v>270744</v>
      </c>
      <c r="D14" s="29" t="n">
        <v>392941</v>
      </c>
      <c r="E14" s="29" t="n">
        <v>674363</v>
      </c>
      <c r="F14" s="29" t="n">
        <v>1756963</v>
      </c>
      <c r="G14" s="29" t="n">
        <v>0</v>
      </c>
      <c r="H14" s="29" t="n">
        <v>4390660</v>
      </c>
      <c r="I14" s="29" t="n">
        <v>4408350</v>
      </c>
      <c r="J14" s="29" t="n">
        <v>7502651</v>
      </c>
      <c r="K14" s="29" t="n">
        <v>5239722</v>
      </c>
      <c r="L14" s="29" t="n">
        <v>3901236</v>
      </c>
      <c r="M14" s="29" t="n">
        <v>1735395</v>
      </c>
      <c r="N14" s="29" t="n">
        <v>1149530</v>
      </c>
      <c r="O14" s="1" t="n">
        <f aca="false">2102445-1842444+1842444+6556</f>
        <v>2109001</v>
      </c>
      <c r="P14" s="16" t="n">
        <f aca="false">SUM(C14:O14)</f>
        <v>33531556</v>
      </c>
      <c r="Q14" s="1" t="n">
        <f aca="false">+[1]NewAlbany!AY141</f>
        <v>33531556.17</v>
      </c>
      <c r="R14" s="1" t="n">
        <f aca="false">+Q14-P14</f>
        <v>0.170000001788139</v>
      </c>
    </row>
    <row r="15" customFormat="false" ht="12.75" hidden="false" customHeight="false" outlineLevel="0" collapsed="false">
      <c r="A15" s="1" t="s">
        <v>27</v>
      </c>
      <c r="C15" s="28" t="n">
        <v>6111</v>
      </c>
      <c r="D15" s="29" t="n">
        <v>11487</v>
      </c>
      <c r="E15" s="29" t="n">
        <v>0</v>
      </c>
      <c r="F15" s="15" t="n">
        <v>0</v>
      </c>
      <c r="G15" s="29" t="n">
        <v>91858</v>
      </c>
      <c r="H15" s="29" t="n">
        <v>166373</v>
      </c>
      <c r="I15" s="29" t="n">
        <v>242196</v>
      </c>
      <c r="J15" s="29" t="n">
        <v>108546</v>
      </c>
      <c r="K15" s="29" t="n">
        <v>112784</v>
      </c>
      <c r="L15" s="29" t="n">
        <v>37105</v>
      </c>
      <c r="M15" s="29" t="n">
        <v>7825</v>
      </c>
      <c r="N15" s="29" t="n">
        <v>2323</v>
      </c>
      <c r="O15" s="1" t="n">
        <v>1</v>
      </c>
      <c r="P15" s="16" t="n">
        <f aca="false">SUM(C15:O15)</f>
        <v>786609</v>
      </c>
      <c r="Q15" s="1" t="n">
        <f aca="false">+[1]NewAlbany!AY147</f>
        <v>786608.59</v>
      </c>
      <c r="R15" s="1" t="n">
        <f aca="false">+Q15-P15</f>
        <v>-0.410000000032596</v>
      </c>
    </row>
    <row r="16" customFormat="false" ht="12.75" hidden="false" customHeight="false" outlineLevel="0" collapsed="false">
      <c r="A16" s="1" t="s">
        <v>98</v>
      </c>
      <c r="C16" s="28" t="n">
        <v>0</v>
      </c>
      <c r="D16" s="29" t="n">
        <v>0</v>
      </c>
      <c r="E16" s="29" t="n">
        <v>0</v>
      </c>
      <c r="F16" s="15" t="n">
        <v>0</v>
      </c>
      <c r="G16" s="29" t="n">
        <v>0</v>
      </c>
      <c r="H16" s="29" t="n">
        <v>0</v>
      </c>
      <c r="I16" s="1" t="n">
        <v>0</v>
      </c>
      <c r="J16" s="29" t="n">
        <v>0</v>
      </c>
      <c r="K16" s="29" t="n">
        <v>39923</v>
      </c>
      <c r="L16" s="29" t="n">
        <v>689524</v>
      </c>
      <c r="M16" s="29" t="n">
        <v>18842</v>
      </c>
      <c r="N16" s="29" t="n">
        <v>0</v>
      </c>
      <c r="O16" s="1" t="n">
        <v>64761</v>
      </c>
      <c r="P16" s="16" t="n">
        <f aca="false">SUM(C16:O16)</f>
        <v>813050</v>
      </c>
      <c r="Q16" s="1" t="n">
        <f aca="false">+[1]NewAlbany!AY149</f>
        <v>813050</v>
      </c>
      <c r="R16" s="1" t="n">
        <f aca="false">+Q16-P16</f>
        <v>0</v>
      </c>
    </row>
    <row r="17" customFormat="false" ht="12.75" hidden="false" customHeight="false" outlineLevel="0" collapsed="false">
      <c r="A17" s="1" t="s">
        <v>30</v>
      </c>
      <c r="C17" s="28" t="n">
        <v>169276</v>
      </c>
      <c r="D17" s="29" t="n">
        <v>0</v>
      </c>
      <c r="E17" s="29" t="n">
        <v>0</v>
      </c>
      <c r="F17" s="15" t="n">
        <v>0</v>
      </c>
      <c r="G17" s="29" t="n">
        <v>0</v>
      </c>
      <c r="H17" s="29" t="n">
        <v>3333</v>
      </c>
      <c r="I17" s="1" t="n">
        <v>0</v>
      </c>
      <c r="J17" s="29" t="n">
        <v>0</v>
      </c>
      <c r="K17" s="29" t="n">
        <v>0</v>
      </c>
      <c r="L17" s="29" t="n">
        <v>0</v>
      </c>
      <c r="M17" s="29" t="n">
        <v>0</v>
      </c>
      <c r="N17" s="29" t="n">
        <v>0</v>
      </c>
      <c r="O17" s="1" t="n">
        <v>0</v>
      </c>
      <c r="P17" s="16" t="n">
        <f aca="false">SUM(C17:O17)</f>
        <v>172609</v>
      </c>
      <c r="Q17" s="1" t="n">
        <f aca="false">+[1]NewAlbany!AY153</f>
        <v>172609.34</v>
      </c>
      <c r="R17" s="1" t="n">
        <f aca="false">+Q17-P17</f>
        <v>0.339999999996508</v>
      </c>
    </row>
    <row r="18" customFormat="false" ht="12.75" hidden="false" customHeight="false" outlineLevel="0" collapsed="false">
      <c r="A18" s="1" t="s">
        <v>32</v>
      </c>
      <c r="C18" s="28" t="n">
        <v>209531</v>
      </c>
      <c r="D18" s="29" t="n">
        <v>205</v>
      </c>
      <c r="E18" s="29" t="n">
        <v>12317</v>
      </c>
      <c r="F18" s="15" t="n">
        <v>0</v>
      </c>
      <c r="G18" s="29" t="n">
        <v>0</v>
      </c>
      <c r="H18" s="29" t="n">
        <v>11450</v>
      </c>
      <c r="J18" s="29" t="n">
        <v>14830</v>
      </c>
      <c r="K18" s="29" t="n">
        <v>130</v>
      </c>
      <c r="L18" s="29" t="n">
        <v>0</v>
      </c>
      <c r="M18" s="29" t="n">
        <v>106440</v>
      </c>
      <c r="N18" s="29" t="n">
        <v>0</v>
      </c>
      <c r="O18" s="1" t="n">
        <v>0</v>
      </c>
      <c r="P18" s="16" t="n">
        <f aca="false">SUM(C18:O18)</f>
        <v>354903</v>
      </c>
      <c r="Q18" s="1" t="n">
        <f aca="false">+[1]NewAlbany!AY157</f>
        <v>354903.46</v>
      </c>
      <c r="R18" s="1" t="n">
        <f aca="false">+Q18-P18</f>
        <v>0.460000000020955</v>
      </c>
    </row>
    <row r="19" customFormat="false" ht="12.75" hidden="false" customHeight="false" outlineLevel="0" collapsed="false">
      <c r="A19" s="1" t="s">
        <v>33</v>
      </c>
      <c r="C19" s="28" t="n">
        <v>0</v>
      </c>
      <c r="D19" s="29" t="n">
        <v>0</v>
      </c>
      <c r="E19" s="29" t="n">
        <v>0</v>
      </c>
      <c r="F19" s="15" t="n">
        <v>0</v>
      </c>
      <c r="G19" s="29" t="n">
        <v>0</v>
      </c>
      <c r="H19" s="29" t="n">
        <v>0</v>
      </c>
      <c r="I19" s="1" t="n">
        <v>0</v>
      </c>
      <c r="J19" s="29" t="n">
        <v>0</v>
      </c>
      <c r="K19" s="29" t="n">
        <v>0</v>
      </c>
      <c r="L19" s="29" t="n">
        <v>0</v>
      </c>
      <c r="M19" s="29" t="n">
        <v>0</v>
      </c>
      <c r="N19" s="29" t="n">
        <v>0</v>
      </c>
      <c r="O19" s="1" t="n">
        <v>0</v>
      </c>
      <c r="P19" s="16" t="n">
        <f aca="false">SUM(C19:O19)</f>
        <v>0</v>
      </c>
      <c r="Q19" s="1" t="n">
        <f aca="false">+[1]NewAlbany!AY159</f>
        <v>0</v>
      </c>
      <c r="R19" s="1" t="n">
        <f aca="false">+Q19-P19</f>
        <v>0</v>
      </c>
    </row>
    <row r="20" customFormat="false" ht="12.75" hidden="false" customHeight="false" outlineLevel="0" collapsed="false">
      <c r="A20" s="1" t="s">
        <v>35</v>
      </c>
      <c r="C20" s="28" t="n">
        <v>0</v>
      </c>
      <c r="D20" s="29" t="n">
        <v>71060</v>
      </c>
      <c r="E20" s="29" t="n">
        <v>0</v>
      </c>
      <c r="F20" s="15" t="n">
        <v>0</v>
      </c>
      <c r="G20" s="29" t="n">
        <v>719016</v>
      </c>
      <c r="H20" s="29" t="n">
        <v>0</v>
      </c>
      <c r="I20" s="29" t="n">
        <v>644133</v>
      </c>
      <c r="J20" s="29" t="n">
        <v>169598</v>
      </c>
      <c r="K20" s="29" t="n">
        <v>185299</v>
      </c>
      <c r="L20" s="29" t="n">
        <v>72188</v>
      </c>
      <c r="M20" s="29" t="n">
        <v>12905</v>
      </c>
      <c r="N20" s="29" t="n">
        <v>156684</v>
      </c>
      <c r="O20" s="1" t="n">
        <v>119924</v>
      </c>
      <c r="P20" s="16" t="n">
        <f aca="false">SUM(C20:O20)</f>
        <v>2150807</v>
      </c>
      <c r="Q20" s="1" t="n">
        <f aca="false">+[1]NewAlbany!AY166</f>
        <v>2150806.664</v>
      </c>
      <c r="R20" s="1" t="n">
        <f aca="false">+Q20-P20</f>
        <v>-0.33600000012666</v>
      </c>
    </row>
    <row r="21" customFormat="false" ht="12.75" hidden="false" customHeight="false" outlineLevel="0" collapsed="false">
      <c r="A21" s="1" t="s">
        <v>36</v>
      </c>
      <c r="C21" s="28" t="n">
        <v>0</v>
      </c>
      <c r="D21" s="29" t="n">
        <v>0</v>
      </c>
      <c r="E21" s="29" t="n">
        <v>0</v>
      </c>
      <c r="F21" s="15" t="n">
        <v>0</v>
      </c>
      <c r="G21" s="29" t="n">
        <v>50000</v>
      </c>
      <c r="H21" s="29" t="n">
        <v>54684</v>
      </c>
      <c r="I21" s="29" t="n">
        <v>131581</v>
      </c>
      <c r="J21" s="29" t="n">
        <v>138751</v>
      </c>
      <c r="K21" s="29" t="n">
        <v>0</v>
      </c>
      <c r="L21" s="29" t="n">
        <v>0</v>
      </c>
      <c r="M21" s="29" t="n">
        <v>0</v>
      </c>
      <c r="N21" s="29" t="n">
        <v>0</v>
      </c>
      <c r="O21" s="1" t="n">
        <v>0</v>
      </c>
      <c r="P21" s="16" t="n">
        <f aca="false">SUM(C21:O21)</f>
        <v>375016</v>
      </c>
      <c r="Q21" s="1" t="n">
        <f aca="false">+[1]NewAlbany!AY216</f>
        <v>375015.74</v>
      </c>
      <c r="R21" s="1" t="n">
        <f aca="false">+Q21-P21</f>
        <v>-0.260000000009313</v>
      </c>
    </row>
    <row r="22" customFormat="false" ht="12.75" hidden="false" customHeight="false" outlineLevel="0" collapsed="false">
      <c r="A22" s="1" t="s">
        <v>37</v>
      </c>
      <c r="C22" s="28" t="n">
        <v>162185.68</v>
      </c>
      <c r="D22" s="29" t="n">
        <v>64952</v>
      </c>
      <c r="E22" s="29" t="n">
        <v>4730</v>
      </c>
      <c r="F22" s="15" t="n">
        <v>0</v>
      </c>
      <c r="G22" s="29" t="n">
        <v>0</v>
      </c>
      <c r="H22" s="29" t="n">
        <v>0</v>
      </c>
      <c r="I22" s="1" t="n">
        <v>0</v>
      </c>
      <c r="J22" s="29" t="n">
        <v>85968</v>
      </c>
      <c r="K22" s="29" t="n">
        <v>0</v>
      </c>
      <c r="L22" s="29" t="n">
        <v>0</v>
      </c>
      <c r="M22" s="29" t="n">
        <v>0</v>
      </c>
      <c r="N22" s="29" t="n">
        <v>0</v>
      </c>
      <c r="O22" s="1" t="n">
        <v>-217836</v>
      </c>
      <c r="P22" s="16" t="n">
        <f aca="false">SUM(C22:O22)</f>
        <v>99999.68</v>
      </c>
      <c r="Q22" s="1" t="n">
        <f aca="false">+[1]NewAlbany!AY168</f>
        <v>100000</v>
      </c>
      <c r="R22" s="1" t="n">
        <f aca="false">+Q22-P22</f>
        <v>0.320000000006985</v>
      </c>
    </row>
    <row r="23" customFormat="false" ht="12.75" hidden="false" customHeight="false" outlineLevel="0" collapsed="false">
      <c r="A23" s="1" t="s">
        <v>70</v>
      </c>
      <c r="C23" s="28" t="n">
        <v>63535</v>
      </c>
      <c r="D23" s="29" t="n">
        <v>0</v>
      </c>
      <c r="E23" s="29" t="n">
        <v>0</v>
      </c>
      <c r="F23" s="15" t="n">
        <v>0</v>
      </c>
      <c r="G23" s="29" t="n">
        <v>-826</v>
      </c>
      <c r="H23" s="29" t="n">
        <v>0</v>
      </c>
      <c r="I23" s="1" t="n">
        <v>0</v>
      </c>
      <c r="J23" s="1" t="n">
        <v>0</v>
      </c>
      <c r="K23" s="29" t="n">
        <v>0</v>
      </c>
      <c r="L23" s="29" t="n">
        <v>0</v>
      </c>
      <c r="M23" s="29" t="n">
        <v>0</v>
      </c>
      <c r="N23" s="29" t="n">
        <v>0</v>
      </c>
      <c r="O23" s="1" t="n">
        <v>0</v>
      </c>
      <c r="P23" s="16" t="n">
        <f aca="false">SUM(C23:O23)</f>
        <v>62709</v>
      </c>
      <c r="Q23" s="1" t="n">
        <f aca="false">+[1]NewAlbany!AY191</f>
        <v>62709.15</v>
      </c>
      <c r="R23" s="1" t="n">
        <f aca="false">+Q23-P23</f>
        <v>0.150000000001455</v>
      </c>
    </row>
    <row r="24" customFormat="false" ht="12.75" hidden="false" customHeight="false" outlineLevel="0" collapsed="false">
      <c r="A24" s="1" t="s">
        <v>38</v>
      </c>
      <c r="C24" s="28" t="n">
        <v>0</v>
      </c>
      <c r="D24" s="29" t="n">
        <v>0</v>
      </c>
      <c r="E24" s="29" t="n">
        <v>0</v>
      </c>
      <c r="F24" s="29" t="n">
        <v>201497</v>
      </c>
      <c r="G24" s="29" t="n">
        <v>0</v>
      </c>
      <c r="H24" s="29" t="n">
        <v>22112</v>
      </c>
      <c r="I24" s="1" t="n">
        <v>0</v>
      </c>
      <c r="J24" s="1" t="n">
        <v>0</v>
      </c>
      <c r="K24" s="29" t="n">
        <v>0</v>
      </c>
      <c r="L24" s="29" t="n">
        <v>67030</v>
      </c>
      <c r="M24" s="29" t="n">
        <v>0</v>
      </c>
      <c r="N24" s="29" t="n">
        <v>0</v>
      </c>
      <c r="O24" s="1" t="n">
        <v>35888</v>
      </c>
      <c r="P24" s="16" t="n">
        <f aca="false">SUM(C24:O24)</f>
        <v>326527</v>
      </c>
      <c r="Q24" s="1" t="n">
        <f aca="false">+[1]NewAlbany!AY170</f>
        <v>326527</v>
      </c>
      <c r="R24" s="1" t="n">
        <f aca="false">+Q24-P24</f>
        <v>0</v>
      </c>
    </row>
    <row r="25" customFormat="false" ht="12.75" hidden="false" customHeight="false" outlineLevel="0" collapsed="false">
      <c r="A25" s="1" t="s">
        <v>39</v>
      </c>
      <c r="C25" s="28" t="n">
        <v>0</v>
      </c>
      <c r="D25" s="29" t="n">
        <v>0</v>
      </c>
      <c r="E25" s="29" t="n">
        <v>11127</v>
      </c>
      <c r="F25" s="15" t="n">
        <v>0</v>
      </c>
      <c r="G25" s="29" t="n">
        <v>3775</v>
      </c>
      <c r="H25" s="29" t="n">
        <v>29108</v>
      </c>
      <c r="I25" s="29" t="n">
        <f aca="false">13553+1</f>
        <v>13554</v>
      </c>
      <c r="J25" s="29" t="n">
        <f aca="false">6061-1</f>
        <v>6060</v>
      </c>
      <c r="K25" s="29" t="n">
        <v>0</v>
      </c>
      <c r="L25" s="29" t="n">
        <v>0</v>
      </c>
      <c r="M25" s="29" t="n">
        <v>0</v>
      </c>
      <c r="N25" s="29" t="n">
        <v>0</v>
      </c>
      <c r="O25" s="1" t="n">
        <v>0</v>
      </c>
      <c r="P25" s="16" t="n">
        <f aca="false">SUM(C25:O25)</f>
        <v>63624</v>
      </c>
      <c r="Q25" s="1" t="n">
        <f aca="false">+[1]NewAlbany!AY172</f>
        <v>63623.9</v>
      </c>
      <c r="R25" s="1" t="n">
        <f aca="false">+Q25-P25</f>
        <v>-0.0999999999985448</v>
      </c>
    </row>
    <row r="26" customFormat="false" ht="12.75" hidden="false" customHeight="false" outlineLevel="0" collapsed="false">
      <c r="A26" s="1" t="s">
        <v>40</v>
      </c>
      <c r="C26" s="28" t="n">
        <v>186836</v>
      </c>
      <c r="D26" s="29" t="n">
        <v>29347</v>
      </c>
      <c r="E26" s="29" t="n">
        <f aca="false">3334+1465-1</f>
        <v>4798</v>
      </c>
      <c r="F26" s="29" t="n">
        <v>-13959</v>
      </c>
      <c r="G26" s="29" t="n">
        <f aca="false">5323+1</f>
        <v>5324</v>
      </c>
      <c r="H26" s="29" t="n">
        <v>148591</v>
      </c>
      <c r="I26" s="29" t="n">
        <v>42813</v>
      </c>
      <c r="J26" s="29" t="n">
        <v>89041</v>
      </c>
      <c r="K26" s="29" t="n">
        <v>78710</v>
      </c>
      <c r="L26" s="29" t="n">
        <v>55226</v>
      </c>
      <c r="M26" s="29" t="n">
        <f aca="false">3979+4115</f>
        <v>8094</v>
      </c>
      <c r="N26" s="29" t="n">
        <v>3363</v>
      </c>
      <c r="O26" s="1" t="n">
        <v>-2</v>
      </c>
      <c r="P26" s="16" t="n">
        <f aca="false">SUM(C26:O26)</f>
        <v>638182</v>
      </c>
      <c r="Q26" s="1" t="n">
        <f aca="false">+[1]NewAlbany!AY205</f>
        <v>638181.85</v>
      </c>
      <c r="R26" s="1" t="n">
        <f aca="false">+Q26-P26</f>
        <v>-0.150000000139698</v>
      </c>
    </row>
    <row r="27" customFormat="false" ht="12.75" hidden="false" customHeight="false" outlineLevel="0" collapsed="false">
      <c r="A27" s="1" t="s">
        <v>41</v>
      </c>
      <c r="C27" s="28" t="n">
        <v>112431</v>
      </c>
      <c r="D27" s="29" t="n">
        <v>5498</v>
      </c>
      <c r="E27" s="29" t="n">
        <v>133167</v>
      </c>
      <c r="F27" s="15" t="n">
        <v>0</v>
      </c>
      <c r="G27" s="29" t="n">
        <v>0</v>
      </c>
      <c r="H27" s="29" t="n">
        <v>190115</v>
      </c>
      <c r="I27" s="1" t="n">
        <f aca="false">111151-111151</f>
        <v>0</v>
      </c>
      <c r="J27" s="29" t="n">
        <v>54871</v>
      </c>
      <c r="K27" s="29" t="n">
        <v>0</v>
      </c>
      <c r="L27" s="29" t="n">
        <f aca="false">5095+3575+23047+2014</f>
        <v>33731</v>
      </c>
      <c r="M27" s="29" t="n">
        <f aca="false">533+2441</f>
        <v>2974</v>
      </c>
      <c r="N27" s="29" t="n">
        <v>6180</v>
      </c>
      <c r="O27" s="1" t="n">
        <v>-1</v>
      </c>
      <c r="P27" s="16" t="n">
        <f aca="false">SUM(C27:O27)</f>
        <v>538966</v>
      </c>
      <c r="Q27" s="1" t="n">
        <f aca="false">+[1]NewAlbany!AY214</f>
        <v>538966.38</v>
      </c>
      <c r="R27" s="1" t="n">
        <f aca="false">+Q27-P27</f>
        <v>0.380000000004657</v>
      </c>
    </row>
    <row r="28" customFormat="false" ht="12.75" hidden="false" customHeight="false" outlineLevel="0" collapsed="false">
      <c r="A28" s="1" t="s">
        <v>79</v>
      </c>
      <c r="C28" s="28" t="n">
        <v>0</v>
      </c>
      <c r="D28" s="29" t="n">
        <v>0</v>
      </c>
      <c r="E28" s="29" t="n">
        <v>0</v>
      </c>
      <c r="F28" s="15" t="n">
        <v>0</v>
      </c>
      <c r="G28" s="29" t="n">
        <v>0</v>
      </c>
      <c r="H28" s="29" t="n">
        <v>0</v>
      </c>
      <c r="I28" s="1" t="n">
        <v>0</v>
      </c>
      <c r="L28" s="29" t="n">
        <v>0</v>
      </c>
      <c r="M28" s="29" t="n">
        <v>0</v>
      </c>
      <c r="N28" s="29" t="n">
        <v>0</v>
      </c>
      <c r="O28" s="1" t="n">
        <v>0</v>
      </c>
      <c r="P28" s="16" t="n">
        <f aca="false">SUM(C28:O28)</f>
        <v>0</v>
      </c>
    </row>
    <row r="29" customFormat="false" ht="12.75" hidden="false" customHeight="false" outlineLevel="0" collapsed="false">
      <c r="A29" s="1" t="s">
        <v>42</v>
      </c>
      <c r="C29" s="30" t="n">
        <f aca="false">SUM(C10:C28)</f>
        <v>63538233.68</v>
      </c>
      <c r="D29" s="30" t="n">
        <f aca="false">SUM(D10:D28)</f>
        <v>18336145</v>
      </c>
      <c r="E29" s="30" t="n">
        <f aca="false">SUM(E10:E28)</f>
        <v>133817</v>
      </c>
      <c r="F29" s="30" t="n">
        <f aca="false">SUM(F10:F28)</f>
        <v>-438895.6</v>
      </c>
      <c r="G29" s="30" t="n">
        <f aca="false">SUM(G10:G28)</f>
        <v>7859793</v>
      </c>
      <c r="H29" s="30" t="n">
        <f aca="false">SUM(H10:H28)</f>
        <v>15522237</v>
      </c>
      <c r="I29" s="30" t="n">
        <f aca="false">SUM(I10:I28)</f>
        <v>7487751</v>
      </c>
      <c r="J29" s="30" t="n">
        <f aca="false">SUM(J10:J28)</f>
        <v>9420070</v>
      </c>
      <c r="K29" s="30" t="n">
        <f aca="false">SUM(K10:K28)</f>
        <v>6557849</v>
      </c>
      <c r="L29" s="30" t="n">
        <f aca="false">SUM(L10:L28)</f>
        <v>6912180</v>
      </c>
      <c r="M29" s="30" t="n">
        <f aca="false">SUM(M10:M28)</f>
        <v>2135307</v>
      </c>
      <c r="N29" s="30" t="n">
        <f aca="false">SUM(N10:N28)</f>
        <v>1383476</v>
      </c>
      <c r="O29" s="18" t="n">
        <f aca="false">SUM(O10:O28)</f>
        <v>4248995</v>
      </c>
      <c r="P29" s="19" t="n">
        <f aca="false">SUM(C29:O29)</f>
        <v>143096958.08</v>
      </c>
    </row>
    <row r="30" customFormat="false" ht="12.75" hidden="false" customHeight="false" outlineLevel="0" collapsed="false">
      <c r="A30" s="1" t="s">
        <v>43</v>
      </c>
      <c r="C30" s="30" t="n">
        <f aca="false">+C29</f>
        <v>63538233.68</v>
      </c>
      <c r="D30" s="30" t="n">
        <f aca="false">+C30+D29</f>
        <v>81874378.68</v>
      </c>
      <c r="E30" s="30" t="n">
        <f aca="false">+D30+E29</f>
        <v>82008195.68</v>
      </c>
      <c r="F30" s="30" t="n">
        <f aca="false">+E30+F29</f>
        <v>81569300.08</v>
      </c>
      <c r="G30" s="30" t="n">
        <f aca="false">+F30+G29</f>
        <v>89429093.08</v>
      </c>
      <c r="H30" s="30" t="n">
        <f aca="false">+G30+H29</f>
        <v>104951330.08</v>
      </c>
      <c r="I30" s="30" t="n">
        <f aca="false">+H30+I29</f>
        <v>112439081.08</v>
      </c>
      <c r="J30" s="30" t="n">
        <f aca="false">+I30+J29</f>
        <v>121859151.08</v>
      </c>
      <c r="K30" s="30" t="n">
        <f aca="false">+J30+K29</f>
        <v>128417000.08</v>
      </c>
      <c r="L30" s="30" t="n">
        <f aca="false">+K30+L29</f>
        <v>135329180.08</v>
      </c>
      <c r="M30" s="30" t="n">
        <f aca="false">+L30+M29</f>
        <v>137464487.08</v>
      </c>
      <c r="N30" s="30" t="n">
        <f aca="false">+M30+N29</f>
        <v>138847963.08</v>
      </c>
      <c r="O30" s="18" t="n">
        <f aca="false">+N30+O29</f>
        <v>143096958.08</v>
      </c>
      <c r="P30" s="20"/>
    </row>
    <row r="31" customFormat="false" ht="12.75" hidden="false" customHeight="false" outlineLevel="0" collapsed="false">
      <c r="A31" s="1" t="s">
        <v>44</v>
      </c>
      <c r="C31" s="28"/>
      <c r="D31" s="29"/>
      <c r="E31" s="29"/>
      <c r="F31" s="15"/>
      <c r="G31" s="29"/>
      <c r="H31" s="29"/>
      <c r="I31" s="29"/>
      <c r="J31" s="29"/>
      <c r="K31" s="29"/>
      <c r="L31" s="29"/>
      <c r="M31" s="29"/>
      <c r="N31" s="29"/>
      <c r="P31" s="21" t="n">
        <f aca="false">+P29/C59/1000</f>
        <v>369.759581602067</v>
      </c>
    </row>
    <row r="32" customFormat="false" ht="12.75" hidden="false" customHeight="false" outlineLevel="0" collapsed="false">
      <c r="C32" s="28"/>
      <c r="D32" s="29"/>
      <c r="E32" s="29"/>
      <c r="F32" s="15"/>
      <c r="G32" s="29"/>
      <c r="H32" s="29"/>
      <c r="I32" s="29"/>
      <c r="J32" s="29"/>
      <c r="K32" s="29"/>
      <c r="L32" s="29"/>
      <c r="M32" s="29"/>
      <c r="N32" s="29"/>
      <c r="P32" s="16"/>
    </row>
    <row r="33" customFormat="false" ht="12.75" hidden="false" customHeight="false" outlineLevel="0" collapsed="false">
      <c r="A33" s="1" t="s">
        <v>45</v>
      </c>
      <c r="C33" s="29" t="n">
        <f aca="false">913875+384382+63984</f>
        <v>1362241</v>
      </c>
      <c r="D33" s="29" t="n">
        <f aca="false">40682+395397-1</f>
        <v>436078</v>
      </c>
      <c r="E33" s="29" t="n">
        <f aca="false">SUM($C49:D49)*E57/360*30</f>
        <v>434033.217568992</v>
      </c>
      <c r="F33" s="29" t="n">
        <f aca="false">SUM($C49:E49)*F57/360*28</f>
        <v>422737.699601793</v>
      </c>
      <c r="G33" s="29" t="n">
        <f aca="false">SUM($C49:F49)*G57/360*33</f>
        <v>505583.135569298</v>
      </c>
      <c r="H33" s="29" t="n">
        <v>264883</v>
      </c>
      <c r="I33" s="29" t="n">
        <v>738348</v>
      </c>
      <c r="J33" s="29" t="n">
        <f aca="false">659904+0.5</f>
        <v>659904.5</v>
      </c>
      <c r="K33" s="29" t="n">
        <v>-659904</v>
      </c>
      <c r="L33" s="29"/>
      <c r="M33" s="29"/>
      <c r="N33" s="29"/>
      <c r="O33" s="15"/>
      <c r="P33" s="16" t="n">
        <f aca="false">SUM(C33:O33)</f>
        <v>4163904.55274008</v>
      </c>
      <c r="Q33" s="1" t="n">
        <f aca="false">+[1]NewAlbany!AY174</f>
        <v>4163904.83</v>
      </c>
      <c r="R33" s="1" t="n">
        <f aca="false">+P33-Q33</f>
        <v>-0.277259917929769</v>
      </c>
    </row>
    <row r="34" customFormat="false" ht="12.75" hidden="false" customHeight="false" outlineLevel="0" collapsed="false">
      <c r="A34" s="1" t="s">
        <v>80</v>
      </c>
      <c r="C34" s="29"/>
      <c r="D34" s="29"/>
      <c r="E34" s="29"/>
      <c r="F34" s="29" t="n">
        <v>-94899</v>
      </c>
      <c r="G34" s="29" t="n">
        <v>-64384</v>
      </c>
      <c r="H34" s="29"/>
      <c r="I34" s="29"/>
      <c r="J34" s="29"/>
      <c r="K34" s="29"/>
      <c r="L34" s="29"/>
      <c r="M34" s="29"/>
      <c r="N34" s="29"/>
      <c r="P34" s="16" t="n">
        <f aca="false">SUM(C34:O34)</f>
        <v>-159283</v>
      </c>
      <c r="Q34" s="1" t="n">
        <f aca="false">+[1]NewAlbany!AY175</f>
        <v>-159283</v>
      </c>
      <c r="R34" s="1" t="n">
        <f aca="false">+P34-Q34</f>
        <v>0</v>
      </c>
    </row>
    <row r="35" customFormat="false" ht="12.75" hidden="false" customHeight="false" outlineLevel="0" collapsed="false">
      <c r="A35" s="1" t="s">
        <v>81</v>
      </c>
      <c r="C35" s="29" t="n">
        <v>0</v>
      </c>
      <c r="D35" s="29" t="n">
        <v>7392.72975</v>
      </c>
      <c r="E35" s="29" t="n">
        <v>4682.376125</v>
      </c>
      <c r="F35" s="29" t="n">
        <v>4180.83075</v>
      </c>
      <c r="G35" s="29" t="n">
        <v>4002</v>
      </c>
      <c r="H35" s="29" t="n">
        <v>3814</v>
      </c>
      <c r="I35" s="29"/>
      <c r="J35" s="29"/>
      <c r="K35" s="29"/>
      <c r="L35" s="29" t="n">
        <v>0</v>
      </c>
      <c r="M35" s="29"/>
      <c r="N35" s="29" t="n">
        <v>0</v>
      </c>
      <c r="O35" s="15" t="n">
        <v>0</v>
      </c>
      <c r="P35" s="16" t="n">
        <f aca="false">SUM(C35:O35)</f>
        <v>24071.936625</v>
      </c>
      <c r="Q35" s="1" t="n">
        <f aca="false">+[1]NewAlbany!AY176</f>
        <v>24072.18</v>
      </c>
      <c r="R35" s="1" t="n">
        <f aca="false">+P35-Q35</f>
        <v>-0.243375000001834</v>
      </c>
    </row>
    <row r="36" customFormat="false" ht="12.75" hidden="false" customHeight="false" outlineLevel="0" collapsed="false">
      <c r="A36" s="1" t="s">
        <v>46</v>
      </c>
      <c r="C36" s="29" t="n">
        <v>68386</v>
      </c>
      <c r="D36" s="29" t="n">
        <v>811038</v>
      </c>
      <c r="E36" s="29" t="n">
        <v>0</v>
      </c>
      <c r="F36" s="29" t="n">
        <v>0</v>
      </c>
      <c r="G36" s="29" t="n">
        <v>0</v>
      </c>
      <c r="H36" s="29" t="n">
        <v>83333</v>
      </c>
      <c r="I36" s="29" t="n">
        <v>0</v>
      </c>
      <c r="J36" s="29" t="n">
        <v>0</v>
      </c>
      <c r="K36" s="29" t="n">
        <v>0</v>
      </c>
      <c r="L36" s="29" t="n">
        <v>0</v>
      </c>
      <c r="M36" s="29" t="n">
        <v>0</v>
      </c>
      <c r="N36" s="29" t="n">
        <v>83333</v>
      </c>
      <c r="O36" s="1" t="n">
        <v>107680</v>
      </c>
      <c r="P36" s="16" t="n">
        <f aca="false">SUM(C36:O36)</f>
        <v>1153770</v>
      </c>
      <c r="Q36" s="1" t="n">
        <f aca="false">+[1]NewAlbany!AY189</f>
        <v>1153769.70333333</v>
      </c>
      <c r="R36" s="1" t="n">
        <f aca="false">+P36-Q36</f>
        <v>0.296666666632518</v>
      </c>
    </row>
    <row r="37" customFormat="false" ht="12.75" hidden="false" customHeight="false" outlineLevel="0" collapsed="false">
      <c r="A37" s="1" t="s">
        <v>99</v>
      </c>
      <c r="C37" s="29" t="n">
        <v>0</v>
      </c>
      <c r="D37" s="29"/>
      <c r="E37" s="29"/>
      <c r="F37" s="29"/>
      <c r="G37" s="29" t="n">
        <v>2666</v>
      </c>
      <c r="H37" s="29" t="n">
        <v>-18334</v>
      </c>
      <c r="I37" s="29"/>
      <c r="J37" s="29" t="n">
        <v>0</v>
      </c>
      <c r="K37" s="29" t="n">
        <v>0</v>
      </c>
      <c r="L37" s="29"/>
      <c r="M37" s="29"/>
      <c r="N37" s="29"/>
      <c r="P37" s="16" t="n">
        <f aca="false">SUM(C37:O37)</f>
        <v>-15668</v>
      </c>
      <c r="Q37" s="1" t="n">
        <f aca="false">+[1]NewAlbany!AY177</f>
        <v>-15668</v>
      </c>
      <c r="R37" s="1" t="n">
        <f aca="false">+P37-Q37</f>
        <v>0</v>
      </c>
    </row>
    <row r="38" customFormat="false" ht="12.75" hidden="false" customHeight="false" outlineLevel="0" collapsed="false">
      <c r="A38" s="1" t="s">
        <v>83</v>
      </c>
      <c r="C38" s="28" t="n">
        <v>0</v>
      </c>
      <c r="D38" s="29" t="n">
        <v>0</v>
      </c>
      <c r="E38" s="29" t="n">
        <v>0</v>
      </c>
      <c r="F38" s="29" t="n">
        <v>0</v>
      </c>
      <c r="G38" s="29" t="n">
        <v>0</v>
      </c>
      <c r="H38" s="29" t="n">
        <v>0</v>
      </c>
      <c r="I38" s="29" t="n">
        <v>0</v>
      </c>
      <c r="J38" s="29" t="n">
        <v>0</v>
      </c>
      <c r="K38" s="29" t="n">
        <v>0</v>
      </c>
      <c r="L38" s="29" t="n">
        <v>0</v>
      </c>
      <c r="M38" s="29" t="n">
        <v>0</v>
      </c>
      <c r="N38" s="29" t="n">
        <v>0</v>
      </c>
      <c r="O38" s="1" t="n">
        <v>0</v>
      </c>
      <c r="P38" s="16" t="n">
        <f aca="false">SUM(C38:O38)</f>
        <v>0</v>
      </c>
    </row>
    <row r="39" customFormat="false" ht="12.75" hidden="false" customHeight="false" outlineLevel="0" collapsed="false">
      <c r="A39" s="1" t="s">
        <v>49</v>
      </c>
      <c r="C39" s="30" t="n">
        <f aca="false">SUM(C33:C38)</f>
        <v>1430627</v>
      </c>
      <c r="D39" s="30" t="n">
        <f aca="false">SUM(D33:D38)</f>
        <v>1254508.72975</v>
      </c>
      <c r="E39" s="30" t="n">
        <f aca="false">SUM(E33:E38)</f>
        <v>438715.593693992</v>
      </c>
      <c r="F39" s="30" t="n">
        <f aca="false">SUM(F33:F38)</f>
        <v>332019.530351793</v>
      </c>
      <c r="G39" s="30" t="n">
        <f aca="false">SUM(G33:G38)</f>
        <v>447867.135569298</v>
      </c>
      <c r="H39" s="30" t="n">
        <f aca="false">SUM(H33:H38)</f>
        <v>333696</v>
      </c>
      <c r="I39" s="30" t="n">
        <f aca="false">SUM(I33:I38)</f>
        <v>738348</v>
      </c>
      <c r="J39" s="30" t="n">
        <f aca="false">SUM(J33:J38)</f>
        <v>659904.5</v>
      </c>
      <c r="K39" s="30" t="n">
        <f aca="false">SUM(K33:K38)</f>
        <v>-659904</v>
      </c>
      <c r="L39" s="30" t="n">
        <f aca="false">SUM(L33:L38)</f>
        <v>0</v>
      </c>
      <c r="M39" s="30" t="n">
        <f aca="false">SUM(M33:M38)</f>
        <v>0</v>
      </c>
      <c r="N39" s="30" t="n">
        <f aca="false">SUM(N33:N38)</f>
        <v>83333</v>
      </c>
      <c r="O39" s="18" t="n">
        <f aca="false">SUM(O33:O38)</f>
        <v>107680</v>
      </c>
      <c r="P39" s="19" t="n">
        <f aca="false">SUM(C39:O39)</f>
        <v>5166795.48936508</v>
      </c>
    </row>
    <row r="40" customFormat="false" ht="12.75" hidden="false" customHeight="false" outlineLevel="0" collapsed="false">
      <c r="A40" s="1" t="s">
        <v>50</v>
      </c>
      <c r="C40" s="30" t="n">
        <f aca="false">+C39</f>
        <v>1430627</v>
      </c>
      <c r="D40" s="30" t="n">
        <f aca="false">+D39+C40</f>
        <v>2685135.72975</v>
      </c>
      <c r="E40" s="30" t="n">
        <f aca="false">+E39+D40</f>
        <v>3123851.32344399</v>
      </c>
      <c r="F40" s="30" t="n">
        <f aca="false">+F39+E40</f>
        <v>3455870.85379579</v>
      </c>
      <c r="G40" s="30" t="n">
        <f aca="false">+G39+F40</f>
        <v>3903737.98936508</v>
      </c>
      <c r="H40" s="30" t="n">
        <f aca="false">+H39+G40</f>
        <v>4237433.98936508</v>
      </c>
      <c r="I40" s="30" t="n">
        <f aca="false">+I39+H40</f>
        <v>4975781.98936508</v>
      </c>
      <c r="J40" s="30" t="n">
        <f aca="false">+J39+I40</f>
        <v>5635686.48936508</v>
      </c>
      <c r="K40" s="30" t="n">
        <f aca="false">+K39+J40</f>
        <v>4975782.48936508</v>
      </c>
      <c r="L40" s="30" t="n">
        <f aca="false">+L39+K40</f>
        <v>4975782.48936508</v>
      </c>
      <c r="M40" s="30" t="n">
        <f aca="false">+M39+L40</f>
        <v>4975782.48936508</v>
      </c>
      <c r="N40" s="30" t="n">
        <f aca="false">+N39+M40</f>
        <v>5059115.48936508</v>
      </c>
      <c r="O40" s="18" t="n">
        <f aca="false">+O39+N40</f>
        <v>5166795.48936508</v>
      </c>
      <c r="P40" s="16"/>
    </row>
    <row r="41" customFormat="false" ht="12.75" hidden="false" customHeight="false" outlineLevel="0" collapsed="false">
      <c r="C41" s="28"/>
      <c r="D41" s="29"/>
      <c r="E41" s="29"/>
      <c r="G41" s="29"/>
      <c r="H41" s="29"/>
      <c r="I41" s="29"/>
      <c r="J41" s="29"/>
      <c r="K41" s="29"/>
      <c r="L41" s="29"/>
      <c r="M41" s="29"/>
      <c r="N41" s="29"/>
      <c r="P41" s="16"/>
    </row>
    <row r="42" customFormat="false" ht="12.75" hidden="false" customHeight="false" outlineLevel="0" collapsed="false">
      <c r="A42" s="2" t="s">
        <v>84</v>
      </c>
      <c r="B42" s="2"/>
      <c r="C42" s="28" t="n">
        <f aca="false">+C29+C39</f>
        <v>64968860.68</v>
      </c>
      <c r="D42" s="28" t="n">
        <f aca="false">+D29+D39</f>
        <v>19590653.72975</v>
      </c>
      <c r="E42" s="28" t="n">
        <f aca="false">+E29+E39</f>
        <v>572532.593693992</v>
      </c>
      <c r="F42" s="28" t="n">
        <f aca="false">+F29+F39</f>
        <v>-106876.069648207</v>
      </c>
      <c r="G42" s="28" t="n">
        <f aca="false">+G29+G39</f>
        <v>8307660.1355693</v>
      </c>
      <c r="H42" s="28" t="n">
        <f aca="false">+H29+H39</f>
        <v>15855933</v>
      </c>
      <c r="I42" s="28" t="n">
        <f aca="false">+I29+I39</f>
        <v>8226099</v>
      </c>
      <c r="J42" s="28" t="n">
        <f aca="false">+J29+J39</f>
        <v>10079974.5</v>
      </c>
      <c r="K42" s="28" t="n">
        <f aca="false">+K29+K39</f>
        <v>5897945</v>
      </c>
      <c r="L42" s="28" t="n">
        <f aca="false">+L29+L39</f>
        <v>6912180</v>
      </c>
      <c r="M42" s="28" t="n">
        <f aca="false">+M29+M39</f>
        <v>2135307</v>
      </c>
      <c r="N42" s="28" t="n">
        <f aca="false">+N29+N39</f>
        <v>1466809</v>
      </c>
      <c r="O42" s="2" t="n">
        <f aca="false">+O29+O39</f>
        <v>4356675</v>
      </c>
      <c r="P42" s="16" t="n">
        <f aca="false">SUM(C42:O42)</f>
        <v>148263753.569365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12.75" hidden="false" customHeight="false" outlineLevel="0" collapsed="false">
      <c r="A43" s="2" t="s">
        <v>52</v>
      </c>
      <c r="B43" s="2"/>
      <c r="C43" s="28" t="n">
        <f aca="false">C42</f>
        <v>64968860.68</v>
      </c>
      <c r="D43" s="28" t="n">
        <f aca="false">C43+D42</f>
        <v>84559514.40975</v>
      </c>
      <c r="E43" s="28" t="n">
        <f aca="false">D43+E42</f>
        <v>85132047.003444</v>
      </c>
      <c r="F43" s="28" t="n">
        <f aca="false">E43+F42</f>
        <v>85025170.9337958</v>
      </c>
      <c r="G43" s="28" t="n">
        <f aca="false">F43+G42</f>
        <v>93332831.0693651</v>
      </c>
      <c r="H43" s="28" t="n">
        <f aca="false">G43+H42</f>
        <v>109188764.069365</v>
      </c>
      <c r="I43" s="28" t="n">
        <f aca="false">H43+I42</f>
        <v>117414863.069365</v>
      </c>
      <c r="J43" s="28" t="n">
        <f aca="false">I43+J42</f>
        <v>127494837.569365</v>
      </c>
      <c r="K43" s="28" t="n">
        <f aca="false">J43+K42</f>
        <v>133392782.569365</v>
      </c>
      <c r="L43" s="28" t="n">
        <f aca="false">K43+L42</f>
        <v>140304962.569365</v>
      </c>
      <c r="M43" s="28" t="n">
        <f aca="false">L43+M42</f>
        <v>142440269.569365</v>
      </c>
      <c r="N43" s="28" t="n">
        <f aca="false">M43+N42</f>
        <v>143907078.569365</v>
      </c>
      <c r="O43" s="2" t="n">
        <f aca="false">N43+O42</f>
        <v>148263753.569365</v>
      </c>
      <c r="P43" s="16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12.75" hidden="false" customHeight="false" outlineLevel="0" collapsed="false">
      <c r="A44" s="1" t="s">
        <v>44</v>
      </c>
      <c r="B44" s="2"/>
      <c r="C44" s="28"/>
      <c r="D44" s="28"/>
      <c r="E44" s="28"/>
      <c r="F44" s="2"/>
      <c r="G44" s="28"/>
      <c r="H44" s="28"/>
      <c r="I44" s="2"/>
      <c r="J44" s="28"/>
      <c r="K44" s="28"/>
      <c r="L44" s="28"/>
      <c r="M44" s="28"/>
      <c r="N44" s="28"/>
      <c r="O44" s="2"/>
      <c r="P44" s="21" t="n">
        <f aca="false">+P42/C59/1000</f>
        <v>383.110474339445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12.75" hidden="false" customHeight="false" outlineLevel="0" collapsed="false">
      <c r="C45" s="28"/>
      <c r="D45" s="29"/>
      <c r="E45" s="29"/>
      <c r="G45" s="29"/>
      <c r="H45" s="29"/>
      <c r="J45" s="29"/>
      <c r="K45" s="29"/>
      <c r="L45" s="29"/>
      <c r="M45" s="29"/>
      <c r="N45" s="29"/>
      <c r="P45" s="16"/>
    </row>
    <row r="46" customFormat="false" ht="12.75" hidden="false" customHeight="false" outlineLevel="0" collapsed="false">
      <c r="A46" s="1" t="s">
        <v>55</v>
      </c>
      <c r="C46" s="28" t="n">
        <v>0</v>
      </c>
      <c r="D46" s="29"/>
      <c r="E46" s="29"/>
      <c r="G46" s="29"/>
      <c r="H46" s="29"/>
      <c r="I46" s="1" t="n">
        <v>0</v>
      </c>
      <c r="J46" s="29"/>
      <c r="K46" s="29"/>
      <c r="L46" s="29"/>
      <c r="M46" s="29"/>
      <c r="N46" s="29"/>
      <c r="P46" s="19" t="n">
        <f aca="false">SUM(C46:O46)</f>
        <v>0</v>
      </c>
    </row>
    <row r="47" customFormat="false" ht="12.75" hidden="false" customHeight="false" outlineLevel="0" collapsed="false">
      <c r="A47" s="15"/>
      <c r="B47" s="2"/>
      <c r="C47" s="31"/>
      <c r="D47" s="28"/>
      <c r="E47" s="28"/>
      <c r="F47" s="2"/>
      <c r="G47" s="28"/>
      <c r="H47" s="28"/>
      <c r="I47" s="2"/>
      <c r="J47" s="28"/>
      <c r="K47" s="28"/>
      <c r="L47" s="28"/>
      <c r="M47" s="28"/>
      <c r="N47" s="28"/>
      <c r="O47" s="2"/>
      <c r="P47" s="16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1" t="s">
        <v>56</v>
      </c>
      <c r="C48" s="28" t="n">
        <f aca="false">+C42-C33</f>
        <v>63606619.68</v>
      </c>
      <c r="D48" s="28" t="n">
        <f aca="false">+D42-D33</f>
        <v>19154575.72975</v>
      </c>
      <c r="E48" s="28" t="n">
        <f aca="false">+E42-E33</f>
        <v>138499.376125</v>
      </c>
      <c r="F48" s="28" t="n">
        <f aca="false">+F42-F33</f>
        <v>-529613.76925</v>
      </c>
      <c r="G48" s="28" t="n">
        <f aca="false">+G42-G33</f>
        <v>7802077</v>
      </c>
      <c r="H48" s="28" t="n">
        <f aca="false">+H42-H33</f>
        <v>15591050</v>
      </c>
      <c r="I48" s="28" t="n">
        <f aca="false">+I42-I33</f>
        <v>7487751</v>
      </c>
      <c r="J48" s="28" t="n">
        <f aca="false">+J42-J33</f>
        <v>9420070</v>
      </c>
      <c r="K48" s="28" t="n">
        <f aca="false">+K42-K33</f>
        <v>6557849</v>
      </c>
      <c r="L48" s="28" t="n">
        <f aca="false">ROUND(+L42-L33,0)</f>
        <v>6912180</v>
      </c>
      <c r="M48" s="28" t="n">
        <f aca="false">+M42-M33</f>
        <v>2135307</v>
      </c>
      <c r="N48" s="28" t="n">
        <f aca="false">+N42-N33</f>
        <v>1466809</v>
      </c>
      <c r="O48" s="2" t="n">
        <f aca="false">+O42-O33</f>
        <v>4356675</v>
      </c>
      <c r="P48" s="16" t="n">
        <f aca="false">SUM(C48:O48)</f>
        <v>144099849.016625</v>
      </c>
    </row>
    <row r="49" customFormat="false" ht="12.75" hidden="true" customHeight="false" outlineLevel="0" collapsed="false">
      <c r="A49" s="1" t="s">
        <v>85</v>
      </c>
      <c r="C49" s="32" t="n">
        <f aca="false">63865968+5818345+133167+40682</f>
        <v>69858162</v>
      </c>
      <c r="D49" s="32" t="n">
        <f aca="false">20473789+806250+395397+7393</f>
        <v>21682829</v>
      </c>
      <c r="E49" s="32" t="n">
        <f aca="false">3573648+434033+4682</f>
        <v>4012363</v>
      </c>
      <c r="F49" s="32" t="n">
        <f aca="false">1000000+422738+4181</f>
        <v>1426919</v>
      </c>
      <c r="G49" s="28" t="n">
        <f aca="false">IF(+G43-F50-G48&gt;0,G43-F50-G48,250000)</f>
        <v>250000</v>
      </c>
      <c r="H49" s="28" t="n">
        <v>0</v>
      </c>
      <c r="I49" s="28" t="n">
        <v>0</v>
      </c>
      <c r="J49" s="28" t="n">
        <v>0</v>
      </c>
      <c r="K49" s="28" t="n">
        <v>0</v>
      </c>
      <c r="L49" s="28"/>
      <c r="M49" s="28"/>
      <c r="N49" s="28"/>
      <c r="O49" s="2"/>
      <c r="P49" s="16"/>
    </row>
    <row r="50" customFormat="false" ht="12.75" hidden="true" customHeight="false" outlineLevel="0" collapsed="false">
      <c r="A50" s="1" t="s">
        <v>86</v>
      </c>
      <c r="C50" s="28" t="n">
        <f aca="false">+C49</f>
        <v>69858162</v>
      </c>
      <c r="D50" s="28" t="n">
        <f aca="false">+D49+C50</f>
        <v>91540991</v>
      </c>
      <c r="E50" s="28" t="n">
        <f aca="false">+E49+D50</f>
        <v>95553354</v>
      </c>
      <c r="F50" s="28" t="n">
        <f aca="false">+F49+E50</f>
        <v>96980273</v>
      </c>
      <c r="G50" s="28" t="n">
        <f aca="false">+G49+F50</f>
        <v>97230273</v>
      </c>
      <c r="H50" s="28" t="n">
        <v>0</v>
      </c>
      <c r="I50" s="28" t="n">
        <f aca="false">+I49+H50</f>
        <v>0</v>
      </c>
      <c r="J50" s="28" t="n">
        <f aca="false">+J49+I50</f>
        <v>0</v>
      </c>
      <c r="K50" s="28" t="n">
        <f aca="false">+K49+J50</f>
        <v>0</v>
      </c>
      <c r="L50" s="28"/>
      <c r="M50" s="28"/>
      <c r="N50" s="28"/>
      <c r="O50" s="2"/>
      <c r="P50" s="16"/>
    </row>
    <row r="51" customFormat="false" ht="12.75" hidden="false" customHeight="false" outlineLevel="0" collapsed="false">
      <c r="C51" s="28"/>
      <c r="D51" s="29"/>
      <c r="E51" s="29"/>
      <c r="G51" s="29"/>
      <c r="H51" s="29"/>
      <c r="I51" s="29"/>
      <c r="J51" s="29"/>
      <c r="K51" s="29"/>
      <c r="L51" s="29"/>
      <c r="M51" s="29"/>
      <c r="N51" s="29"/>
      <c r="P51" s="16"/>
    </row>
    <row r="52" customFormat="false" ht="13.5" hidden="false" customHeight="false" outlineLevel="0" collapsed="false">
      <c r="A52" s="2" t="s">
        <v>87</v>
      </c>
      <c r="C52" s="33" t="n">
        <f aca="false">+C42</f>
        <v>64968860.68</v>
      </c>
      <c r="D52" s="33" t="n">
        <f aca="false">+D42</f>
        <v>19590653.72975</v>
      </c>
      <c r="E52" s="33" t="n">
        <f aca="false">+E42</f>
        <v>572532.593693992</v>
      </c>
      <c r="F52" s="33" t="n">
        <f aca="false">+F42</f>
        <v>-106876.069648207</v>
      </c>
      <c r="G52" s="33" t="n">
        <f aca="false">+G42</f>
        <v>8307660.1355693</v>
      </c>
      <c r="H52" s="33" t="n">
        <f aca="false">+H42</f>
        <v>15855933</v>
      </c>
      <c r="I52" s="33" t="n">
        <f aca="false">+I42</f>
        <v>8226099</v>
      </c>
      <c r="J52" s="33" t="n">
        <f aca="false">+J42</f>
        <v>10079974.5</v>
      </c>
      <c r="K52" s="33" t="n">
        <f aca="false">+K42</f>
        <v>5897945</v>
      </c>
      <c r="L52" s="33" t="n">
        <f aca="false">+L42</f>
        <v>6912180</v>
      </c>
      <c r="M52" s="33" t="n">
        <f aca="false">+M42</f>
        <v>2135307</v>
      </c>
      <c r="N52" s="33" t="n">
        <f aca="false">+N42</f>
        <v>1466809</v>
      </c>
      <c r="O52" s="33" t="n">
        <f aca="false">+O42</f>
        <v>4356675</v>
      </c>
      <c r="P52" s="34" t="n">
        <f aca="false">SUM(C52:O52)</f>
        <v>148263753.569365</v>
      </c>
      <c r="R52" s="1" t="n">
        <f aca="false">SUM(R9:R51)</f>
        <v>0.110031748834444</v>
      </c>
    </row>
    <row r="53" customFormat="false" ht="13.5" hidden="false" customHeight="false" outlineLevel="0" collapsed="false">
      <c r="A53" s="2" t="s">
        <v>88</v>
      </c>
      <c r="C53" s="35" t="n">
        <f aca="false">+C52</f>
        <v>64968860.68</v>
      </c>
      <c r="D53" s="35" t="n">
        <f aca="false">+D52+C53</f>
        <v>84559514.40975</v>
      </c>
      <c r="E53" s="35" t="n">
        <f aca="false">+E52+D53</f>
        <v>85132047.003444</v>
      </c>
      <c r="F53" s="35" t="n">
        <f aca="false">+F52+E53</f>
        <v>85025170.9337958</v>
      </c>
      <c r="G53" s="35" t="n">
        <f aca="false">+G52+F53</f>
        <v>93332831.0693651</v>
      </c>
      <c r="H53" s="35" t="n">
        <f aca="false">+H52+G53</f>
        <v>109188764.069365</v>
      </c>
      <c r="I53" s="35" t="n">
        <f aca="false">+I52+H53</f>
        <v>117414863.069365</v>
      </c>
      <c r="J53" s="35" t="n">
        <f aca="false">+J52+I53</f>
        <v>127494837.569365</v>
      </c>
      <c r="K53" s="35" t="n">
        <f aca="false">+K52+J53</f>
        <v>133392782.569365</v>
      </c>
      <c r="L53" s="35" t="n">
        <f aca="false">+L52+K53</f>
        <v>140304962.569365</v>
      </c>
      <c r="M53" s="35" t="n">
        <f aca="false">+M52+L53</f>
        <v>142440269.569365</v>
      </c>
      <c r="N53" s="35" t="n">
        <f aca="false">+N52+M53</f>
        <v>143907078.569365</v>
      </c>
      <c r="O53" s="36" t="n">
        <f aca="false">+O52+N53</f>
        <v>148263753.569365</v>
      </c>
      <c r="P53" s="16"/>
    </row>
    <row r="54" customFormat="false" ht="12.75" hidden="false" customHeight="false" outlineLevel="0" collapsed="false">
      <c r="C54" s="28"/>
      <c r="D54" s="29"/>
      <c r="E54" s="29"/>
      <c r="F54" s="29"/>
      <c r="G54" s="29"/>
      <c r="H54" s="29"/>
      <c r="I54" s="29"/>
      <c r="L54" s="29"/>
      <c r="M54" s="29"/>
      <c r="N54" s="29"/>
      <c r="P54" s="37"/>
    </row>
    <row r="55" customFormat="false" ht="13.5" hidden="false" customHeight="false" outlineLevel="0" collapsed="false">
      <c r="A55" s="2" t="s">
        <v>89</v>
      </c>
      <c r="C55" s="33" t="n">
        <f aca="false">+C52+C46</f>
        <v>64968860.68</v>
      </c>
      <c r="D55" s="33" t="n">
        <f aca="false">+D52+D46</f>
        <v>19590653.72975</v>
      </c>
      <c r="E55" s="33" t="n">
        <f aca="false">+E52+E46</f>
        <v>572532.593693992</v>
      </c>
      <c r="F55" s="33" t="n">
        <f aca="false">+F52+F46</f>
        <v>-106876.069648207</v>
      </c>
      <c r="G55" s="33" t="n">
        <f aca="false">+G52+G46</f>
        <v>8307660.1355693</v>
      </c>
      <c r="H55" s="33" t="n">
        <f aca="false">+H52+H46</f>
        <v>15855933</v>
      </c>
      <c r="I55" s="33" t="n">
        <f aca="false">+I52+I46</f>
        <v>8226099</v>
      </c>
      <c r="J55" s="38" t="n">
        <f aca="false">+J52+J46</f>
        <v>10079974.5</v>
      </c>
      <c r="K55" s="38" t="n">
        <f aca="false">+K52+K46</f>
        <v>5897945</v>
      </c>
      <c r="L55" s="33" t="n">
        <f aca="false">+L52+L46</f>
        <v>6912180</v>
      </c>
      <c r="M55" s="33" t="n">
        <f aca="false">+M52+M46</f>
        <v>2135307</v>
      </c>
      <c r="N55" s="33" t="n">
        <f aca="false">+N52+N46</f>
        <v>1466809</v>
      </c>
      <c r="O55" s="38" t="n">
        <f aca="false">+O52+O46</f>
        <v>4356675</v>
      </c>
      <c r="P55" s="34" t="n">
        <f aca="false">+P52+P46</f>
        <v>148263753.569365</v>
      </c>
      <c r="Q55" s="1" t="n">
        <f aca="false">+[1]NewAlbany!AY220</f>
        <v>148263753.127333</v>
      </c>
      <c r="R55" s="1" t="n">
        <f aca="false">+Q55-P55</f>
        <v>-0.442031770944595</v>
      </c>
    </row>
    <row r="56" customFormat="false" ht="12.75" hidden="false" customHeight="false" outlineLevel="0" collapsed="false">
      <c r="G56" s="29"/>
      <c r="I56" s="29"/>
      <c r="L56" s="29"/>
      <c r="M56" s="29"/>
      <c r="P56" s="0"/>
    </row>
    <row r="57" customFormat="false" ht="12.75" hidden="false" customHeight="false" outlineLevel="0" collapsed="false">
      <c r="A57" s="15" t="s">
        <v>90</v>
      </c>
      <c r="B57" s="2"/>
      <c r="C57" s="31" t="n">
        <v>0.1</v>
      </c>
      <c r="D57" s="39" t="n">
        <v>0.063675</v>
      </c>
      <c r="E57" s="39" t="n">
        <v>0.0568969</v>
      </c>
      <c r="F57" s="39" t="n">
        <v>0.0568813</v>
      </c>
      <c r="G57" s="39" t="n">
        <v>0.0568719</v>
      </c>
      <c r="H57" s="31" t="n">
        <v>0.065</v>
      </c>
      <c r="I57" s="31" t="n">
        <v>0.065</v>
      </c>
      <c r="J57" s="8" t="n">
        <v>0.065</v>
      </c>
      <c r="K57" s="8" t="n">
        <v>0.065</v>
      </c>
      <c r="L57" s="8" t="n">
        <v>0.065</v>
      </c>
      <c r="M57" s="8" t="n">
        <v>0.065</v>
      </c>
      <c r="N57" s="8" t="n">
        <v>0.065</v>
      </c>
      <c r="O57" s="8" t="n">
        <v>0.065</v>
      </c>
      <c r="P57" s="41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15" t="s">
        <v>91</v>
      </c>
      <c r="B58" s="2"/>
      <c r="C58" s="39" t="n">
        <v>0.0015</v>
      </c>
      <c r="D58" s="42"/>
      <c r="E58" s="2"/>
      <c r="F58" s="2"/>
      <c r="G58" s="2"/>
      <c r="H58" s="2"/>
      <c r="I58" s="28"/>
      <c r="J58" s="2"/>
      <c r="K58" s="2"/>
      <c r="L58" s="2"/>
      <c r="M58" s="2"/>
      <c r="N58" s="2"/>
      <c r="O58" s="2"/>
      <c r="P58" s="41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15"/>
      <c r="B59" s="2"/>
      <c r="C59" s="2" t="n">
        <v>387</v>
      </c>
      <c r="D59" s="2" t="s">
        <v>54</v>
      </c>
      <c r="E59" s="2"/>
      <c r="F59" s="2"/>
      <c r="G59" s="2"/>
      <c r="H59" s="2"/>
      <c r="I59" s="28"/>
      <c r="J59" s="2"/>
      <c r="K59" s="2"/>
      <c r="L59" s="2"/>
      <c r="M59" s="2"/>
      <c r="N59" s="2"/>
      <c r="O59" s="2"/>
      <c r="P59" s="41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1" customFormat="false" ht="12.75" hidden="false" customHeight="false" outlineLevel="0" collapsed="false">
      <c r="C61" s="28" t="s">
        <v>92</v>
      </c>
      <c r="D61" s="1" t="s">
        <v>93</v>
      </c>
    </row>
    <row r="62" customFormat="false" ht="12.75" hidden="false" customHeight="false" outlineLevel="0" collapsed="false">
      <c r="C62" s="32"/>
      <c r="D62" s="1" t="s">
        <v>100</v>
      </c>
    </row>
    <row r="64" customFormat="false" ht="12.75" hidden="false" customHeight="false" outlineLevel="0" collapsed="false">
      <c r="A64" s="9"/>
      <c r="B64" s="10"/>
      <c r="C64" s="11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</row>
    <row r="66" customFormat="false" ht="19.5" hidden="false" customHeight="false" outlineLevel="0" collapsed="false">
      <c r="A66" s="26"/>
    </row>
    <row r="67" customFormat="false" ht="12.75" hidden="false" customHeight="false" outlineLevel="0" collapsed="false">
      <c r="A67" s="9"/>
      <c r="C67" s="28"/>
      <c r="D67" s="29"/>
      <c r="E67" s="29"/>
    </row>
    <row r="68" customFormat="false" ht="12.75" hidden="false" customHeight="false" outlineLevel="0" collapsed="false">
      <c r="C68" s="28"/>
      <c r="D68" s="29"/>
      <c r="E68" s="29"/>
      <c r="L68" s="15"/>
      <c r="M68" s="15"/>
      <c r="N68" s="15"/>
      <c r="O68" s="15"/>
    </row>
    <row r="69" customFormat="false" ht="12.75" hidden="false" customHeight="false" outlineLevel="0" collapsed="false">
      <c r="C69" s="28"/>
      <c r="D69" s="29"/>
      <c r="E69" s="29"/>
    </row>
    <row r="70" customFormat="false" ht="12.75" hidden="false" customHeight="false" outlineLevel="0" collapsed="false">
      <c r="C70" s="28"/>
      <c r="D70" s="29"/>
      <c r="E70" s="29"/>
    </row>
    <row r="71" customFormat="false" ht="12.75" hidden="false" customHeight="false" outlineLevel="0" collapsed="false">
      <c r="A71" s="2"/>
      <c r="C71" s="28"/>
      <c r="D71" s="28"/>
      <c r="E71" s="28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customFormat="false" ht="12.75" hidden="false" customHeight="false" outlineLevel="0" collapsed="false">
      <c r="P72" s="43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2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A68" activeCellId="0" sqref="A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3" min="3" style="44" width="13.14"/>
    <col collapsed="false" customWidth="true" hidden="false" outlineLevel="0" max="4" min="4" style="45" width="17.7"/>
    <col collapsed="false" customWidth="true" hidden="false" outlineLevel="0" max="5" min="5" style="45" width="17.56"/>
    <col collapsed="false" customWidth="true" hidden="false" outlineLevel="0" max="6" min="6" style="45" width="17.7"/>
    <col collapsed="false" customWidth="true" hidden="false" outlineLevel="0" max="7" min="7" style="45" width="18.14"/>
  </cols>
  <sheetData>
    <row r="1" customFormat="false" ht="15.75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101</v>
      </c>
      <c r="B3" s="46"/>
      <c r="C3" s="46"/>
      <c r="D3" s="47"/>
      <c r="E3" s="47"/>
      <c r="F3" s="47"/>
      <c r="G3" s="47"/>
    </row>
    <row r="4" customFormat="false" ht="15.75" hidden="false" customHeight="false" outlineLevel="0" collapsed="false">
      <c r="A4" s="3" t="s">
        <v>102</v>
      </c>
      <c r="B4" s="46"/>
      <c r="C4" s="46"/>
      <c r="D4" s="47"/>
      <c r="E4" s="47"/>
      <c r="F4" s="47"/>
      <c r="G4" s="47"/>
    </row>
    <row r="5" customFormat="false" ht="15.75" hidden="false" customHeight="false" outlineLevel="0" collapsed="false">
      <c r="A5" s="3"/>
      <c r="B5" s="46"/>
      <c r="C5" s="46"/>
      <c r="D5" s="47"/>
      <c r="E5" s="47"/>
      <c r="F5" s="47"/>
      <c r="G5" s="47"/>
    </row>
    <row r="6" customFormat="false" ht="15.75" hidden="false" customHeight="false" outlineLevel="0" collapsed="false">
      <c r="A6" s="3"/>
      <c r="B6" s="46"/>
      <c r="C6" s="48"/>
      <c r="D6" s="47"/>
      <c r="E6" s="47"/>
      <c r="F6" s="47"/>
      <c r="G6" s="47"/>
    </row>
    <row r="7" customFormat="false" ht="15.75" hidden="false" customHeight="false" outlineLevel="0" collapsed="false">
      <c r="A7" s="3"/>
      <c r="B7" s="46" t="s">
        <v>103</v>
      </c>
      <c r="C7" s="48" t="s">
        <v>104</v>
      </c>
      <c r="D7" s="47"/>
      <c r="E7" s="47"/>
      <c r="F7" s="47"/>
      <c r="G7" s="47"/>
    </row>
    <row r="8" customFormat="false" ht="12.75" hidden="false" customHeight="false" outlineLevel="0" collapsed="false">
      <c r="A8" s="49" t="s">
        <v>105</v>
      </c>
      <c r="B8" s="49" t="s">
        <v>106</v>
      </c>
      <c r="C8" s="50" t="s">
        <v>107</v>
      </c>
      <c r="D8" s="51" t="s">
        <v>108</v>
      </c>
      <c r="E8" s="51" t="s">
        <v>109</v>
      </c>
      <c r="F8" s="51" t="s">
        <v>110</v>
      </c>
      <c r="G8" s="51" t="s">
        <v>6</v>
      </c>
    </row>
    <row r="9" customFormat="false" ht="12.75" hidden="false" customHeight="false" outlineLevel="0" collapsed="false">
      <c r="C9" s="52" t="s">
        <v>111</v>
      </c>
    </row>
    <row r="10" customFormat="false" ht="12.75" hidden="false" customHeight="false" outlineLevel="0" collapsed="false">
      <c r="C10" s="52" t="s">
        <v>112</v>
      </c>
    </row>
    <row r="12" customFormat="false" ht="12.75" hidden="false" customHeight="false" outlineLevel="0" collapsed="false">
      <c r="A12" s="0" t="s">
        <v>113</v>
      </c>
      <c r="B12" s="53" t="n">
        <v>36150</v>
      </c>
      <c r="D12" s="45" t="n">
        <v>61516763</v>
      </c>
      <c r="E12" s="45" t="n">
        <v>43104549</v>
      </c>
      <c r="F12" s="45" t="n">
        <v>63865968</v>
      </c>
      <c r="G12" s="45" t="n">
        <f aca="false">SUM(D12:F12)</f>
        <v>168487280</v>
      </c>
    </row>
    <row r="13" customFormat="false" ht="12.75" hidden="false" customHeight="false" outlineLevel="0" collapsed="false">
      <c r="B13" s="53"/>
    </row>
    <row r="14" customFormat="false" ht="12.75" hidden="false" customHeight="false" outlineLevel="0" collapsed="false">
      <c r="A14" s="0" t="s">
        <v>114</v>
      </c>
      <c r="B14" s="53" t="n">
        <v>36153</v>
      </c>
      <c r="D14" s="45" t="n">
        <v>9309496</v>
      </c>
      <c r="E14" s="45" t="n">
        <v>12435707</v>
      </c>
      <c r="F14" s="45" t="n">
        <v>5818345</v>
      </c>
      <c r="G14" s="45" t="n">
        <f aca="false">SUM(D14:F14)</f>
        <v>27563548</v>
      </c>
    </row>
    <row r="15" customFormat="false" ht="12.75" hidden="false" customHeight="false" outlineLevel="0" collapsed="false">
      <c r="A15" s="0" t="s">
        <v>115</v>
      </c>
      <c r="B15" s="53"/>
      <c r="D15" s="45" t="n">
        <v>126458.5</v>
      </c>
      <c r="E15" s="45" t="n">
        <v>150775</v>
      </c>
      <c r="F15" s="45" t="n">
        <v>133166.5</v>
      </c>
      <c r="G15" s="45" t="n">
        <f aca="false">SUM(D15:F15)</f>
        <v>410400</v>
      </c>
    </row>
    <row r="16" customFormat="false" ht="12.75" hidden="false" customHeight="false" outlineLevel="0" collapsed="false">
      <c r="A16" s="0" t="s">
        <v>104</v>
      </c>
      <c r="B16" s="53"/>
      <c r="C16" s="44" t="n">
        <v>0.0775</v>
      </c>
      <c r="D16" s="45" t="n">
        <v>39185.34</v>
      </c>
      <c r="E16" s="45" t="n">
        <v>27457.01</v>
      </c>
      <c r="F16" s="45" t="n">
        <v>40681.75</v>
      </c>
      <c r="G16" s="45" t="n">
        <f aca="false">SUM(D16:F16)</f>
        <v>107324.1</v>
      </c>
    </row>
    <row r="17" customFormat="false" ht="12.75" hidden="false" customHeight="false" outlineLevel="0" collapsed="false">
      <c r="A17" s="0" t="s">
        <v>116</v>
      </c>
      <c r="B17" s="53"/>
      <c r="D17" s="54" t="n">
        <f aca="false">SUM(D14:D16)</f>
        <v>9475139.84</v>
      </c>
      <c r="E17" s="54" t="n">
        <f aca="false">SUM(E14:E16)</f>
        <v>12613939.01</v>
      </c>
      <c r="F17" s="54" t="n">
        <f aca="false">SUM(F14:F16)</f>
        <v>5992193.25</v>
      </c>
      <c r="G17" s="54" t="n">
        <f aca="false">SUM(G14:G16)</f>
        <v>28081272.1</v>
      </c>
    </row>
    <row r="18" customFormat="false" ht="12.75" hidden="false" customHeight="false" outlineLevel="0" collapsed="false">
      <c r="A18" s="0" t="s">
        <v>117</v>
      </c>
      <c r="B18" s="53"/>
      <c r="D18" s="54" t="n">
        <f aca="false">+D12+D17</f>
        <v>70991902.84</v>
      </c>
      <c r="E18" s="54" t="n">
        <f aca="false">+E12+E17</f>
        <v>55718488.01</v>
      </c>
      <c r="F18" s="54" t="n">
        <f aca="false">+F12+F17</f>
        <v>69858161.25</v>
      </c>
      <c r="G18" s="54" t="n">
        <f aca="false">+G12+G17</f>
        <v>196568552.1</v>
      </c>
    </row>
    <row r="19" customFormat="false" ht="12.75" hidden="false" customHeight="false" outlineLevel="0" collapsed="false">
      <c r="B19" s="53"/>
    </row>
    <row r="20" customFormat="false" ht="12.75" hidden="false" customHeight="false" outlineLevel="0" collapsed="false">
      <c r="A20" s="0" t="s">
        <v>118</v>
      </c>
      <c r="B20" s="53" t="n">
        <v>36185</v>
      </c>
      <c r="D20" s="45" t="n">
        <v>6803830</v>
      </c>
      <c r="E20" s="45" t="n">
        <v>10781519</v>
      </c>
      <c r="F20" s="45" t="n">
        <v>20473789</v>
      </c>
      <c r="G20" s="45" t="n">
        <f aca="false">SUM(D20:F20)</f>
        <v>38059138</v>
      </c>
    </row>
    <row r="21" customFormat="false" ht="12.75" hidden="false" customHeight="false" outlineLevel="0" collapsed="false">
      <c r="A21" s="0" t="s">
        <v>115</v>
      </c>
      <c r="B21" s="53"/>
      <c r="D21" s="45" t="n">
        <v>756250</v>
      </c>
      <c r="E21" s="45" t="n">
        <v>937500</v>
      </c>
      <c r="F21" s="45" t="n">
        <v>806250</v>
      </c>
      <c r="G21" s="45" t="n">
        <f aca="false">SUM(D21:F21)</f>
        <v>2500000</v>
      </c>
    </row>
    <row r="22" customFormat="false" ht="12.75" hidden="false" customHeight="false" outlineLevel="0" collapsed="false">
      <c r="A22" s="0" t="s">
        <v>104</v>
      </c>
      <c r="B22" s="53"/>
      <c r="C22" s="44" t="n">
        <v>0.063675</v>
      </c>
      <c r="D22" s="45" t="n">
        <v>401814.17</v>
      </c>
      <c r="E22" s="45" t="n">
        <v>315366.64</v>
      </c>
      <c r="F22" s="45" t="n">
        <v>395397.19</v>
      </c>
      <c r="G22" s="45" t="n">
        <f aca="false">SUM(D22:F22)</f>
        <v>1112578</v>
      </c>
    </row>
    <row r="23" customFormat="false" ht="12.75" hidden="false" customHeight="false" outlineLevel="0" collapsed="false">
      <c r="A23" s="0" t="s">
        <v>81</v>
      </c>
      <c r="B23" s="53"/>
      <c r="C23" s="44" t="n">
        <v>0.0035</v>
      </c>
      <c r="D23" s="45" t="n">
        <v>6251.01</v>
      </c>
      <c r="E23" s="45" t="n">
        <v>11785.19</v>
      </c>
      <c r="F23" s="45" t="n">
        <v>7392.73</v>
      </c>
      <c r="G23" s="45" t="n">
        <f aca="false">SUM(D23:F23)</f>
        <v>25428.93</v>
      </c>
    </row>
    <row r="24" customFormat="false" ht="12.75" hidden="false" customHeight="false" outlineLevel="0" collapsed="false">
      <c r="A24" s="0" t="s">
        <v>116</v>
      </c>
      <c r="B24" s="53"/>
      <c r="D24" s="54" t="n">
        <f aca="false">SUM(D20:D23)</f>
        <v>7968145.18</v>
      </c>
      <c r="E24" s="54" t="n">
        <f aca="false">SUM(E20:E23)</f>
        <v>12046170.83</v>
      </c>
      <c r="F24" s="54" t="n">
        <f aca="false">SUM(F20:F23)</f>
        <v>21682828.92</v>
      </c>
      <c r="G24" s="54" t="n">
        <f aca="false">SUM(G20:G23)</f>
        <v>41697144.93</v>
      </c>
    </row>
    <row r="25" customFormat="false" ht="12.75" hidden="false" customHeight="false" outlineLevel="0" collapsed="false">
      <c r="A25" s="0" t="s">
        <v>117</v>
      </c>
      <c r="B25" s="53"/>
      <c r="D25" s="54" t="n">
        <f aca="false">+D18+D24</f>
        <v>78960048.02</v>
      </c>
      <c r="E25" s="54" t="n">
        <f aca="false">+E18+E24</f>
        <v>67764658.84</v>
      </c>
      <c r="F25" s="54" t="n">
        <f aca="false">+F18+F24</f>
        <v>91540990.17</v>
      </c>
      <c r="G25" s="54" t="n">
        <f aca="false">+G18+G24</f>
        <v>238265697.03</v>
      </c>
    </row>
    <row r="27" customFormat="false" ht="12.75" hidden="false" customHeight="false" outlineLevel="0" collapsed="false">
      <c r="A27" s="0" t="s">
        <v>119</v>
      </c>
      <c r="B27" s="53" t="n">
        <v>36215</v>
      </c>
      <c r="D27" s="45" t="n">
        <v>9173314</v>
      </c>
      <c r="E27" s="45" t="n">
        <v>32244564</v>
      </c>
      <c r="F27" s="45" t="n">
        <v>3573648</v>
      </c>
      <c r="G27" s="45" t="n">
        <f aca="false">SUM(D27:F27)</f>
        <v>44991526</v>
      </c>
    </row>
    <row r="28" customFormat="false" ht="12.75" hidden="false" customHeight="false" outlineLevel="0" collapsed="false">
      <c r="A28" s="0" t="s">
        <v>115</v>
      </c>
      <c r="B28" s="53"/>
      <c r="D28" s="45" t="n">
        <v>0</v>
      </c>
      <c r="E28" s="45" t="n">
        <v>0</v>
      </c>
      <c r="F28" s="45" t="n">
        <v>0</v>
      </c>
      <c r="G28" s="45" t="n">
        <f aca="false">SUM(D28:F28)</f>
        <v>0</v>
      </c>
    </row>
    <row r="29" customFormat="false" ht="12.75" hidden="false" customHeight="false" outlineLevel="0" collapsed="false">
      <c r="A29" s="0" t="s">
        <v>104</v>
      </c>
      <c r="B29" s="53"/>
      <c r="C29" s="44" t="n">
        <v>0.0568969</v>
      </c>
      <c r="D29" s="45" t="n">
        <v>374381.83</v>
      </c>
      <c r="E29" s="45" t="n">
        <v>321299.92</v>
      </c>
      <c r="F29" s="45" t="n">
        <v>434033.21</v>
      </c>
      <c r="G29" s="45" t="n">
        <f aca="false">SUM(D29:F29)</f>
        <v>1129714.96</v>
      </c>
    </row>
    <row r="30" customFormat="false" ht="12.75" hidden="false" customHeight="false" outlineLevel="0" collapsed="false">
      <c r="A30" s="0" t="s">
        <v>81</v>
      </c>
      <c r="B30" s="53"/>
      <c r="C30" s="44" t="n">
        <v>0.0035</v>
      </c>
      <c r="D30" s="45" t="n">
        <v>5254.99</v>
      </c>
      <c r="E30" s="45" t="n">
        <v>10279.42</v>
      </c>
      <c r="F30" s="45" t="n">
        <v>4682.38</v>
      </c>
      <c r="G30" s="45" t="n">
        <f aca="false">SUM(D30:F30)</f>
        <v>20216.79</v>
      </c>
    </row>
    <row r="31" customFormat="false" ht="12.75" hidden="false" customHeight="false" outlineLevel="0" collapsed="false">
      <c r="A31" s="0" t="s">
        <v>116</v>
      </c>
      <c r="B31" s="53"/>
      <c r="D31" s="54" t="n">
        <f aca="false">SUM(D27:D30)</f>
        <v>9552950.82</v>
      </c>
      <c r="E31" s="54" t="n">
        <f aca="false">SUM(E27:E30)</f>
        <v>32576143.34</v>
      </c>
      <c r="F31" s="54" t="n">
        <f aca="false">SUM(F27:F30)</f>
        <v>4012363.59</v>
      </c>
      <c r="G31" s="54" t="n">
        <f aca="false">SUM(G27:G30)</f>
        <v>46141457.75</v>
      </c>
    </row>
    <row r="32" customFormat="false" ht="12.75" hidden="false" customHeight="false" outlineLevel="0" collapsed="false">
      <c r="A32" s="0" t="s">
        <v>117</v>
      </c>
      <c r="B32" s="53"/>
      <c r="D32" s="54" t="n">
        <f aca="false">+D25+D31</f>
        <v>88512998.84</v>
      </c>
      <c r="E32" s="54" t="n">
        <f aca="false">+E25+E31</f>
        <v>100340802.18</v>
      </c>
      <c r="F32" s="54" t="n">
        <f aca="false">+F25+F31</f>
        <v>95553353.76</v>
      </c>
      <c r="G32" s="54" t="n">
        <f aca="false">+G25+G31</f>
        <v>284407154.78</v>
      </c>
    </row>
    <row r="34" customFormat="false" ht="12.75" hidden="false" customHeight="false" outlineLevel="0" collapsed="false">
      <c r="A34" s="0" t="s">
        <v>120</v>
      </c>
      <c r="B34" s="53" t="n">
        <v>36243</v>
      </c>
      <c r="D34" s="45" t="n">
        <v>800000</v>
      </c>
      <c r="E34" s="45" t="n">
        <v>500000</v>
      </c>
      <c r="F34" s="45" t="n">
        <v>1000000</v>
      </c>
      <c r="G34" s="45" t="n">
        <f aca="false">SUM(D34:F34)</f>
        <v>2300000</v>
      </c>
    </row>
    <row r="35" customFormat="false" ht="12.75" hidden="false" customHeight="false" outlineLevel="0" collapsed="false">
      <c r="A35" s="0" t="s">
        <v>115</v>
      </c>
      <c r="B35" s="53"/>
      <c r="D35" s="45" t="n">
        <v>0</v>
      </c>
      <c r="E35" s="45" t="n">
        <v>0</v>
      </c>
      <c r="F35" s="45" t="n">
        <v>0</v>
      </c>
      <c r="G35" s="45" t="n">
        <f aca="false">SUM(D35:F35)</f>
        <v>0</v>
      </c>
    </row>
    <row r="36" customFormat="false" ht="12.75" hidden="false" customHeight="false" outlineLevel="0" collapsed="false">
      <c r="A36" s="0" t="s">
        <v>104</v>
      </c>
      <c r="B36" s="53"/>
      <c r="C36" s="44" t="n">
        <v>0.0568813</v>
      </c>
      <c r="D36" s="45" t="n">
        <v>391590.46</v>
      </c>
      <c r="E36" s="45" t="n">
        <v>443917.85</v>
      </c>
      <c r="F36" s="45" t="n">
        <v>422737.7</v>
      </c>
      <c r="G36" s="45" t="n">
        <f aca="false">SUM(D36:F36)</f>
        <v>1258246.01</v>
      </c>
    </row>
    <row r="37" customFormat="false" ht="12.75" hidden="false" customHeight="false" outlineLevel="0" collapsed="false">
      <c r="A37" s="0" t="s">
        <v>81</v>
      </c>
      <c r="B37" s="53"/>
      <c r="C37" s="44" t="n">
        <v>0.0035</v>
      </c>
      <c r="D37" s="45" t="n">
        <v>4060.88</v>
      </c>
      <c r="E37" s="45" t="n">
        <v>6207.4</v>
      </c>
      <c r="F37" s="45" t="n">
        <v>4180.83</v>
      </c>
      <c r="G37" s="45" t="n">
        <f aca="false">SUM(D37:F37)</f>
        <v>14449.11</v>
      </c>
    </row>
    <row r="38" customFormat="false" ht="12.75" hidden="false" customHeight="false" outlineLevel="0" collapsed="false">
      <c r="A38" s="0" t="s">
        <v>116</v>
      </c>
      <c r="B38" s="53"/>
      <c r="D38" s="54" t="n">
        <f aca="false">SUM(D34:D37)</f>
        <v>1195651.34</v>
      </c>
      <c r="E38" s="54" t="n">
        <f aca="false">SUM(E34:E37)</f>
        <v>950125.25</v>
      </c>
      <c r="F38" s="54" t="n">
        <f aca="false">SUM(F34:F37)</f>
        <v>1426918.53</v>
      </c>
      <c r="G38" s="54" t="n">
        <f aca="false">SUM(G34:G37)</f>
        <v>3572695.12</v>
      </c>
    </row>
    <row r="39" customFormat="false" ht="12.75" hidden="false" customHeight="false" outlineLevel="0" collapsed="false">
      <c r="A39" s="0" t="s">
        <v>117</v>
      </c>
      <c r="B39" s="53"/>
      <c r="D39" s="54" t="n">
        <f aca="false">+D32+D38</f>
        <v>89708650.18</v>
      </c>
      <c r="E39" s="54" t="n">
        <f aca="false">+E32+E38</f>
        <v>101290927.43</v>
      </c>
      <c r="F39" s="54" t="n">
        <f aca="false">+F32+F38</f>
        <v>96980272.29</v>
      </c>
      <c r="G39" s="54" t="n">
        <f aca="false">+G32+G38</f>
        <v>287979849.9</v>
      </c>
    </row>
    <row r="41" customFormat="false" ht="12.75" hidden="false" customHeight="false" outlineLevel="0" collapsed="false">
      <c r="A41" s="0" t="s">
        <v>121</v>
      </c>
      <c r="B41" s="53" t="n">
        <v>36276</v>
      </c>
      <c r="D41" s="45" t="n">
        <v>1000000</v>
      </c>
      <c r="E41" s="45" t="n">
        <v>1000000</v>
      </c>
      <c r="F41" s="45" t="n">
        <v>1000000</v>
      </c>
      <c r="G41" s="45" t="n">
        <f aca="false">SUM(D41:F41)</f>
        <v>3000000</v>
      </c>
    </row>
    <row r="42" customFormat="false" ht="12.75" hidden="false" customHeight="false" outlineLevel="0" collapsed="false">
      <c r="A42" s="0" t="s">
        <v>115</v>
      </c>
      <c r="B42" s="53"/>
      <c r="G42" s="45" t="n">
        <f aca="false">SUM(D42:F42)</f>
        <v>0</v>
      </c>
    </row>
    <row r="43" customFormat="false" ht="12.75" hidden="false" customHeight="false" outlineLevel="0" collapsed="false">
      <c r="A43" s="0" t="s">
        <v>104</v>
      </c>
      <c r="B43" s="53"/>
      <c r="D43" s="45" t="n">
        <v>467674.29</v>
      </c>
      <c r="E43" s="45" t="n">
        <v>528055.69</v>
      </c>
      <c r="F43" s="45" t="n">
        <v>505583.13</v>
      </c>
      <c r="G43" s="45" t="n">
        <f aca="false">SUM(D43:F43)</f>
        <v>1501313.11</v>
      </c>
    </row>
    <row r="44" customFormat="false" ht="12.75" hidden="false" customHeight="false" outlineLevel="0" collapsed="false">
      <c r="A44" s="0" t="s">
        <v>81</v>
      </c>
      <c r="B44" s="53"/>
      <c r="C44" s="44" t="n">
        <v>0.0035</v>
      </c>
      <c r="D44" s="45" t="n">
        <v>3911.42</v>
      </c>
      <c r="E44" s="45" t="n">
        <v>6088.63</v>
      </c>
      <c r="F44" s="45" t="n">
        <v>4002.47</v>
      </c>
      <c r="G44" s="45" t="n">
        <f aca="false">SUM(D44:F44)</f>
        <v>14002.52</v>
      </c>
    </row>
    <row r="45" customFormat="false" ht="12.75" hidden="false" customHeight="false" outlineLevel="0" collapsed="false">
      <c r="A45" s="0" t="s">
        <v>116</v>
      </c>
      <c r="B45" s="53"/>
      <c r="D45" s="54" t="n">
        <f aca="false">SUM(D41:D44)</f>
        <v>1471585.71</v>
      </c>
      <c r="E45" s="54" t="n">
        <f aca="false">SUM(E41:E44)</f>
        <v>1534144.32</v>
      </c>
      <c r="F45" s="54" t="n">
        <f aca="false">SUM(F41:F44)</f>
        <v>1509585.6</v>
      </c>
      <c r="G45" s="54" t="n">
        <f aca="false">SUM(G41:G44)</f>
        <v>4515315.63</v>
      </c>
    </row>
    <row r="46" customFormat="false" ht="12.75" hidden="false" customHeight="false" outlineLevel="0" collapsed="false">
      <c r="A46" s="0" t="s">
        <v>117</v>
      </c>
      <c r="B46" s="53"/>
      <c r="D46" s="54" t="n">
        <f aca="false">+D39+D45</f>
        <v>91180235.89</v>
      </c>
      <c r="E46" s="54" t="n">
        <f aca="false">+E39+E45</f>
        <v>102825071.75</v>
      </c>
      <c r="F46" s="54" t="n">
        <f aca="false">+F39+F45</f>
        <v>98489857.89</v>
      </c>
      <c r="G46" s="54" t="n">
        <f aca="false">+G39+G45</f>
        <v>292495165.53</v>
      </c>
    </row>
    <row r="48" customFormat="false" ht="12.75" hidden="false" customHeight="false" outlineLevel="0" collapsed="false">
      <c r="A48" s="0" t="s">
        <v>122</v>
      </c>
      <c r="B48" s="53" t="n">
        <v>36301</v>
      </c>
      <c r="D48" s="45" t="n">
        <v>0</v>
      </c>
      <c r="E48" s="45" t="n">
        <v>0</v>
      </c>
      <c r="F48" s="45" t="n">
        <v>0</v>
      </c>
      <c r="G48" s="45" t="n">
        <f aca="false">SUM(D48:F48)</f>
        <v>0</v>
      </c>
    </row>
    <row r="49" customFormat="false" ht="12.75" hidden="false" customHeight="false" outlineLevel="0" collapsed="false">
      <c r="A49" s="0" t="s">
        <v>115</v>
      </c>
      <c r="B49" s="53"/>
      <c r="D49" s="45" t="n">
        <v>0</v>
      </c>
      <c r="E49" s="45" t="n">
        <v>0</v>
      </c>
      <c r="F49" s="45" t="n">
        <v>0</v>
      </c>
      <c r="G49" s="45" t="n">
        <f aca="false">SUM(D49:F49)</f>
        <v>0</v>
      </c>
    </row>
    <row r="50" customFormat="false" ht="12.75" hidden="false" customHeight="false" outlineLevel="0" collapsed="false">
      <c r="A50" s="0" t="s">
        <v>104</v>
      </c>
      <c r="B50" s="53"/>
      <c r="D50" s="45" t="n">
        <v>358547.28</v>
      </c>
      <c r="E50" s="45" t="n">
        <v>404338.17</v>
      </c>
      <c r="F50" s="45" t="n">
        <v>387290.85</v>
      </c>
      <c r="G50" s="45" t="n">
        <f aca="false">SUM(D50:F50)</f>
        <v>1150176.3</v>
      </c>
    </row>
    <row r="51" customFormat="false" ht="12.75" hidden="false" customHeight="false" outlineLevel="0" collapsed="false">
      <c r="A51" s="0" t="s">
        <v>81</v>
      </c>
      <c r="B51" s="53"/>
      <c r="C51" s="44" t="n">
        <v>0.0035</v>
      </c>
      <c r="D51" s="45" t="n">
        <v>3727.47</v>
      </c>
      <c r="E51" s="45" t="n">
        <v>5896.87</v>
      </c>
      <c r="F51" s="45" t="n">
        <v>3813.77</v>
      </c>
      <c r="G51" s="45" t="n">
        <f aca="false">SUM(D51:F51)</f>
        <v>13438.11</v>
      </c>
    </row>
    <row r="52" customFormat="false" ht="12.75" hidden="false" customHeight="false" outlineLevel="0" collapsed="false">
      <c r="A52" s="55" t="s">
        <v>123</v>
      </c>
      <c r="B52" s="56"/>
      <c r="C52" s="57"/>
      <c r="D52" s="45" t="n">
        <f aca="false">(8223.78/3)+(241776.22/3)</f>
        <v>83333.3333333333</v>
      </c>
      <c r="E52" s="45" t="n">
        <f aca="false">(8223.78/3)+(241776.22/3)</f>
        <v>83333.3333333333</v>
      </c>
      <c r="F52" s="45" t="n">
        <f aca="false">(8223.78/3)+(241776.22/3)</f>
        <v>83333.3333333333</v>
      </c>
      <c r="G52" s="45" t="n">
        <f aca="false">SUM(D52:F52)</f>
        <v>250000</v>
      </c>
    </row>
    <row r="53" customFormat="false" ht="12.75" hidden="false" customHeight="false" outlineLevel="0" collapsed="false">
      <c r="A53" s="0" t="s">
        <v>116</v>
      </c>
      <c r="B53" s="53"/>
      <c r="D53" s="54" t="n">
        <f aca="false">SUM(D48:D52)</f>
        <v>445608.083333333</v>
      </c>
      <c r="E53" s="54" t="n">
        <f aca="false">SUM(E48:E52)</f>
        <v>493568.373333333</v>
      </c>
      <c r="F53" s="54" t="n">
        <f aca="false">SUM(F48:F52)</f>
        <v>474437.953333333</v>
      </c>
      <c r="G53" s="54" t="n">
        <f aca="false">SUM(G48:G52)</f>
        <v>1413614.41</v>
      </c>
    </row>
    <row r="54" customFormat="false" ht="12.75" hidden="false" customHeight="false" outlineLevel="0" collapsed="false">
      <c r="A54" s="0" t="s">
        <v>117</v>
      </c>
      <c r="B54" s="53"/>
      <c r="D54" s="54" t="n">
        <f aca="false">+D46+D53</f>
        <v>91625843.9733333</v>
      </c>
      <c r="E54" s="54" t="n">
        <f aca="false">+E46+E53</f>
        <v>103318640.123333</v>
      </c>
      <c r="F54" s="54" t="n">
        <f aca="false">+F46+F53</f>
        <v>98964295.8433333</v>
      </c>
      <c r="G54" s="54" t="n">
        <f aca="false">+G46+G53</f>
        <v>293908779.94</v>
      </c>
    </row>
    <row r="55" customFormat="false" ht="12.75" hidden="false" customHeight="false" outlineLevel="0" collapsed="false">
      <c r="A55" s="0" t="s">
        <v>124</v>
      </c>
      <c r="D55" s="45" t="n">
        <v>-91550734.42</v>
      </c>
      <c r="E55" s="45" t="n">
        <v>-103477083.01</v>
      </c>
      <c r="F55" s="45" t="n">
        <v>-98880962.51</v>
      </c>
      <c r="G55" s="45" t="n">
        <f aca="false">SUM(D55:F55)</f>
        <v>-293908779.94</v>
      </c>
    </row>
    <row r="56" customFormat="false" ht="12.75" hidden="false" customHeight="false" outlineLevel="0" collapsed="false">
      <c r="A56" s="55"/>
    </row>
    <row r="59" customFormat="false" ht="12.75" hidden="false" customHeight="false" outlineLevel="0" collapsed="false">
      <c r="A59" s="58" t="s">
        <v>125</v>
      </c>
      <c r="B59" s="58"/>
      <c r="D59" s="58" t="n">
        <v>121000000</v>
      </c>
      <c r="E59" s="58" t="n">
        <v>150000000</v>
      </c>
      <c r="F59" s="58" t="n">
        <v>129000000</v>
      </c>
      <c r="G59" s="58" t="n">
        <f aca="false">SUM(D59:F59)</f>
        <v>400000000</v>
      </c>
    </row>
    <row r="61" customFormat="false" ht="13.5" hidden="false" customHeight="false" outlineLevel="0" collapsed="false">
      <c r="A61" s="0" t="s">
        <v>126</v>
      </c>
      <c r="D61" s="59" t="n">
        <f aca="false">+D59-D54</f>
        <v>29374156.0266667</v>
      </c>
      <c r="E61" s="59" t="n">
        <f aca="false">+E59-E54</f>
        <v>46681359.8766667</v>
      </c>
      <c r="F61" s="59" t="n">
        <f aca="false">+F59-F54</f>
        <v>30035704.1566667</v>
      </c>
      <c r="G61" s="59" t="n">
        <f aca="false">+G59-G54</f>
        <v>106091220.06</v>
      </c>
    </row>
    <row r="6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1999-02-09T11:33:00Z</dcterms:created>
  <dc:creator>tshepperd</dc:creator>
  <dc:description/>
  <dc:language>en-US</dc:language>
  <cp:lastModifiedBy>Theresa Wiesmann</cp:lastModifiedBy>
  <cp:lastPrinted>1999-12-21T14:09:15Z</cp:lastPrinted>
  <cp:revision>0</cp:revision>
  <dc:subject/>
  <dc:title/>
</cp:coreProperties>
</file>