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Brownsville" sheetId="2" state="visible" r:id="rId4"/>
    <sheet name="Caledonia" sheetId="3" state="visible" r:id="rId5"/>
    <sheet name="New Albany" sheetId="4" state="visible" r:id="rId6"/>
    <sheet name="Draw Summary" sheetId="5" state="visible" r:id="rId7"/>
  </sheets>
  <externalReferences>
    <externalReference r:id="rId8"/>
  </externalReferences>
  <definedNames>
    <definedName function="false" hidden="false" localSheetId="1" name="_xlnm.Print_Area" vbProcedure="false">Brownsville!$A$1:$S$62</definedName>
    <definedName function="false" hidden="false" localSheetId="2" name="_xlnm.Print_Area" vbProcedure="false">Caledonia!$A$1:$S$63</definedName>
    <definedName function="false" hidden="false" localSheetId="4" name="_xlnm.Print_Area" vbProcedure="false">'Draw Summary'!$A$1:$G$62</definedName>
    <definedName function="false" hidden="false" localSheetId="3" name="_xlnm.Print_Area" vbProcedure="false">'New Albany'!$A$1:$S$71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<sst xmlns="http://schemas.openxmlformats.org/spreadsheetml/2006/main" count="430" uniqueCount="128">
  <si>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</si>
  <si>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</si>
  <si>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</si>
  <si>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</si>
  <si>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</si>
  <si>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</si>
  <si>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</si>
  <si>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</si>
  <si>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</si>
  <si>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</si>
  <si>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</si>
  <si>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</si>
  <si>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</si>
  <si>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</si>
  <si>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</si>
  <si>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</si>
  <si>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</si>
  <si>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</si>
  <si>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</si>
  <si>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</si>
  <si>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</si>
  <si>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</si>
  <si>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</si>
  <si>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</si>
  <si>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</si>
  <si>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</si>
  <si>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</si>
  <si>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</si>
  <si>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</si>
  <si>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</si>
  <si>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</si>
  <si>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</si>
  <si>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</si>
  <si>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</si>
  <si>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</si>
  <si>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</si>
  <si>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</si>
  <si>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</si>
  <si>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</si>
  <si>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</si>
  <si>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</si>
  <si>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</si>
  <si>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</si>
  <si>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</si>
  <si>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</si>
  <si>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</si>
  <si>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</si>
  <si>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</si>
  <si>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</si>
  <si>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</si>
  <si>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</si>
  <si>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</si>
  <si>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</si>
  <si>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</si>
  <si>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</si>
  <si>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</si>
  <si>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</si>
  <si>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</si>
  <si>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</si>
  <si>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</si>
  <si>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</si>
  <si>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</si>
  <si>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</si>
  <si>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</si>
  <si>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</si>
  <si>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</si>
  <si>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</si>
  <si>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</si>
  <si>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</si>
  <si>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</si>
  <si>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</si>
  <si>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</si>
  <si>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</si>
  <si>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Last updated:  Actuals through February 4, 2000</t>
  </si>
  <si>
    <t xml:space="preserve">Power Plants - 1999</t>
  </si>
  <si>
    <t xml:space="preserve">TOTAL</t>
  </si>
  <si>
    <t xml:space="preserve">Capital</t>
  </si>
  <si>
    <t xml:space="preserve">Brownsville, TN</t>
  </si>
  <si>
    <t xml:space="preserve">( Dev Owner:  Clay Spears)</t>
  </si>
  <si>
    <t xml:space="preserve">WH 5D's (4ea)</t>
  </si>
  <si>
    <t xml:space="preserve">OTHER</t>
  </si>
  <si>
    <t xml:space="preserve">IDC Credit on Unused Cash</t>
  </si>
  <si>
    <t xml:space="preserve">Commitment Fee</t>
  </si>
  <si>
    <t xml:space="preserve">SWAP</t>
  </si>
  <si>
    <t xml:space="preserve">CONTINGENCY</t>
  </si>
  <si>
    <t xml:space="preserve">Total Capital</t>
  </si>
  <si>
    <t xml:space="preserve">Monthly Draw, including accr int and comm fee</t>
  </si>
  <si>
    <t xml:space="preserve">Cumulative Outstanding Balance</t>
  </si>
  <si>
    <t xml:space="preserve">Total Project Cost (w/o Debt Reserve)</t>
  </si>
  <si>
    <t xml:space="preserve">Total Cumul Project Cost (w/o Debt Reserve)</t>
  </si>
  <si>
    <t xml:space="preserve">Total Project Cost (with Debt Reserve)</t>
  </si>
  <si>
    <t xml:space="preserve">IDC 5.75%  (Actuals through April)</t>
  </si>
  <si>
    <t xml:space="preserve">+ 15 Bps Com Fee (thru 5/21/99 only)</t>
  </si>
  <si>
    <t xml:space="preserve">Blue</t>
  </si>
  <si>
    <t xml:space="preserve">Actuals</t>
  </si>
  <si>
    <t xml:space="preserve">Input from WestLB statements for each month's actuals (1/99 - 5/99)</t>
  </si>
  <si>
    <t xml:space="preserve">Caledonia, MS</t>
  </si>
  <si>
    <t xml:space="preserve">GE 7EA's (6ea)</t>
  </si>
  <si>
    <t xml:space="preserve">Swap Gain/Loss</t>
  </si>
  <si>
    <t xml:space="preserve">New Albany, MS</t>
  </si>
  <si>
    <t xml:space="preserve">SPARE PARTS</t>
  </si>
  <si>
    <t xml:space="preserve">Swap</t>
  </si>
  <si>
    <t xml:space="preserve">Power Plants</t>
  </si>
  <si>
    <t xml:space="preserve">Outstanding Balance Summary</t>
  </si>
  <si>
    <t xml:space="preserve">Date of</t>
  </si>
  <si>
    <t xml:space="preserve">Interest</t>
  </si>
  <si>
    <t xml:space="preserve">Description</t>
  </si>
  <si>
    <t xml:space="preserve">Funding</t>
  </si>
  <si>
    <t xml:space="preserve">Rate</t>
  </si>
  <si>
    <t xml:space="preserve">Brownsville</t>
  </si>
  <si>
    <t xml:space="preserve">Caledonia</t>
  </si>
  <si>
    <t xml:space="preserve">New Albany</t>
  </si>
  <si>
    <t xml:space="preserve">(30day LIBOR</t>
  </si>
  <si>
    <t xml:space="preserve">+ 75 bps)</t>
  </si>
  <si>
    <t xml:space="preserve">Initial Funding</t>
  </si>
  <si>
    <t xml:space="preserve">First Draw</t>
  </si>
  <si>
    <t xml:space="preserve">Transaction Expenses</t>
  </si>
  <si>
    <t xml:space="preserve">CM Activity</t>
  </si>
  <si>
    <t xml:space="preserve">Cumulative O/S balance</t>
  </si>
  <si>
    <t xml:space="preserve">Second Draw</t>
  </si>
  <si>
    <t xml:space="preserve">Third Draw</t>
  </si>
  <si>
    <t xml:space="preserve">Fourth Draw</t>
  </si>
  <si>
    <t xml:space="preserve">Fifth Draw</t>
  </si>
  <si>
    <t xml:space="preserve">Sixth Draw</t>
  </si>
  <si>
    <t xml:space="preserve">Breakage Costs</t>
  </si>
  <si>
    <t xml:space="preserve">Payback West LB</t>
  </si>
  <si>
    <t xml:space="preserve">Total Commitment</t>
  </si>
  <si>
    <t xml:space="preserve">Remaining balance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</si>
</sst>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  <numFmt numFmtId="171" formatCode="_(\$* #,##0.00_);_(\$* \(#,##0.00\);_(\$* \-??_);_(@_)"/>
    <numFmt numFmtId="172" formatCode="_(\$* #,##0_);_(\$* \(#,##0\);_(\$* \-??_);_(@_)"/>
    <numFmt numFmtId="173" formatCode="0.00000%"/>
    <numFmt numFmtId="174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u val="single"/>
      <sz val="11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TVA%20Plants/TVA%20Weekly%20Summary/TVA%20Wkly%20Anal%20-%200208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Brownsville"/>
      <sheetName val="Caledonia"/>
      <sheetName val="NewAlbany"/>
      <sheetName val="Parts_Refurb $s"/>
    </sheetNames>
    <sheetDataSet>
      <sheetData sheetId="0"/>
      <sheetData sheetId="1"/>
      <sheetData sheetId="2"/>
      <sheetData sheetId="3"/>
      <sheetData sheetId="4"/>
      <sheetData sheetId="5">
        <row r="18">
          <cell r="BE18">
            <v>72614405.8</v>
          </cell>
        </row>
        <row r="31">
          <cell r="BE31">
            <v>8885248.1</v>
          </cell>
        </row>
        <row r="41">
          <cell r="BE41">
            <v>734722.53</v>
          </cell>
        </row>
        <row r="106">
          <cell r="BE106">
            <v>32943415.44</v>
          </cell>
        </row>
        <row r="113">
          <cell r="BE113">
            <v>698289.4</v>
          </cell>
        </row>
        <row r="115">
          <cell r="BE115">
            <v>1317746.81</v>
          </cell>
        </row>
        <row r="120">
          <cell r="BE120">
            <v>461440.33</v>
          </cell>
        </row>
        <row r="130">
          <cell r="BE130">
            <v>865369.28</v>
          </cell>
        </row>
        <row r="132">
          <cell r="BE132">
            <v>0</v>
          </cell>
        </row>
        <row r="139">
          <cell r="BE139">
            <v>1972489.012</v>
          </cell>
        </row>
        <row r="141">
          <cell r="BE141">
            <v>33265</v>
          </cell>
        </row>
        <row r="143">
          <cell r="BE143">
            <v>164348</v>
          </cell>
        </row>
        <row r="145">
          <cell r="BE145">
            <v>35060.42</v>
          </cell>
        </row>
        <row r="147">
          <cell r="BE147">
            <v>4408046.37</v>
          </cell>
        </row>
        <row r="148">
          <cell r="BE148">
            <v>-123964</v>
          </cell>
        </row>
        <row r="149">
          <cell r="BE149">
            <v>23205.3</v>
          </cell>
        </row>
        <row r="150">
          <cell r="BE150">
            <v>-15667.94</v>
          </cell>
        </row>
        <row r="159">
          <cell r="BE159">
            <v>1062103.72333333</v>
          </cell>
        </row>
        <row r="161">
          <cell r="BE161">
            <v>69937</v>
          </cell>
        </row>
        <row r="179">
          <cell r="BE179">
            <v>555315.14</v>
          </cell>
        </row>
        <row r="193">
          <cell r="BE193">
            <v>1068089.21</v>
          </cell>
        </row>
        <row r="195">
          <cell r="BE195">
            <v>228051.11</v>
          </cell>
        </row>
        <row r="198">
          <cell r="BE198">
            <v>128000915.035333</v>
          </cell>
        </row>
      </sheetData>
      <sheetData sheetId="6">
        <row r="21">
          <cell r="BE21">
            <v>101629107.92</v>
          </cell>
        </row>
        <row r="34">
          <cell r="BE34">
            <v>10286721</v>
          </cell>
        </row>
        <row r="44">
          <cell r="BE44">
            <v>785954.21</v>
          </cell>
        </row>
        <row r="117">
          <cell r="BE117">
            <v>29262011.15</v>
          </cell>
        </row>
        <row r="123">
          <cell r="BE123">
            <v>568579.44</v>
          </cell>
        </row>
        <row r="125">
          <cell r="BE125">
            <v>696775</v>
          </cell>
        </row>
        <row r="136">
          <cell r="BE136">
            <v>557693.33</v>
          </cell>
        </row>
        <row r="138">
          <cell r="BE138">
            <v>237352.65</v>
          </cell>
        </row>
        <row r="141">
          <cell r="BE141">
            <v>981000</v>
          </cell>
        </row>
        <row r="148">
          <cell r="BE148">
            <v>3507819.876</v>
          </cell>
        </row>
        <row r="150">
          <cell r="BE150">
            <v>99999.9999999999</v>
          </cell>
        </row>
        <row r="152">
          <cell r="BE152">
            <v>224923</v>
          </cell>
        </row>
        <row r="154">
          <cell r="BE154">
            <v>53203.58</v>
          </cell>
        </row>
        <row r="156">
          <cell r="BE156">
            <v>3172038.28</v>
          </cell>
        </row>
        <row r="157">
          <cell r="BE157">
            <v>-426988</v>
          </cell>
        </row>
        <row r="158">
          <cell r="BE158">
            <v>40258</v>
          </cell>
        </row>
        <row r="159">
          <cell r="BE159">
            <v>-10399.47</v>
          </cell>
        </row>
        <row r="169">
          <cell r="BE169">
            <v>1243352.71333333</v>
          </cell>
        </row>
        <row r="171">
          <cell r="BE171">
            <v>94021</v>
          </cell>
        </row>
        <row r="184">
          <cell r="BE184">
            <v>741635.96</v>
          </cell>
        </row>
        <row r="193">
          <cell r="BE193">
            <v>883054.25</v>
          </cell>
        </row>
        <row r="195">
          <cell r="BE195">
            <v>136036.07</v>
          </cell>
        </row>
        <row r="199">
          <cell r="BE199">
            <v>154764149.959333</v>
          </cell>
        </row>
      </sheetData>
      <sheetData sheetId="7">
        <row r="25">
          <cell r="BE25">
            <v>83131106.66</v>
          </cell>
        </row>
        <row r="27">
          <cell r="BE27">
            <v>7891256.53</v>
          </cell>
        </row>
        <row r="41">
          <cell r="BE41">
            <v>11336875.91</v>
          </cell>
        </row>
        <row r="51">
          <cell r="BE51">
            <v>1199679</v>
          </cell>
        </row>
        <row r="141">
          <cell r="BE141">
            <v>33531644.67</v>
          </cell>
        </row>
        <row r="147">
          <cell r="BE147">
            <v>786608.59</v>
          </cell>
        </row>
        <row r="149">
          <cell r="BE149">
            <v>748288</v>
          </cell>
        </row>
        <row r="153">
          <cell r="BE153">
            <v>172609.34</v>
          </cell>
        </row>
        <row r="157">
          <cell r="BE157">
            <v>354903.46</v>
          </cell>
        </row>
        <row r="159">
          <cell r="BE159">
            <v>0</v>
          </cell>
        </row>
        <row r="166">
          <cell r="BE166">
            <v>2150806.664</v>
          </cell>
        </row>
        <row r="168">
          <cell r="BE168">
            <v>100000</v>
          </cell>
        </row>
        <row r="170">
          <cell r="BE170">
            <v>326527</v>
          </cell>
        </row>
        <row r="172">
          <cell r="BE172">
            <v>63623.9</v>
          </cell>
        </row>
        <row r="174">
          <cell r="BE174">
            <v>4163904.83</v>
          </cell>
        </row>
        <row r="175">
          <cell r="BE175">
            <v>-159283</v>
          </cell>
        </row>
        <row r="176">
          <cell r="BE176">
            <v>24072.18</v>
          </cell>
        </row>
        <row r="177">
          <cell r="BE177">
            <v>-15668</v>
          </cell>
        </row>
        <row r="189">
          <cell r="BE189">
            <v>1112102.70333333</v>
          </cell>
        </row>
        <row r="191">
          <cell r="BE191">
            <v>62709.15</v>
          </cell>
        </row>
        <row r="205">
          <cell r="BE205">
            <v>638181.85</v>
          </cell>
        </row>
        <row r="215">
          <cell r="BE215">
            <v>840638.84</v>
          </cell>
        </row>
        <row r="217">
          <cell r="BE217">
            <v>375015.74</v>
          </cell>
        </row>
        <row r="221">
          <cell r="BE221">
            <v>148835605.017333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XML/filtered-attachments/xls/TVADraw020800.xls'#$6.5%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45926.9667217175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3.85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true" outlineLevel="0" max="4" min="4" style="1" width="14.99"/>
    <col collapsed="false" customWidth="true" hidden="true" outlineLevel="0" max="5" min="5" style="1" width="12.85"/>
    <col collapsed="false" customWidth="true" hidden="true" outlineLevel="0" max="6" min="6" style="1" width="13.28"/>
    <col collapsed="false" customWidth="true" hidden="true" outlineLevel="0" max="7" min="7" style="1" width="12.28"/>
    <col collapsed="false" customWidth="true" hidden="true" outlineLevel="0" max="8" min="8" style="1" width="14.14"/>
    <col collapsed="false" customWidth="true" hidden="true" outlineLevel="0" max="9" min="9" style="1" width="13.99"/>
    <col collapsed="false" customWidth="true" hidden="true" outlineLevel="0" max="10" min="10" style="1" width="13.41"/>
    <col collapsed="false" customWidth="true" hidden="true" outlineLevel="0" max="11" min="11" style="1" width="13.56"/>
    <col collapsed="false" customWidth="true" hidden="true" outlineLevel="0" max="12" min="12" style="1" width="14.41"/>
    <col collapsed="false" customWidth="true" hidden="true" outlineLevel="0" max="14" min="13" style="1" width="14.28"/>
    <col collapsed="false" customWidth="true" hidden="true" outlineLevel="0" max="15" min="15" style="1" width="14.7"/>
    <col collapsed="false" customWidth="true" hidden="false" outlineLevel="0" max="16" min="16" style="2" width="14.7"/>
    <col collapsed="false" customWidth="true" hidden="false" outlineLevel="0" max="18" min="17" style="1" width="15.28"/>
    <col collapsed="false" customWidth="true" hidden="false" outlineLevel="0" max="19" min="19" style="2" width="14.41"/>
    <col collapsed="false" customWidth="true" hidden="false" outlineLevel="0" max="20" min="20" style="1" width="12.28"/>
    <col collapsed="false" customWidth="true" hidden="false" outlineLevel="0" max="21" min="21" style="1" width="14.14"/>
    <col collapsed="false" customWidth="false" hidden="false" outlineLevel="0" max="257" min="2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 t="s">
        <v>73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4"/>
      <c r="R2" s="4"/>
      <c r="S2" s="5" t="str">
        <f aca="true">CELL("filename")</f>
        <v>'file:///mnt/12tb/@roms/datasets/enron/EDRM Enron Email Data Set v2 XML/filtered-attachments/xls/TVADraw020800.xls'#$Brownsville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3"/>
      <c r="Q3" s="4"/>
      <c r="R3" s="4"/>
      <c r="S3" s="7" t="n">
        <f aca="true">NOW()</f>
        <v>45926.9667217556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0" t="s">
        <v>4</v>
      </c>
      <c r="Q5" s="12" t="s">
        <v>5</v>
      </c>
      <c r="R5" s="12"/>
      <c r="S5" s="12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75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75</v>
      </c>
      <c r="Q6" s="10" t="s">
        <v>7</v>
      </c>
      <c r="R6" s="10" t="s">
        <v>8</v>
      </c>
      <c r="S6" s="13" t="s">
        <v>6</v>
      </c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7"/>
      <c r="N7" s="10"/>
      <c r="O7" s="10"/>
      <c r="P7" s="10"/>
      <c r="Q7" s="10"/>
      <c r="R7" s="10"/>
      <c r="S7" s="14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77</v>
      </c>
      <c r="B8" s="10"/>
      <c r="C8" s="10"/>
      <c r="D8" s="10"/>
      <c r="E8" s="10"/>
      <c r="F8" s="10"/>
      <c r="G8" s="27"/>
      <c r="H8" s="10"/>
      <c r="I8" s="10"/>
      <c r="J8" s="10"/>
      <c r="K8" s="10"/>
      <c r="L8" s="27"/>
      <c r="M8" s="27"/>
      <c r="N8" s="27"/>
      <c r="O8" s="10"/>
      <c r="P8" s="10"/>
      <c r="Q8" s="10"/>
      <c r="R8" s="10"/>
      <c r="S8" s="14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78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0"/>
      <c r="Q9" s="10"/>
      <c r="R9" s="10"/>
      <c r="S9" s="1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79</v>
      </c>
      <c r="C10" s="28" t="n">
        <v>58899539</v>
      </c>
      <c r="D10" s="29" t="n">
        <v>48600</v>
      </c>
      <c r="E10" s="29" t="n">
        <v>3705425</v>
      </c>
      <c r="F10" s="29" t="n">
        <v>3342088</v>
      </c>
      <c r="G10" s="29" t="n">
        <v>338722</v>
      </c>
      <c r="H10" s="29" t="n">
        <v>840995</v>
      </c>
      <c r="I10" s="29" t="n">
        <v>276019</v>
      </c>
      <c r="J10" s="29" t="n">
        <v>136426</v>
      </c>
      <c r="K10" s="29" t="n">
        <v>3337741</v>
      </c>
      <c r="L10" s="29" t="n">
        <v>172832</v>
      </c>
      <c r="M10" s="29" t="n">
        <v>16019</v>
      </c>
      <c r="N10" s="29" t="n">
        <v>1500000</v>
      </c>
      <c r="O10" s="29" t="n">
        <v>0</v>
      </c>
      <c r="P10" s="28" t="n">
        <f aca="false">SUM(D10:O10)</f>
        <v>13714867</v>
      </c>
      <c r="Q10" s="29" t="n">
        <v>0</v>
      </c>
      <c r="R10" s="15" t="n">
        <v>0</v>
      </c>
      <c r="S10" s="16" t="n">
        <f aca="false">P10+C10+Q10+R10</f>
        <v>72614406</v>
      </c>
      <c r="T10" s="1" t="n">
        <f aca="false">+[1]Brownsville!BE18</f>
        <v>72614405.8</v>
      </c>
      <c r="U10" s="1" t="n">
        <f aca="false">+T10-S10</f>
        <v>-0.199999988079071</v>
      </c>
    </row>
    <row r="11" customFormat="false" ht="12.75" hidden="false" customHeight="false" outlineLevel="0" collapsed="false">
      <c r="A11" s="1" t="s">
        <v>24</v>
      </c>
      <c r="C11" s="28" t="n">
        <v>2998569</v>
      </c>
      <c r="D11" s="29" t="n">
        <v>2951629</v>
      </c>
      <c r="E11" s="29" t="n">
        <v>0</v>
      </c>
      <c r="F11" s="15" t="n">
        <v>0</v>
      </c>
      <c r="G11" s="29" t="n">
        <v>1229750</v>
      </c>
      <c r="H11" s="29" t="n">
        <v>611500</v>
      </c>
      <c r="I11" s="29" t="n">
        <v>692016</v>
      </c>
      <c r="J11" s="29" t="n">
        <v>174000</v>
      </c>
      <c r="K11" s="29" t="n">
        <v>0</v>
      </c>
      <c r="L11" s="29" t="n">
        <v>227784</v>
      </c>
      <c r="M11" s="29" t="n">
        <v>0</v>
      </c>
      <c r="N11" s="29" t="n">
        <v>0</v>
      </c>
      <c r="O11" s="29" t="n">
        <v>0</v>
      </c>
      <c r="P11" s="28" t="n">
        <f aca="false">SUM(D11:O11)</f>
        <v>5886679</v>
      </c>
      <c r="Q11" s="29" t="n">
        <v>0</v>
      </c>
      <c r="R11" s="1" t="n">
        <v>0</v>
      </c>
      <c r="S11" s="16" t="n">
        <f aca="false">P11+C11+Q11+R11</f>
        <v>8885248</v>
      </c>
      <c r="T11" s="1" t="n">
        <f aca="false">+[1]Brownsville!BE31</f>
        <v>8885248.1</v>
      </c>
      <c r="U11" s="1" t="n">
        <f aca="false">+T11-S11</f>
        <v>0.099999999627471</v>
      </c>
    </row>
    <row r="12" customFormat="false" ht="12.75" hidden="false" customHeight="false" outlineLevel="0" collapsed="false">
      <c r="A12" s="1" t="s">
        <v>25</v>
      </c>
      <c r="C12" s="28" t="n">
        <v>182376</v>
      </c>
      <c r="D12" s="29" t="n">
        <v>0</v>
      </c>
      <c r="E12" s="29" t="n">
        <v>0</v>
      </c>
      <c r="F12" s="15" t="n">
        <v>0</v>
      </c>
      <c r="G12" s="29" t="n">
        <v>0</v>
      </c>
      <c r="H12" s="29" t="n">
        <v>0</v>
      </c>
      <c r="I12" s="29" t="n">
        <v>324238</v>
      </c>
      <c r="J12" s="29" t="n">
        <v>125335</v>
      </c>
      <c r="K12" s="29" t="n">
        <v>30644</v>
      </c>
      <c r="L12" s="29" t="n">
        <v>0</v>
      </c>
      <c r="M12" s="29" t="n">
        <v>21103</v>
      </c>
      <c r="N12" s="29" t="n">
        <f aca="false">58187-31431+38249-22549-1</f>
        <v>42455</v>
      </c>
      <c r="O12" s="29" t="n">
        <v>7052</v>
      </c>
      <c r="P12" s="28" t="n">
        <f aca="false">SUM(D12:O12)</f>
        <v>550827</v>
      </c>
      <c r="Q12" s="29" t="n">
        <v>0</v>
      </c>
      <c r="R12" s="1" t="n">
        <v>1520</v>
      </c>
      <c r="S12" s="16" t="n">
        <f aca="false">P12+C12+Q12+R12</f>
        <v>734723</v>
      </c>
      <c r="T12" s="1" t="n">
        <f aca="false">+[1]Brownsville!BE41</f>
        <v>734722.53</v>
      </c>
      <c r="U12" s="1" t="n">
        <f aca="false">+T12-S12</f>
        <v>-0.46999999997206</v>
      </c>
    </row>
    <row r="13" customFormat="false" ht="12.75" hidden="false" customHeight="false" outlineLevel="0" collapsed="false">
      <c r="A13" s="1" t="s">
        <v>26</v>
      </c>
      <c r="C13" s="28" t="n">
        <v>1415805</v>
      </c>
      <c r="D13" s="29" t="n">
        <v>3042655</v>
      </c>
      <c r="E13" s="29" t="n">
        <v>1851195</v>
      </c>
      <c r="F13" s="29" t="n">
        <v>3966412</v>
      </c>
      <c r="G13" s="29" t="n">
        <v>1481896</v>
      </c>
      <c r="H13" s="29" t="n">
        <v>4395775</v>
      </c>
      <c r="I13" s="29" t="n">
        <v>4701685</v>
      </c>
      <c r="J13" s="29" t="n">
        <v>4762777</v>
      </c>
      <c r="K13" s="29" t="n">
        <v>4478140</v>
      </c>
      <c r="L13" s="29" t="n">
        <v>983532</v>
      </c>
      <c r="M13" s="29" t="n">
        <v>775246</v>
      </c>
      <c r="N13" s="29" t="n">
        <v>287383</v>
      </c>
      <c r="O13" s="29" t="n">
        <v>800914</v>
      </c>
      <c r="P13" s="28" t="n">
        <f aca="false">SUM(D13:O13)</f>
        <v>31527610</v>
      </c>
      <c r="Q13" s="29" t="n">
        <v>0</v>
      </c>
      <c r="R13" s="1" t="n">
        <v>0</v>
      </c>
      <c r="S13" s="16" t="n">
        <f aca="false">P13+C13+Q13+R13</f>
        <v>32943415</v>
      </c>
      <c r="T13" s="1" t="n">
        <f aca="false">+[1]Brownsville!BE106</f>
        <v>32943415.44</v>
      </c>
      <c r="U13" s="1" t="n">
        <f aca="false">+T13-S13</f>
        <v>0.439999997615814</v>
      </c>
    </row>
    <row r="14" customFormat="false" ht="12.75" hidden="false" customHeight="false" outlineLevel="0" collapsed="false">
      <c r="A14" s="1" t="s">
        <v>27</v>
      </c>
      <c r="C14" s="28" t="n">
        <v>6111</v>
      </c>
      <c r="D14" s="29" t="n">
        <v>25337</v>
      </c>
      <c r="E14" s="29" t="n">
        <v>0</v>
      </c>
      <c r="F14" s="15" t="n">
        <v>0</v>
      </c>
      <c r="G14" s="29" t="n">
        <v>74417</v>
      </c>
      <c r="H14" s="29" t="n">
        <v>173681</v>
      </c>
      <c r="I14" s="29" t="n">
        <v>225874</v>
      </c>
      <c r="J14" s="29" t="n">
        <v>95732</v>
      </c>
      <c r="K14" s="29" t="n">
        <v>68947</v>
      </c>
      <c r="L14" s="29" t="n">
        <v>26337</v>
      </c>
      <c r="M14" s="29" t="n">
        <f aca="false">-1+1023+57</f>
        <v>1079</v>
      </c>
      <c r="N14" s="29" t="n">
        <v>774</v>
      </c>
      <c r="O14" s="29" t="n">
        <v>0</v>
      </c>
      <c r="P14" s="28" t="n">
        <f aca="false">SUM(D14:O14)</f>
        <v>692178</v>
      </c>
      <c r="Q14" s="29" t="n">
        <v>0</v>
      </c>
      <c r="R14" s="1" t="n">
        <v>0</v>
      </c>
      <c r="S14" s="16" t="n">
        <f aca="false">P14+C14+Q14+R14</f>
        <v>698289</v>
      </c>
      <c r="T14" s="1" t="n">
        <f aca="false">+[1]Brownsville!BE113</f>
        <v>698289.4</v>
      </c>
      <c r="U14" s="1" t="n">
        <f aca="false">+T14-S14</f>
        <v>0.400000000023283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1" t="n">
        <v>0</v>
      </c>
      <c r="I15" s="29" t="n">
        <v>0</v>
      </c>
      <c r="J15" s="29" t="n">
        <v>0</v>
      </c>
      <c r="K15" s="29" t="n">
        <v>238231</v>
      </c>
      <c r="L15" s="29" t="n">
        <v>16621</v>
      </c>
      <c r="M15" s="29" t="n">
        <f aca="false">1048957+13938</f>
        <v>1062895</v>
      </c>
      <c r="N15" s="29" t="n">
        <v>0</v>
      </c>
      <c r="O15" s="29" t="n">
        <v>0</v>
      </c>
      <c r="P15" s="28" t="n">
        <f aca="false">SUM(D15:O15)</f>
        <v>1317747</v>
      </c>
      <c r="Q15" s="29" t="n">
        <v>0</v>
      </c>
      <c r="R15" s="1" t="n">
        <v>0</v>
      </c>
      <c r="S15" s="16" t="n">
        <f aca="false">P15+C15+Q15+R15</f>
        <v>1317747</v>
      </c>
      <c r="T15" s="1" t="n">
        <f aca="false">+[1]Brownsville!BE115</f>
        <v>1317746.81</v>
      </c>
      <c r="U15" s="1" t="n">
        <f aca="false">+T15-S15</f>
        <v>-0.189999999944121</v>
      </c>
    </row>
    <row r="16" customFormat="false" ht="12.75" hidden="false" customHeight="false" outlineLevel="0" collapsed="false">
      <c r="A16" s="1" t="s">
        <v>30</v>
      </c>
      <c r="C16" s="28" t="n">
        <v>458107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3333</v>
      </c>
      <c r="I16" s="29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29" t="n">
        <v>0</v>
      </c>
      <c r="P16" s="28" t="n">
        <f aca="false">SUM(D16:O16)</f>
        <v>3333</v>
      </c>
      <c r="Q16" s="29" t="n">
        <v>0</v>
      </c>
      <c r="R16" s="1" t="n">
        <v>0</v>
      </c>
      <c r="S16" s="16" t="n">
        <f aca="false">P16+C16+Q16+R16</f>
        <v>461440</v>
      </c>
      <c r="T16" s="1" t="n">
        <f aca="false">+[1]Brownsville!BE120</f>
        <v>461440.33</v>
      </c>
      <c r="U16" s="1" t="n">
        <f aca="false">+T16-S16</f>
        <v>0.330000000016298</v>
      </c>
    </row>
    <row r="17" customFormat="false" ht="12.75" hidden="false" customHeight="false" outlineLevel="0" collapsed="false">
      <c r="A17" s="1" t="s">
        <v>32</v>
      </c>
      <c r="C17" s="28" t="n">
        <v>220810</v>
      </c>
      <c r="D17" s="29" t="n">
        <v>59942</v>
      </c>
      <c r="E17" s="29" t="n">
        <v>30441</v>
      </c>
      <c r="F17" s="29" t="n">
        <v>125058</v>
      </c>
      <c r="G17" s="29" t="n">
        <v>24442</v>
      </c>
      <c r="H17" s="29" t="n">
        <v>66861</v>
      </c>
      <c r="I17" s="29" t="n">
        <v>204010</v>
      </c>
      <c r="J17" s="29" t="n">
        <v>84200</v>
      </c>
      <c r="K17" s="29" t="n">
        <v>0</v>
      </c>
      <c r="L17" s="29" t="n">
        <v>0</v>
      </c>
      <c r="M17" s="29" t="n">
        <v>37358</v>
      </c>
      <c r="N17" s="29" t="n">
        <v>0</v>
      </c>
      <c r="O17" s="29" t="n">
        <v>12247</v>
      </c>
      <c r="P17" s="28" t="n">
        <f aca="false">SUM(D17:O17)</f>
        <v>644559</v>
      </c>
      <c r="Q17" s="29" t="n">
        <v>0</v>
      </c>
      <c r="R17" s="1" t="n">
        <v>0</v>
      </c>
      <c r="S17" s="16" t="n">
        <f aca="false">P17+C17+Q17+R17</f>
        <v>865369</v>
      </c>
      <c r="T17" s="1" t="n">
        <f aca="false">+[1]Brownsville!BE130</f>
        <v>865369.28</v>
      </c>
      <c r="U17" s="1" t="n">
        <f aca="false">+T17-S17</f>
        <v>0.279999999911524</v>
      </c>
    </row>
    <row r="18" customFormat="false" ht="12.75" hidden="false" customHeight="false" outlineLevel="0" collapsed="false">
      <c r="A18" s="1" t="s">
        <v>33</v>
      </c>
      <c r="C18" s="28" t="n">
        <v>0</v>
      </c>
      <c r="D18" s="29" t="n">
        <v>0</v>
      </c>
      <c r="E18" s="29" t="n">
        <v>0</v>
      </c>
      <c r="F18" s="15" t="n">
        <v>0</v>
      </c>
      <c r="G18" s="29" t="n">
        <v>0</v>
      </c>
      <c r="H18" s="29" t="n">
        <v>0</v>
      </c>
      <c r="I18" s="29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29" t="n">
        <v>0</v>
      </c>
      <c r="P18" s="28" t="n">
        <f aca="false">SUM(D18:O18)</f>
        <v>0</v>
      </c>
      <c r="Q18" s="29" t="n">
        <v>0</v>
      </c>
      <c r="R18" s="1" t="n">
        <v>0</v>
      </c>
      <c r="S18" s="16" t="n">
        <f aca="false">P18+C18+Q18+R18</f>
        <v>0</v>
      </c>
      <c r="T18" s="1" t="n">
        <f aca="false">+[1]Brownsville!BE132</f>
        <v>0</v>
      </c>
      <c r="U18" s="1" t="n">
        <f aca="false">+T18-S18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73862</v>
      </c>
      <c r="E19" s="29" t="n">
        <v>0</v>
      </c>
      <c r="F19" s="15" t="n">
        <v>0</v>
      </c>
      <c r="G19" s="29" t="n">
        <f aca="false">1789210-500000-500000-71799</f>
        <v>717411</v>
      </c>
      <c r="H19" s="29" t="n">
        <v>0</v>
      </c>
      <c r="I19" s="29" t="n">
        <v>379197</v>
      </c>
      <c r="J19" s="29" t="n">
        <v>353836</v>
      </c>
      <c r="K19" s="29" t="n">
        <v>91393</v>
      </c>
      <c r="L19" s="29" t="n">
        <v>52976</v>
      </c>
      <c r="M19" s="29" t="n">
        <v>5188</v>
      </c>
      <c r="N19" s="29" t="n">
        <v>133605</v>
      </c>
      <c r="O19" s="29" t="n">
        <v>3347</v>
      </c>
      <c r="P19" s="28" t="n">
        <f aca="false">SUM(D19:O19)</f>
        <v>1810815</v>
      </c>
      <c r="Q19" s="29" t="n">
        <v>0</v>
      </c>
      <c r="R19" s="1" t="n">
        <v>161674</v>
      </c>
      <c r="S19" s="16" t="n">
        <f aca="false">P19+C19+Q19+R19</f>
        <v>1972489</v>
      </c>
      <c r="T19" s="1" t="n">
        <f aca="false">+[1]Brownsville!BE139</f>
        <v>1972489.012</v>
      </c>
      <c r="U19" s="1" t="n">
        <f aca="false">+T19-S19</f>
        <v>0.0119999998714775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0</v>
      </c>
      <c r="H20" s="29" t="n">
        <v>121528</v>
      </c>
      <c r="I20" s="29" t="n">
        <v>58914</v>
      </c>
      <c r="J20" s="29" t="n">
        <v>47610</v>
      </c>
      <c r="K20" s="1" t="n">
        <v>0</v>
      </c>
      <c r="L20" s="29" t="n">
        <v>0</v>
      </c>
      <c r="M20" s="29" t="n">
        <v>0</v>
      </c>
      <c r="N20" s="29" t="n">
        <v>0</v>
      </c>
      <c r="O20" s="29" t="n">
        <v>0</v>
      </c>
      <c r="P20" s="28" t="n">
        <f aca="false">SUM(D20:O20)</f>
        <v>228052</v>
      </c>
      <c r="Q20" s="29" t="n">
        <v>0</v>
      </c>
      <c r="R20" s="1" t="n">
        <v>0</v>
      </c>
      <c r="S20" s="16" t="n">
        <f aca="false">P20+C20+Q20+R20</f>
        <v>228052</v>
      </c>
      <c r="T20" s="1" t="n">
        <f aca="false">+[1]Brownsville!BE195</f>
        <v>228051.11</v>
      </c>
      <c r="U20" s="1" t="n">
        <f aca="false">+T20-S20</f>
        <v>-0.89000000001397</v>
      </c>
    </row>
    <row r="21" customFormat="false" ht="12.75" hidden="false" customHeight="false" outlineLevel="0" collapsed="false">
      <c r="A21" s="1" t="s">
        <v>37</v>
      </c>
      <c r="C21" s="28" t="n">
        <v>0</v>
      </c>
      <c r="D21" s="29" t="n">
        <v>0</v>
      </c>
      <c r="E21" s="29" t="n">
        <v>5853</v>
      </c>
      <c r="F21" s="15" t="n">
        <v>0</v>
      </c>
      <c r="G21" s="29" t="n">
        <v>27412</v>
      </c>
      <c r="H21" s="29" t="n">
        <v>0</v>
      </c>
      <c r="I21" s="29" t="n">
        <v>0</v>
      </c>
      <c r="J21" s="29" t="n">
        <v>0</v>
      </c>
      <c r="K21" s="1" t="n">
        <v>0</v>
      </c>
      <c r="L21" s="29" t="n">
        <v>0</v>
      </c>
      <c r="M21" s="29" t="n">
        <v>0</v>
      </c>
      <c r="N21" s="29" t="n">
        <v>0</v>
      </c>
      <c r="O21" s="29" t="n">
        <v>0</v>
      </c>
      <c r="P21" s="28" t="n">
        <f aca="false">SUM(D21:O21)</f>
        <v>33265</v>
      </c>
      <c r="Q21" s="29" t="n">
        <v>0</v>
      </c>
      <c r="R21" s="1" t="n">
        <v>0</v>
      </c>
      <c r="S21" s="16" t="n">
        <f aca="false">P21+C21+Q21+R21</f>
        <v>33265</v>
      </c>
      <c r="T21" s="1" t="n">
        <f aca="false">+[1]Brownsville!BE141</f>
        <v>33265</v>
      </c>
      <c r="U21" s="1" t="n">
        <f aca="false">+T21-S21</f>
        <v>0</v>
      </c>
    </row>
    <row r="22" customFormat="false" ht="12.75" hidden="false" customHeight="false" outlineLevel="0" collapsed="false">
      <c r="A22" s="1" t="s">
        <v>70</v>
      </c>
      <c r="C22" s="28" t="n">
        <f aca="false">67487+2450-1</f>
        <v>69936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29" t="n">
        <v>0</v>
      </c>
      <c r="J22" s="29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29" t="n">
        <v>0</v>
      </c>
      <c r="P22" s="28" t="n">
        <f aca="false">SUM(D22:O22)</f>
        <v>0</v>
      </c>
      <c r="Q22" s="29" t="n">
        <v>0</v>
      </c>
      <c r="R22" s="1" t="n">
        <v>0</v>
      </c>
      <c r="S22" s="16" t="n">
        <f aca="false">P22+C22+Q22+R22</f>
        <v>69936</v>
      </c>
      <c r="T22" s="1" t="n">
        <f aca="false">+[1]Brownsville!BE161</f>
        <v>69937</v>
      </c>
      <c r="U22" s="1" t="n">
        <f aca="false">+T22-S22</f>
        <v>1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117600</v>
      </c>
      <c r="E23" s="29" t="n">
        <v>0</v>
      </c>
      <c r="F23" s="15" t="n">
        <v>0</v>
      </c>
      <c r="G23" s="29" t="n">
        <v>0</v>
      </c>
      <c r="H23" s="29" t="n">
        <v>0</v>
      </c>
      <c r="I23" s="29" t="n">
        <v>0</v>
      </c>
      <c r="J23" s="29" t="n">
        <v>14699</v>
      </c>
      <c r="K23" s="1" t="n">
        <v>0</v>
      </c>
      <c r="L23" s="29" t="n">
        <v>22048</v>
      </c>
      <c r="M23" s="29" t="n">
        <v>0</v>
      </c>
      <c r="N23" s="29" t="n">
        <v>0</v>
      </c>
      <c r="O23" s="29" t="n">
        <v>0</v>
      </c>
      <c r="P23" s="28" t="n">
        <f aca="false">SUM(D23:O23)</f>
        <v>154347</v>
      </c>
      <c r="Q23" s="29" t="n">
        <v>0</v>
      </c>
      <c r="R23" s="1" t="n">
        <v>10001</v>
      </c>
      <c r="S23" s="16" t="n">
        <f aca="false">P23+C23+Q23+R23</f>
        <v>164348</v>
      </c>
      <c r="T23" s="1" t="n">
        <f aca="false">+[1]Brownsville!BE143</f>
        <v>164348</v>
      </c>
      <c r="U23" s="1" t="n">
        <f aca="false">+T23-S23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5869</v>
      </c>
      <c r="F24" s="15" t="n">
        <v>0</v>
      </c>
      <c r="G24" s="29" t="n">
        <f aca="false">12000-7724</f>
        <v>4276</v>
      </c>
      <c r="H24" s="29" t="n">
        <v>14353</v>
      </c>
      <c r="I24" s="29" t="n">
        <v>6434</v>
      </c>
      <c r="J24" s="29" t="n">
        <v>4128</v>
      </c>
      <c r="K24" s="1" t="n">
        <v>0</v>
      </c>
      <c r="L24" s="29" t="n">
        <v>0</v>
      </c>
      <c r="M24" s="29" t="n">
        <v>0</v>
      </c>
      <c r="N24" s="29" t="n">
        <v>0</v>
      </c>
      <c r="O24" s="29" t="n">
        <v>0</v>
      </c>
      <c r="P24" s="28" t="n">
        <f aca="false">SUM(D24:O24)</f>
        <v>35060</v>
      </c>
      <c r="Q24" s="29" t="n">
        <v>0</v>
      </c>
      <c r="R24" s="1" t="n">
        <v>0</v>
      </c>
      <c r="S24" s="16" t="n">
        <f aca="false">P24+C24+Q24+R24</f>
        <v>35060</v>
      </c>
      <c r="T24" s="1" t="n">
        <f aca="false">+[1]Brownsville!BE145</f>
        <v>35060.42</v>
      </c>
      <c r="U24" s="1" t="n">
        <f aca="false">+T24-S24</f>
        <v>0.419999999998254</v>
      </c>
    </row>
    <row r="25" customFormat="false" ht="12.75" hidden="false" customHeight="false" outlineLevel="0" collapsed="false">
      <c r="A25" s="1" t="s">
        <v>40</v>
      </c>
      <c r="C25" s="28" t="n">
        <v>200157</v>
      </c>
      <c r="D25" s="29" t="n">
        <v>3386</v>
      </c>
      <c r="E25" s="29" t="n">
        <f aca="false">3357+1055</f>
        <v>4412</v>
      </c>
      <c r="F25" s="29" t="n">
        <v>-19953</v>
      </c>
      <c r="G25" s="29" t="n">
        <f aca="false">19953-16439</f>
        <v>3514</v>
      </c>
      <c r="H25" s="29" t="n">
        <v>147966</v>
      </c>
      <c r="I25" s="29" t="n">
        <v>41583</v>
      </c>
      <c r="J25" s="29" t="n">
        <v>64584</v>
      </c>
      <c r="K25" s="29" t="n">
        <v>77226</v>
      </c>
      <c r="L25" s="29" t="n">
        <v>25706</v>
      </c>
      <c r="M25" s="29" t="n">
        <f aca="false">3271+1</f>
        <v>3272</v>
      </c>
      <c r="N25" s="29" t="n">
        <v>3462</v>
      </c>
      <c r="O25" s="29" t="n">
        <v>0</v>
      </c>
      <c r="P25" s="28" t="n">
        <f aca="false">SUM(D25:O25)</f>
        <v>355158</v>
      </c>
      <c r="Q25" s="29" t="n">
        <v>0</v>
      </c>
      <c r="R25" s="1" t="n">
        <v>0</v>
      </c>
      <c r="S25" s="16" t="n">
        <f aca="false">P25+C25+Q25+R25</f>
        <v>555315</v>
      </c>
      <c r="T25" s="1" t="n">
        <f aca="false">+[1]Brownsville!BE179</f>
        <v>555315.14</v>
      </c>
      <c r="U25" s="1" t="n">
        <f aca="false">+T25-S25</f>
        <v>0.140000000130385</v>
      </c>
    </row>
    <row r="26" customFormat="false" ht="12.75" hidden="false" customHeight="false" outlineLevel="0" collapsed="false">
      <c r="A26" s="1" t="s">
        <v>41</v>
      </c>
      <c r="C26" s="28" t="n">
        <f aca="false">181515</f>
        <v>181515</v>
      </c>
      <c r="D26" s="29" t="n">
        <v>5254</v>
      </c>
      <c r="E26" s="29" t="n">
        <f aca="false">2145+126458</f>
        <v>128603</v>
      </c>
      <c r="F26" s="15" t="n">
        <v>0</v>
      </c>
      <c r="G26" s="29" t="n">
        <v>3491</v>
      </c>
      <c r="H26" s="29" t="n">
        <f aca="false">265296+1</f>
        <v>265297</v>
      </c>
      <c r="I26" s="29" t="n">
        <v>0</v>
      </c>
      <c r="J26" s="29" t="n">
        <v>27841</v>
      </c>
      <c r="K26" s="1" t="n">
        <v>0</v>
      </c>
      <c r="L26" s="29" t="n">
        <v>146514</v>
      </c>
      <c r="M26" s="29" t="n">
        <v>7904</v>
      </c>
      <c r="N26" s="29" t="n">
        <v>0</v>
      </c>
      <c r="O26" s="29" t="n">
        <v>252208</v>
      </c>
      <c r="P26" s="28" t="n">
        <f aca="false">SUM(D26:O26)</f>
        <v>837112</v>
      </c>
      <c r="Q26" s="29" t="n">
        <v>50195</v>
      </c>
      <c r="R26" s="1" t="n">
        <v>-733</v>
      </c>
      <c r="S26" s="16" t="n">
        <f aca="false">P26+C26+Q26+R26</f>
        <v>1068089</v>
      </c>
      <c r="T26" s="1" t="n">
        <f aca="false">+[1]Brownsville!BE193</f>
        <v>1068089.21</v>
      </c>
      <c r="U26" s="1" t="n">
        <f aca="false">+T26-S26</f>
        <v>0.209999999962747</v>
      </c>
    </row>
    <row r="27" customFormat="false" ht="12.75" hidden="false" customHeight="false" outlineLevel="0" collapsed="false">
      <c r="A27" s="1" t="s">
        <v>80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/>
      <c r="J27" s="29"/>
      <c r="K27" s="29" t="n">
        <f aca="false">+J27</f>
        <v>0</v>
      </c>
      <c r="L27" s="29" t="n">
        <v>0</v>
      </c>
      <c r="M27" s="29" t="n">
        <v>0</v>
      </c>
      <c r="N27" s="29" t="n">
        <v>0</v>
      </c>
      <c r="O27" s="29" t="n">
        <v>0</v>
      </c>
      <c r="P27" s="28" t="n">
        <f aca="false">SUM(D27:O27)</f>
        <v>0</v>
      </c>
      <c r="Q27" s="29" t="n">
        <v>0</v>
      </c>
      <c r="R27" s="1" t="n">
        <v>0</v>
      </c>
      <c r="S27" s="16" t="n">
        <f aca="false">P27+C27+Q27+R27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64632925</v>
      </c>
      <c r="D28" s="30" t="n">
        <f aca="false">SUM(D10:D27)</f>
        <v>6328265</v>
      </c>
      <c r="E28" s="30" t="n">
        <f aca="false">SUM(E10:E27)</f>
        <v>5731798</v>
      </c>
      <c r="F28" s="30" t="n">
        <f aca="false">SUM(F10:F27)</f>
        <v>7413605</v>
      </c>
      <c r="G28" s="30" t="n">
        <f aca="false">SUM(G10:G27)</f>
        <v>3905331</v>
      </c>
      <c r="H28" s="30" t="n">
        <f aca="false">SUM(H10:H27)</f>
        <v>6641289</v>
      </c>
      <c r="I28" s="30" t="n">
        <f aca="false">SUM(I10:I27)</f>
        <v>6909970</v>
      </c>
      <c r="J28" s="30" t="n">
        <f aca="false">SUM(J10:J27)</f>
        <v>5891168</v>
      </c>
      <c r="K28" s="30" t="n">
        <f aca="false">SUM(K10:K27)</f>
        <v>8322322</v>
      </c>
      <c r="L28" s="30" t="n">
        <f aca="false">SUM(L10:L27)</f>
        <v>1674350</v>
      </c>
      <c r="M28" s="30" t="n">
        <f aca="false">SUM(M10:M27)</f>
        <v>1930064</v>
      </c>
      <c r="N28" s="30" t="n">
        <f aca="false">SUM(N10:N27)</f>
        <v>1967679</v>
      </c>
      <c r="O28" s="30" t="n">
        <f aca="false">SUM(O10:O27)</f>
        <v>1075768</v>
      </c>
      <c r="P28" s="30" t="n">
        <f aca="false">SUM(P10:P27)</f>
        <v>57791609</v>
      </c>
      <c r="Q28" s="30" t="n">
        <f aca="false">SUM(Q10:Q27)</f>
        <v>50195</v>
      </c>
      <c r="R28" s="18" t="n">
        <f aca="false">SUM(R10:R27)</f>
        <v>172462</v>
      </c>
      <c r="S28" s="19" t="n">
        <f aca="false">SUM(S10:S27)</f>
        <v>122647191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64632925</v>
      </c>
      <c r="D29" s="30" t="n">
        <f aca="false">+C29+D28</f>
        <v>70961190</v>
      </c>
      <c r="E29" s="30" t="n">
        <f aca="false">+D29+E28</f>
        <v>76692988</v>
      </c>
      <c r="F29" s="30" t="n">
        <f aca="false">+E29+F28</f>
        <v>84106593</v>
      </c>
      <c r="G29" s="30" t="n">
        <f aca="false">+F29+G28</f>
        <v>88011924</v>
      </c>
      <c r="H29" s="30" t="n">
        <f aca="false">+G29+H28</f>
        <v>94653213</v>
      </c>
      <c r="I29" s="30" t="n">
        <f aca="false">+H29+I28</f>
        <v>101563183</v>
      </c>
      <c r="J29" s="30" t="n">
        <f aca="false">+I29+J28</f>
        <v>107454351</v>
      </c>
      <c r="K29" s="30" t="n">
        <f aca="false">+J29+K28</f>
        <v>115776673</v>
      </c>
      <c r="L29" s="30" t="n">
        <f aca="false">+K29+L28</f>
        <v>117451023</v>
      </c>
      <c r="M29" s="30" t="n">
        <f aca="false">+L29+M28</f>
        <v>119381087</v>
      </c>
      <c r="N29" s="30" t="n">
        <f aca="false">+M29+N28</f>
        <v>121348766</v>
      </c>
      <c r="O29" s="30" t="n">
        <f aca="false">+N29+O28</f>
        <v>122424534</v>
      </c>
      <c r="P29" s="30" t="n">
        <f aca="false">O29</f>
        <v>122424534</v>
      </c>
      <c r="Q29" s="30" t="n">
        <f aca="false">+O29+Q28</f>
        <v>122474729</v>
      </c>
      <c r="R29" s="18" t="n">
        <f aca="false">+Q29+R28</f>
        <v>122647191</v>
      </c>
      <c r="S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O30" s="29"/>
      <c r="P30" s="28"/>
      <c r="Q30" s="29"/>
      <c r="S30" s="21" t="n">
        <f aca="false">+S28/C59/1000</f>
        <v>267.788626637555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O31" s="29"/>
      <c r="P31" s="28"/>
      <c r="Q31" s="29"/>
      <c r="S31" s="16"/>
    </row>
    <row r="32" customFormat="false" ht="12.75" hidden="false" customHeight="false" outlineLevel="0" collapsed="false">
      <c r="A32" s="1" t="s">
        <v>45</v>
      </c>
      <c r="C32" s="29" t="n">
        <f aca="false">806147+1245945+32657</f>
        <v>2084749</v>
      </c>
      <c r="D32" s="29" t="n">
        <f aca="false">39185+401814+1</f>
        <v>441000</v>
      </c>
      <c r="E32" s="29" t="n">
        <f aca="false">SUM($C48:D48)*E57/360*30</f>
        <v>374381.8295876</v>
      </c>
      <c r="F32" s="29" t="n">
        <f aca="false">SUM($C48:E48)*F57/360*28</f>
        <v>391590.457223677</v>
      </c>
      <c r="G32" s="29" t="n">
        <f aca="false">SUM($C48:F48)*G57/360*33</f>
        <v>467674.292427375</v>
      </c>
      <c r="H32" s="29" t="n">
        <v>256005</v>
      </c>
      <c r="I32" s="29" t="n">
        <f aca="false">559857+123417</f>
        <v>683274</v>
      </c>
      <c r="J32" s="29" t="n">
        <v>598297</v>
      </c>
      <c r="K32" s="29" t="n">
        <v>-598297</v>
      </c>
      <c r="L32" s="29" t="n">
        <v>-290628</v>
      </c>
      <c r="M32" s="29" t="n">
        <v>0</v>
      </c>
      <c r="N32" s="29" t="n">
        <v>0</v>
      </c>
      <c r="O32" s="29" t="n">
        <v>0</v>
      </c>
      <c r="P32" s="28" t="n">
        <f aca="false">SUM(D32:O32)</f>
        <v>2323297.57923865</v>
      </c>
      <c r="Q32" s="29" t="n">
        <v>0</v>
      </c>
      <c r="R32" s="1" t="n">
        <v>0</v>
      </c>
      <c r="S32" s="16" t="n">
        <f aca="false">P32+C32+Q32+R32</f>
        <v>4408046.57923865</v>
      </c>
      <c r="T32" s="1" t="n">
        <f aca="false">+[1]Brownsville!BE147</f>
        <v>4408046.37</v>
      </c>
      <c r="U32" s="1" t="n">
        <f aca="false">+T32-S32</f>
        <v>-0.20923865120858</v>
      </c>
    </row>
    <row r="33" customFormat="false" ht="12.75" hidden="false" customHeight="false" outlineLevel="0" collapsed="false">
      <c r="A33" s="1" t="s">
        <v>81</v>
      </c>
      <c r="C33" s="1" t="n">
        <v>0</v>
      </c>
      <c r="D33" s="1" t="n">
        <v>0</v>
      </c>
      <c r="E33" s="1" t="n">
        <v>0</v>
      </c>
      <c r="F33" s="1" t="n">
        <v>0</v>
      </c>
      <c r="G33" s="29" t="n">
        <f aca="false">-125689+1725</f>
        <v>-123964</v>
      </c>
      <c r="H33" s="29"/>
      <c r="I33" s="1" t="n">
        <v>0</v>
      </c>
      <c r="J33" s="1" t="n">
        <v>0</v>
      </c>
      <c r="K33" s="1" t="n">
        <v>0</v>
      </c>
      <c r="L33" s="1" t="n">
        <v>0</v>
      </c>
      <c r="M33" s="1" t="n">
        <v>0</v>
      </c>
      <c r="N33" s="1" t="n">
        <v>0</v>
      </c>
      <c r="O33" s="29" t="n">
        <v>0</v>
      </c>
      <c r="P33" s="28" t="n">
        <f aca="false">SUM(D33:O33)</f>
        <v>-123964</v>
      </c>
      <c r="Q33" s="29" t="n">
        <v>0</v>
      </c>
      <c r="R33" s="1" t="n">
        <v>0</v>
      </c>
      <c r="S33" s="16" t="n">
        <f aca="false">P33+C33+Q33+R33</f>
        <v>-123964</v>
      </c>
      <c r="T33" s="1" t="n">
        <f aca="false">+[1]Brownsville!BE148</f>
        <v>-123964</v>
      </c>
      <c r="U33" s="1" t="n">
        <f aca="false">+T33-S33</f>
        <v>0</v>
      </c>
    </row>
    <row r="34" customFormat="false" ht="12.75" hidden="false" customHeight="false" outlineLevel="0" collapsed="false">
      <c r="A34" s="1" t="s">
        <v>82</v>
      </c>
      <c r="C34" s="29" t="n">
        <v>0</v>
      </c>
      <c r="D34" s="29" t="n">
        <v>6251.012125</v>
      </c>
      <c r="E34" s="29" t="n">
        <v>5254.994</v>
      </c>
      <c r="F34" s="29" t="n">
        <v>4060.875125</v>
      </c>
      <c r="G34" s="29" t="n">
        <v>3911.41875</v>
      </c>
      <c r="H34" s="29" t="n">
        <v>3727</v>
      </c>
      <c r="I34" s="29"/>
      <c r="J34" s="29"/>
      <c r="K34" s="29"/>
      <c r="L34" s="29" t="n">
        <v>0</v>
      </c>
      <c r="M34" s="29"/>
      <c r="N34" s="29" t="n">
        <v>0</v>
      </c>
      <c r="O34" s="29" t="n">
        <v>0</v>
      </c>
      <c r="P34" s="28" t="n">
        <f aca="false">SUM(D34:O34)</f>
        <v>23205.3</v>
      </c>
      <c r="Q34" s="29" t="n">
        <v>0</v>
      </c>
      <c r="R34" s="15" t="n">
        <v>0</v>
      </c>
      <c r="S34" s="16" t="n">
        <f aca="false">P34+C34+Q34+R34</f>
        <v>23205.3</v>
      </c>
      <c r="T34" s="1" t="n">
        <f aca="false">+[1]Brownsville!BE149</f>
        <v>23205.3</v>
      </c>
      <c r="U34" s="1" t="n">
        <f aca="false">+T34-S34</f>
        <v>0</v>
      </c>
    </row>
    <row r="35" customFormat="false" ht="12.75" hidden="false" customHeight="false" outlineLevel="0" collapsed="false">
      <c r="A35" s="1" t="s">
        <v>46</v>
      </c>
      <c r="C35" s="29" t="n">
        <v>68386</v>
      </c>
      <c r="D35" s="29" t="n">
        <v>761038</v>
      </c>
      <c r="E35" s="29" t="n">
        <v>0</v>
      </c>
      <c r="F35" s="29" t="n">
        <v>0</v>
      </c>
      <c r="G35" s="29" t="n">
        <f aca="false">100000-100000</f>
        <v>0</v>
      </c>
      <c r="H35" s="29" t="n">
        <v>83333</v>
      </c>
      <c r="I35" s="29" t="n">
        <v>0</v>
      </c>
      <c r="J35" s="29"/>
      <c r="K35" s="29"/>
      <c r="L35" s="29"/>
      <c r="M35" s="29"/>
      <c r="N35" s="29" t="n">
        <v>83333</v>
      </c>
      <c r="O35" s="29" t="n">
        <f aca="false">107680-41666</f>
        <v>66014</v>
      </c>
      <c r="P35" s="28" t="n">
        <f aca="false">SUM(D35:O35)</f>
        <v>993718</v>
      </c>
      <c r="Q35" s="29" t="n">
        <v>0</v>
      </c>
      <c r="R35" s="15" t="n">
        <v>0</v>
      </c>
      <c r="S35" s="16" t="n">
        <f aca="false">P35+C35+Q35+R35</f>
        <v>1062104</v>
      </c>
      <c r="T35" s="1" t="n">
        <f aca="false">+[1]Brownsville!BE159</f>
        <v>1062103.72333333</v>
      </c>
      <c r="U35" s="1" t="n">
        <f aca="false">+T35-S35</f>
        <v>-0.276666666613892</v>
      </c>
    </row>
    <row r="36" customFormat="false" ht="12.75" hidden="false" customHeight="false" outlineLevel="0" collapsed="false">
      <c r="A36" s="1" t="s">
        <v>83</v>
      </c>
      <c r="C36" s="29" t="n">
        <v>0</v>
      </c>
      <c r="D36" s="29"/>
      <c r="E36" s="29"/>
      <c r="F36" s="29"/>
      <c r="G36" s="29" t="n">
        <v>2666</v>
      </c>
      <c r="H36" s="29" t="n">
        <v>-18334</v>
      </c>
      <c r="I36" s="29"/>
      <c r="J36" s="29"/>
      <c r="K36" s="29"/>
      <c r="L36" s="29"/>
      <c r="M36" s="29"/>
      <c r="N36" s="29"/>
      <c r="O36" s="29"/>
      <c r="P36" s="28" t="n">
        <f aca="false">SUM(D36:O36)</f>
        <v>-15668</v>
      </c>
      <c r="Q36" s="29" t="n">
        <v>0</v>
      </c>
      <c r="R36" s="1" t="n">
        <v>0</v>
      </c>
      <c r="S36" s="16" t="n">
        <f aca="false">P36+C36+Q36+R36</f>
        <v>-15668</v>
      </c>
      <c r="T36" s="1" t="n">
        <f aca="false">+[1]Brownsville!BE150</f>
        <v>-15667.94</v>
      </c>
      <c r="U36" s="1" t="n">
        <f aca="false">+T36-S36</f>
        <v>0.0600000000013097</v>
      </c>
    </row>
    <row r="37" customFormat="false" ht="12.75" hidden="false" customHeight="false" outlineLevel="0" collapsed="false">
      <c r="A37" s="1" t="s">
        <v>84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8" t="n">
        <f aca="false">SUM(D37:O37)</f>
        <v>0</v>
      </c>
      <c r="Q37" s="29" t="n">
        <v>0</v>
      </c>
      <c r="R37" s="1" t="n">
        <v>0</v>
      </c>
      <c r="S37" s="16" t="n">
        <f aca="false">P37+C37+Q37+R37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2153135</v>
      </c>
      <c r="D38" s="30" t="n">
        <f aca="false">SUM(D32:D37)</f>
        <v>1208289.012125</v>
      </c>
      <c r="E38" s="30" t="n">
        <f aca="false">SUM(E32:E37)</f>
        <v>379636.8235876</v>
      </c>
      <c r="F38" s="30" t="n">
        <f aca="false">SUM(F32:F37)</f>
        <v>395651.332348677</v>
      </c>
      <c r="G38" s="30" t="n">
        <f aca="false">SUM(G32:G37)</f>
        <v>350287.711177375</v>
      </c>
      <c r="H38" s="30" t="n">
        <f aca="false">SUM(H32:H37)</f>
        <v>324731</v>
      </c>
      <c r="I38" s="30" t="n">
        <f aca="false">SUM(I32:I37)</f>
        <v>683274</v>
      </c>
      <c r="J38" s="30" t="n">
        <f aca="false">SUM(J32:J37)</f>
        <v>598297</v>
      </c>
      <c r="K38" s="30" t="n">
        <f aca="false">SUM(K32:K37)</f>
        <v>-598297</v>
      </c>
      <c r="L38" s="30" t="n">
        <f aca="false">SUM(L32:L37)</f>
        <v>-290628</v>
      </c>
      <c r="M38" s="30" t="n">
        <f aca="false">SUM(M32:M37)</f>
        <v>0</v>
      </c>
      <c r="N38" s="30" t="n">
        <f aca="false">SUM(N32:N37)</f>
        <v>83333</v>
      </c>
      <c r="O38" s="30" t="n">
        <f aca="false">SUM(O32:O37)</f>
        <v>66014</v>
      </c>
      <c r="P38" s="30" t="n">
        <f aca="false">SUM(P32:P37)</f>
        <v>3200588.87923865</v>
      </c>
      <c r="Q38" s="30" t="n">
        <f aca="false">SUM(Q32:Q37)</f>
        <v>0</v>
      </c>
      <c r="R38" s="18" t="n">
        <f aca="false">SUM(R32:R37)</f>
        <v>0</v>
      </c>
      <c r="S38" s="19" t="n">
        <f aca="false">SUM(S32:S37)</f>
        <v>5353723.87923865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2153135</v>
      </c>
      <c r="D39" s="30" t="n">
        <f aca="false">+D38+C39</f>
        <v>3361424.012125</v>
      </c>
      <c r="E39" s="30" t="n">
        <f aca="false">+E38+D39</f>
        <v>3741060.8357126</v>
      </c>
      <c r="F39" s="30" t="n">
        <f aca="false">+F38+E39</f>
        <v>4136712.16806128</v>
      </c>
      <c r="G39" s="30" t="n">
        <f aca="false">+G38+F39</f>
        <v>4486999.87923865</v>
      </c>
      <c r="H39" s="30" t="n">
        <f aca="false">+H38+G39</f>
        <v>4811730.87923865</v>
      </c>
      <c r="I39" s="30" t="n">
        <f aca="false">+I38+H39</f>
        <v>5495004.87923865</v>
      </c>
      <c r="J39" s="30" t="n">
        <f aca="false">+J38+I39</f>
        <v>6093301.87923865</v>
      </c>
      <c r="K39" s="30" t="n">
        <f aca="false">+K38+J39</f>
        <v>5495004.87923865</v>
      </c>
      <c r="L39" s="30" t="n">
        <f aca="false">+L38+K39</f>
        <v>5204376.87923865</v>
      </c>
      <c r="M39" s="30" t="n">
        <f aca="false">+M38+L39</f>
        <v>5204376.87923865</v>
      </c>
      <c r="N39" s="30" t="n">
        <f aca="false">+N38+M39</f>
        <v>5287709.87923865</v>
      </c>
      <c r="O39" s="30" t="n">
        <f aca="false">+O38+N39</f>
        <v>5353723.87923865</v>
      </c>
      <c r="P39" s="30" t="n">
        <f aca="false">O39</f>
        <v>5353723.87923865</v>
      </c>
      <c r="Q39" s="30" t="n">
        <f aca="false">+Q38+O39</f>
        <v>5353723.87923865</v>
      </c>
      <c r="R39" s="18" t="n">
        <f aca="false">+R38+Q39</f>
        <v>5353723.87923865</v>
      </c>
      <c r="S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O40" s="29"/>
      <c r="P40" s="28"/>
      <c r="Q40" s="29"/>
      <c r="S40" s="16"/>
    </row>
    <row r="41" customFormat="false" ht="12.75" hidden="false" customHeight="false" outlineLevel="0" collapsed="false">
      <c r="A41" s="2" t="s">
        <v>85</v>
      </c>
      <c r="B41" s="2"/>
      <c r="C41" s="28" t="n">
        <f aca="false">+C28+C38</f>
        <v>66786060</v>
      </c>
      <c r="D41" s="28" t="n">
        <f aca="false">+D28+D38</f>
        <v>7536554.012125</v>
      </c>
      <c r="E41" s="28" t="n">
        <f aca="false">+E28+E38</f>
        <v>6111434.8235876</v>
      </c>
      <c r="F41" s="28" t="n">
        <f aca="false">+F28+F38</f>
        <v>7809256.33234868</v>
      </c>
      <c r="G41" s="28" t="n">
        <f aca="false">+G28+G38</f>
        <v>4255618.71117738</v>
      </c>
      <c r="H41" s="28" t="n">
        <f aca="false">+H28+H38</f>
        <v>6966020</v>
      </c>
      <c r="I41" s="28" t="n">
        <f aca="false">+I28+I38</f>
        <v>7593244</v>
      </c>
      <c r="J41" s="28" t="n">
        <f aca="false">+J28+J38</f>
        <v>6489465</v>
      </c>
      <c r="K41" s="28" t="n">
        <f aca="false">+K28+K38</f>
        <v>7724025</v>
      </c>
      <c r="L41" s="28" t="n">
        <f aca="false">+L28+L38</f>
        <v>1383722</v>
      </c>
      <c r="M41" s="28" t="n">
        <f aca="false">+M28+M38</f>
        <v>1930064</v>
      </c>
      <c r="N41" s="28" t="n">
        <f aca="false">+N28+N38</f>
        <v>2051012</v>
      </c>
      <c r="O41" s="28" t="n">
        <f aca="false">+O28+O38</f>
        <v>1141782</v>
      </c>
      <c r="P41" s="28" t="n">
        <f aca="false">+P28+P38</f>
        <v>60992197.8792387</v>
      </c>
      <c r="Q41" s="28" t="n">
        <f aca="false">+Q28+Q38</f>
        <v>50195</v>
      </c>
      <c r="R41" s="2" t="n">
        <f aca="false">+R28+R38</f>
        <v>172462</v>
      </c>
      <c r="S41" s="16" t="n">
        <f aca="false">P41+C41+Q41+R41</f>
        <v>128000914.879239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66786060</v>
      </c>
      <c r="D42" s="28" t="n">
        <f aca="false">C42+D41</f>
        <v>74322614.012125</v>
      </c>
      <c r="E42" s="28" t="n">
        <f aca="false">D42+E41</f>
        <v>80434048.8357126</v>
      </c>
      <c r="F42" s="28" t="n">
        <f aca="false">E42+F41</f>
        <v>88243305.1680613</v>
      </c>
      <c r="G42" s="28" t="n">
        <f aca="false">F42+G41</f>
        <v>92498923.8792387</v>
      </c>
      <c r="H42" s="28" t="n">
        <f aca="false">G42+H41</f>
        <v>99464943.8792387</v>
      </c>
      <c r="I42" s="28" t="n">
        <f aca="false">H42+I41</f>
        <v>107058187.879239</v>
      </c>
      <c r="J42" s="28" t="n">
        <f aca="false">I42+J41</f>
        <v>113547652.879239</v>
      </c>
      <c r="K42" s="28" t="n">
        <f aca="false">J42+K41</f>
        <v>121271677.879239</v>
      </c>
      <c r="L42" s="28" t="n">
        <f aca="false">K42+L41</f>
        <v>122655399.879239</v>
      </c>
      <c r="M42" s="28" t="n">
        <f aca="false">L42+M41</f>
        <v>124585463.879239</v>
      </c>
      <c r="N42" s="28" t="n">
        <f aca="false">M42+N41</f>
        <v>126636475.879239</v>
      </c>
      <c r="O42" s="28" t="n">
        <f aca="false">N42+O41</f>
        <v>127778257.879239</v>
      </c>
      <c r="P42" s="28" t="n">
        <f aca="false">O42</f>
        <v>127778257.879239</v>
      </c>
      <c r="Q42" s="28" t="n">
        <f aca="false">O42+Q41</f>
        <v>127828452.879239</v>
      </c>
      <c r="R42" s="2" t="n">
        <f aca="false">Q42+R41</f>
        <v>128000914.879239</v>
      </c>
      <c r="S42" s="16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"/>
      <c r="S43" s="21" t="n">
        <f aca="false">+S41/C59/1000</f>
        <v>279.477980085674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K44" s="29"/>
      <c r="L44" s="29"/>
      <c r="M44" s="29"/>
      <c r="N44" s="29"/>
      <c r="O44" s="29"/>
      <c r="P44" s="28"/>
      <c r="Q44" s="29"/>
      <c r="S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K45" s="29"/>
      <c r="L45" s="29"/>
      <c r="M45" s="29"/>
      <c r="N45" s="29"/>
      <c r="O45" s="29"/>
      <c r="P45" s="28"/>
      <c r="Q45" s="29"/>
      <c r="S45" s="19" t="n">
        <f aca="false">SUM(C45:O45)</f>
        <v>0</v>
      </c>
      <c r="U45" s="1" t="n">
        <f aca="false">+T45-S45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"/>
      <c r="S46" s="16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64701311</v>
      </c>
      <c r="D47" s="28" t="n">
        <f aca="false">+D41-D32</f>
        <v>7095554.012125</v>
      </c>
      <c r="E47" s="28" t="n">
        <f aca="false">+E41-E32</f>
        <v>5737052.994</v>
      </c>
      <c r="F47" s="28" t="n">
        <f aca="false">+F41-F32</f>
        <v>7417665.875125</v>
      </c>
      <c r="G47" s="28" t="n">
        <f aca="false">+G41-G32</f>
        <v>3787944.41875</v>
      </c>
      <c r="H47" s="28" t="n">
        <f aca="false">+H41-H32</f>
        <v>6710015</v>
      </c>
      <c r="I47" s="28" t="n">
        <f aca="false">+I41-I32</f>
        <v>6909970</v>
      </c>
      <c r="J47" s="28" t="n">
        <f aca="false">+J41-J32</f>
        <v>5891168</v>
      </c>
      <c r="K47" s="28" t="n">
        <f aca="false">+K41-K32</f>
        <v>8322322</v>
      </c>
      <c r="L47" s="28" t="n">
        <f aca="false">ROUND(+L41-L32,0)</f>
        <v>1674350</v>
      </c>
      <c r="M47" s="28" t="n">
        <f aca="false">+M41-M32</f>
        <v>1930064</v>
      </c>
      <c r="N47" s="28" t="n">
        <f aca="false">+N41-N32</f>
        <v>2051012</v>
      </c>
      <c r="O47" s="28" t="n">
        <f aca="false">+O41-O32</f>
        <v>1141782</v>
      </c>
      <c r="P47" s="28" t="n">
        <f aca="false">+P41-P32</f>
        <v>58668900.3</v>
      </c>
      <c r="Q47" s="28" t="n">
        <f aca="false">+Q41-Q32</f>
        <v>50195</v>
      </c>
      <c r="R47" s="2" t="n">
        <f aca="false">+R41-R32</f>
        <v>172462</v>
      </c>
      <c r="S47" s="16" t="n">
        <f aca="false">P47+C47+Q47+R47</f>
        <v>123592868.3</v>
      </c>
    </row>
    <row r="48" customFormat="false" ht="12.75" hidden="true" customHeight="false" outlineLevel="0" collapsed="false">
      <c r="A48" s="1" t="s">
        <v>86</v>
      </c>
      <c r="C48" s="32" t="n">
        <f aca="false">61516763+9309496+126459+39185</f>
        <v>70991903</v>
      </c>
      <c r="D48" s="32" t="n">
        <f aca="false">6803830+756250+401814+6251</f>
        <v>7968145</v>
      </c>
      <c r="E48" s="32" t="n">
        <f aca="false">9173314+374382+5255</f>
        <v>9552951</v>
      </c>
      <c r="F48" s="32" t="n">
        <f aca="false">800000+391590+4061</f>
        <v>1195651</v>
      </c>
      <c r="G48" s="28" t="n">
        <f aca="false">IF(+G42-F49-G47&gt;0,G42-F49-G47,250000)</f>
        <v>250000</v>
      </c>
      <c r="H48" s="28" t="n">
        <v>0</v>
      </c>
      <c r="I48" s="28" t="n">
        <v>0</v>
      </c>
      <c r="J48" s="28" t="n">
        <v>0</v>
      </c>
      <c r="K48" s="28" t="n">
        <v>0</v>
      </c>
      <c r="L48" s="28"/>
      <c r="M48" s="28"/>
      <c r="N48" s="28"/>
      <c r="O48" s="28"/>
      <c r="P48" s="28"/>
      <c r="Q48" s="28"/>
      <c r="R48" s="2"/>
      <c r="S48" s="16"/>
    </row>
    <row r="49" customFormat="false" ht="12.75" hidden="true" customHeight="false" outlineLevel="0" collapsed="false">
      <c r="A49" s="1" t="s">
        <v>87</v>
      </c>
      <c r="C49" s="28" t="n">
        <f aca="false">+C48</f>
        <v>70991903</v>
      </c>
      <c r="D49" s="28" t="n">
        <f aca="false">+D48+C49</f>
        <v>78960048</v>
      </c>
      <c r="E49" s="28" t="n">
        <f aca="false">+E48+D49</f>
        <v>88512999</v>
      </c>
      <c r="F49" s="28" t="n">
        <f aca="false">+F48+E49</f>
        <v>89708650</v>
      </c>
      <c r="G49" s="28" t="n">
        <f aca="false">+G48+F49</f>
        <v>89958650</v>
      </c>
      <c r="H49" s="28" t="n">
        <v>0</v>
      </c>
      <c r="I49" s="28" t="n">
        <f aca="false">+I48+H49</f>
        <v>0</v>
      </c>
      <c r="J49" s="28" t="n">
        <f aca="false">+J48+I49</f>
        <v>0</v>
      </c>
      <c r="K49" s="28" t="n">
        <f aca="false">+K48+J49</f>
        <v>0</v>
      </c>
      <c r="L49" s="28"/>
      <c r="M49" s="28"/>
      <c r="N49" s="28"/>
      <c r="O49" s="28"/>
      <c r="P49" s="28"/>
      <c r="Q49" s="28"/>
      <c r="R49" s="2"/>
      <c r="S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I50" s="29"/>
      <c r="J50" s="29"/>
      <c r="K50" s="29"/>
      <c r="L50" s="29"/>
      <c r="M50" s="29"/>
      <c r="N50" s="29"/>
      <c r="O50" s="29"/>
      <c r="P50" s="28"/>
      <c r="Q50" s="29"/>
      <c r="S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O51" s="29"/>
      <c r="P51" s="28"/>
      <c r="Q51" s="29"/>
      <c r="S51" s="16"/>
    </row>
    <row r="52" customFormat="false" ht="13.5" hidden="false" customHeight="false" outlineLevel="0" collapsed="false">
      <c r="A52" s="2" t="s">
        <v>88</v>
      </c>
      <c r="C52" s="33" t="n">
        <f aca="false">+C41</f>
        <v>66786060</v>
      </c>
      <c r="D52" s="33" t="n">
        <f aca="false">+D41</f>
        <v>7536554.012125</v>
      </c>
      <c r="E52" s="33" t="n">
        <f aca="false">+E41</f>
        <v>6111434.8235876</v>
      </c>
      <c r="F52" s="33" t="n">
        <f aca="false">+F41</f>
        <v>7809256.33234868</v>
      </c>
      <c r="G52" s="33" t="n">
        <f aca="false">+G41</f>
        <v>4255618.71117738</v>
      </c>
      <c r="H52" s="33" t="n">
        <f aca="false">+H41</f>
        <v>6966020</v>
      </c>
      <c r="I52" s="33" t="n">
        <f aca="false">+I41</f>
        <v>7593244</v>
      </c>
      <c r="J52" s="33" t="n">
        <f aca="false">+J41</f>
        <v>6489465</v>
      </c>
      <c r="K52" s="33" t="n">
        <f aca="false">+K41</f>
        <v>7724025</v>
      </c>
      <c r="L52" s="33" t="n">
        <f aca="false">+L41</f>
        <v>1383722</v>
      </c>
      <c r="M52" s="33" t="n">
        <f aca="false">+M41</f>
        <v>1930064</v>
      </c>
      <c r="N52" s="33" t="n">
        <f aca="false">+N41</f>
        <v>2051012</v>
      </c>
      <c r="O52" s="33" t="n">
        <f aca="false">+O41</f>
        <v>1141782</v>
      </c>
      <c r="P52" s="33" t="n">
        <f aca="false">+P41</f>
        <v>60992197.8792387</v>
      </c>
      <c r="Q52" s="33" t="n">
        <f aca="false">+Q41</f>
        <v>50195</v>
      </c>
      <c r="R52" s="33" t="n">
        <f aca="false">+R41</f>
        <v>172462</v>
      </c>
      <c r="S52" s="34" t="n">
        <f aca="false">S41</f>
        <v>128000914.879239</v>
      </c>
      <c r="U52" s="1" t="n">
        <f aca="false">SUM(U10:U51)-1</f>
        <v>0.156094691326871</v>
      </c>
    </row>
    <row r="53" customFormat="false" ht="13.5" hidden="false" customHeight="false" outlineLevel="0" collapsed="false">
      <c r="A53" s="2" t="s">
        <v>89</v>
      </c>
      <c r="C53" s="35" t="n">
        <f aca="false">+C52</f>
        <v>66786060</v>
      </c>
      <c r="D53" s="35" t="n">
        <f aca="false">+D52+C53</f>
        <v>74322614.012125</v>
      </c>
      <c r="E53" s="35" t="n">
        <f aca="false">+E52+D53</f>
        <v>80434048.8357126</v>
      </c>
      <c r="F53" s="35" t="n">
        <f aca="false">+F52+E53</f>
        <v>88243305.1680613</v>
      </c>
      <c r="G53" s="35" t="n">
        <f aca="false">+G52+F53</f>
        <v>92498923.8792387</v>
      </c>
      <c r="H53" s="35" t="n">
        <f aca="false">+H52+G53</f>
        <v>99464943.8792387</v>
      </c>
      <c r="I53" s="35" t="n">
        <f aca="false">+I52+H53</f>
        <v>107058187.879239</v>
      </c>
      <c r="J53" s="35" t="n">
        <f aca="false">+J52+I53</f>
        <v>113547652.879239</v>
      </c>
      <c r="K53" s="35" t="n">
        <f aca="false">+K52+J53</f>
        <v>121271677.879239</v>
      </c>
      <c r="L53" s="35" t="n">
        <f aca="false">+L52+K53</f>
        <v>122655399.879239</v>
      </c>
      <c r="M53" s="35" t="n">
        <f aca="false">+M52+L53</f>
        <v>124585463.879239</v>
      </c>
      <c r="N53" s="35" t="n">
        <f aca="false">+N52+M53</f>
        <v>126636475.879239</v>
      </c>
      <c r="O53" s="35" t="n">
        <f aca="false">+O52+N53</f>
        <v>127778257.879239</v>
      </c>
      <c r="P53" s="35" t="n">
        <f aca="false">O53</f>
        <v>127778257.879239</v>
      </c>
      <c r="Q53" s="35" t="n">
        <f aca="false">+Q52+O53</f>
        <v>127828452.879239</v>
      </c>
      <c r="R53" s="36" t="n">
        <f aca="false">+R52+Q53</f>
        <v>128000914.879239</v>
      </c>
      <c r="S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I54" s="29"/>
      <c r="J54" s="29"/>
      <c r="K54" s="29"/>
      <c r="L54" s="29"/>
      <c r="M54" s="29"/>
      <c r="N54" s="29"/>
      <c r="O54" s="29"/>
      <c r="P54" s="28"/>
      <c r="Q54" s="29"/>
      <c r="S54" s="37"/>
    </row>
    <row r="55" customFormat="false" ht="13.5" hidden="false" customHeight="false" outlineLevel="0" collapsed="false">
      <c r="A55" s="2" t="s">
        <v>90</v>
      </c>
      <c r="C55" s="33" t="n">
        <f aca="false">+C52+C45</f>
        <v>66786060</v>
      </c>
      <c r="D55" s="33" t="n">
        <f aca="false">+D52+D45</f>
        <v>7536554.012125</v>
      </c>
      <c r="E55" s="33" t="n">
        <f aca="false">+E52+E45</f>
        <v>6111434.8235876</v>
      </c>
      <c r="F55" s="33" t="n">
        <f aca="false">+F52+F45</f>
        <v>7809256.33234868</v>
      </c>
      <c r="G55" s="33" t="n">
        <f aca="false">+G52+G45</f>
        <v>4255618.71117738</v>
      </c>
      <c r="H55" s="33" t="n">
        <f aca="false">+H52+H45</f>
        <v>6966020</v>
      </c>
      <c r="I55" s="33" t="n">
        <f aca="false">+I52+I45</f>
        <v>7593244</v>
      </c>
      <c r="J55" s="33" t="n">
        <f aca="false">+J52+J45</f>
        <v>6489465</v>
      </c>
      <c r="K55" s="33" t="n">
        <f aca="false">+K52+K45+2</f>
        <v>7724027</v>
      </c>
      <c r="L55" s="33" t="n">
        <f aca="false">+L52+L45</f>
        <v>1383722</v>
      </c>
      <c r="M55" s="33" t="n">
        <f aca="false">+M52+M45</f>
        <v>1930064</v>
      </c>
      <c r="N55" s="33" t="n">
        <f aca="false">+N52+N45</f>
        <v>2051012</v>
      </c>
      <c r="O55" s="33" t="n">
        <f aca="false">+O52+O45</f>
        <v>1141782</v>
      </c>
      <c r="P55" s="33" t="n">
        <f aca="false">+P52+P45</f>
        <v>60992197.8792387</v>
      </c>
      <c r="Q55" s="33" t="n">
        <f aca="false">+Q52+Q45</f>
        <v>50195</v>
      </c>
      <c r="R55" s="38" t="n">
        <f aca="false">+R52+R45</f>
        <v>172462</v>
      </c>
      <c r="S55" s="34" t="n">
        <f aca="false">+S52+S45</f>
        <v>128000914.879239</v>
      </c>
      <c r="T55" s="1" t="n">
        <f aca="false">+[1]Brownsville!BE198</f>
        <v>128000915.035333</v>
      </c>
      <c r="U55" s="1" t="n">
        <f aca="false">+T55-S55</f>
        <v>0.156094685196877</v>
      </c>
    </row>
    <row r="56" customFormat="false" ht="12.75" hidden="false" customHeight="false" outlineLevel="0" collapsed="false">
      <c r="G56" s="29"/>
      <c r="H56" s="29"/>
      <c r="J56" s="29"/>
      <c r="L56" s="29"/>
      <c r="M56" s="29"/>
      <c r="S56" s="0"/>
    </row>
    <row r="57" customFormat="false" ht="12.75" hidden="false" customHeight="false" outlineLevel="0" collapsed="false">
      <c r="A57" s="15" t="s">
        <v>91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40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8" t="n">
        <v>0.065</v>
      </c>
      <c r="Q57" s="8" t="n">
        <v>0.065</v>
      </c>
      <c r="R57" s="8" t="n">
        <v>0.065</v>
      </c>
      <c r="S57" s="4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92</v>
      </c>
      <c r="B58" s="2"/>
      <c r="C58" s="39" t="n">
        <v>0.0015</v>
      </c>
      <c r="D58" s="42"/>
      <c r="E58" s="2"/>
      <c r="F58" s="2"/>
      <c r="G58" s="2"/>
      <c r="H58" s="2"/>
      <c r="I58" s="2"/>
      <c r="J58" s="28"/>
      <c r="K58" s="2"/>
      <c r="L58" s="2"/>
      <c r="M58" s="28"/>
      <c r="N58" s="2"/>
      <c r="O58" s="2"/>
      <c r="Q58" s="2"/>
      <c r="R58" s="2"/>
      <c r="S58" s="4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458</v>
      </c>
      <c r="D59" s="2" t="s">
        <v>54</v>
      </c>
      <c r="E59" s="2"/>
      <c r="F59" s="2"/>
      <c r="G59" s="2"/>
      <c r="H59" s="2"/>
      <c r="I59" s="2"/>
      <c r="J59" s="28"/>
      <c r="K59" s="2"/>
      <c r="L59" s="2"/>
      <c r="M59" s="2"/>
      <c r="N59" s="2"/>
      <c r="O59" s="2"/>
      <c r="P59" s="2" t="s">
        <v>54</v>
      </c>
      <c r="Q59" s="2"/>
      <c r="R59" s="2"/>
      <c r="S59" s="0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J60" s="29"/>
    </row>
    <row r="61" customFormat="false" ht="12.75" hidden="false" customHeight="false" outlineLevel="0" collapsed="false">
      <c r="C61" s="28" t="s">
        <v>93</v>
      </c>
      <c r="D61" s="1" t="s">
        <v>94</v>
      </c>
      <c r="J61" s="29"/>
      <c r="P61" s="1" t="s">
        <v>94</v>
      </c>
    </row>
    <row r="62" customFormat="false" ht="12.75" hidden="false" customHeight="false" outlineLevel="0" collapsed="false">
      <c r="C62" s="32"/>
      <c r="D62" s="1" t="str">
        <f aca="false">+'New Albany'!D62</f>
        <v>Input from WestLB statements for each month's actuals (1/99 - 5/99)</v>
      </c>
      <c r="P62" s="1" t="s">
        <v>95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  <c r="Q68" s="15"/>
      <c r="R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Q71" s="2"/>
      <c r="R71" s="2"/>
    </row>
    <row r="72" customFormat="false" ht="12.75" hidden="false" customHeight="false" outlineLevel="0" collapsed="false">
      <c r="S72" s="43"/>
    </row>
  </sheetData>
  <mergeCells count="1">
    <mergeCell ref="Q5:R5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S2" activeCellId="0" sqref="S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6.84"/>
    <col collapsed="false" customWidth="true" hidden="true" outlineLevel="0" max="4" min="4" style="1" width="14.99"/>
    <col collapsed="false" customWidth="true" hidden="true" outlineLevel="0" max="5" min="5" style="1" width="14.28"/>
    <col collapsed="false" customWidth="true" hidden="true" outlineLevel="0" max="6" min="6" style="1" width="13.41"/>
    <col collapsed="false" customWidth="true" hidden="true" outlineLevel="0" max="7" min="7" style="1" width="14.56"/>
    <col collapsed="false" customWidth="true" hidden="true" outlineLevel="0" max="8" min="8" style="1" width="14.28"/>
    <col collapsed="false" customWidth="true" hidden="true" outlineLevel="0" max="9" min="9" style="1" width="14.85"/>
    <col collapsed="false" customWidth="true" hidden="true" outlineLevel="0" max="10" min="10" style="1" width="14.7"/>
    <col collapsed="false" customWidth="true" hidden="true" outlineLevel="0" max="12" min="11" style="1" width="14.85"/>
    <col collapsed="false" customWidth="true" hidden="true" outlineLevel="0" max="13" min="13" style="1" width="15.7"/>
    <col collapsed="false" customWidth="true" hidden="true" outlineLevel="0" max="15" min="14" style="1" width="15.28"/>
    <col collapsed="false" customWidth="true" hidden="false" outlineLevel="0" max="16" min="16" style="2" width="14.7"/>
    <col collapsed="false" customWidth="true" hidden="false" outlineLevel="0" max="18" min="17" style="1" width="15.28"/>
    <col collapsed="false" customWidth="true" hidden="false" outlineLevel="0" max="19" min="19" style="2" width="14.41"/>
    <col collapsed="false" customWidth="true" hidden="false" outlineLevel="0" max="20" min="20" style="1" width="12.28"/>
    <col collapsed="false" customWidth="true" hidden="false" outlineLevel="0" max="21" min="21" style="1" width="13.85"/>
    <col collapsed="false" customWidth="false" hidden="false" outlineLevel="0" max="257" min="2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 t="str">
        <f aca="false">+Brownsville!P1</f>
        <v>Last updated:  Actuals through February 4, 2000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4"/>
      <c r="R2" s="4"/>
      <c r="S2" s="5" t="str">
        <f aca="true">CELL("filename")</f>
        <v>'file:///mnt/12tb/@roms/datasets/enron/EDRM Enron Email Data Set v2 XML/filtered-attachments/xls/TVADraw020800.xls'#$Caledonia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3"/>
      <c r="Q3" s="4"/>
      <c r="R3" s="4"/>
      <c r="S3" s="7" t="n">
        <f aca="true">NOW()</f>
        <v>45926.9667217902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 t="s">
        <v>4</v>
      </c>
      <c r="Q5" s="12" t="s">
        <v>5</v>
      </c>
      <c r="R5" s="12"/>
      <c r="S5" s="12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75</v>
      </c>
      <c r="Q6" s="10" t="s">
        <v>7</v>
      </c>
      <c r="R6" s="10" t="s">
        <v>8</v>
      </c>
      <c r="S6" s="13" t="s">
        <v>6</v>
      </c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7"/>
      <c r="O7" s="10"/>
      <c r="P7" s="10"/>
      <c r="Q7" s="10"/>
      <c r="R7" s="10"/>
      <c r="S7" s="14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7"/>
      <c r="O8" s="10"/>
      <c r="P8" s="10"/>
      <c r="Q8" s="10"/>
      <c r="R8" s="10"/>
      <c r="S8" s="14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78</v>
      </c>
      <c r="B9" s="10"/>
      <c r="C9" s="10"/>
      <c r="D9" s="10"/>
      <c r="E9" s="10"/>
      <c r="F9" s="10"/>
      <c r="G9" s="27"/>
      <c r="H9" s="10"/>
      <c r="I9" s="10"/>
      <c r="J9" s="10"/>
      <c r="K9" s="10"/>
      <c r="L9" s="27"/>
      <c r="M9" s="27"/>
      <c r="N9" s="27"/>
      <c r="O9" s="10"/>
      <c r="P9" s="10"/>
      <c r="Q9" s="10"/>
      <c r="R9" s="10"/>
      <c r="S9" s="1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97</v>
      </c>
      <c r="C10" s="28" t="n">
        <v>37377776</v>
      </c>
      <c r="D10" s="29" t="n">
        <v>6859220</v>
      </c>
      <c r="E10" s="29" t="n">
        <v>6859220</v>
      </c>
      <c r="F10" s="29" t="n">
        <v>12326714</v>
      </c>
      <c r="G10" s="29" t="n">
        <v>12919710</v>
      </c>
      <c r="H10" s="29" t="n">
        <v>15213392</v>
      </c>
      <c r="I10" s="15" t="n">
        <v>0</v>
      </c>
      <c r="J10" s="29" t="n">
        <v>0</v>
      </c>
      <c r="K10" s="29" t="n">
        <v>3280101</v>
      </c>
      <c r="L10" s="29" t="n">
        <v>0</v>
      </c>
      <c r="M10" s="29" t="n">
        <v>0</v>
      </c>
      <c r="N10" s="29" t="n">
        <f aca="false">4852796+1500000</f>
        <v>6352796</v>
      </c>
      <c r="O10" s="29" t="n">
        <v>0</v>
      </c>
      <c r="P10" s="28" t="n">
        <f aca="false">SUM(D10:O10)</f>
        <v>63811153</v>
      </c>
      <c r="Q10" s="29" t="n">
        <v>0</v>
      </c>
      <c r="R10" s="15" t="n">
        <v>440179</v>
      </c>
      <c r="S10" s="16" t="n">
        <f aca="false">P10+C10+Q10+R10</f>
        <v>101629108</v>
      </c>
      <c r="T10" s="1" t="n">
        <f aca="false">+[1]Caledonia!$BE$21</f>
        <v>101629107.92</v>
      </c>
      <c r="U10" s="1" t="n">
        <f aca="false">+T10-S10</f>
        <v>-0.0799999982118607</v>
      </c>
    </row>
    <row r="11" customFormat="false" ht="12.75" hidden="false" customHeight="false" outlineLevel="0" collapsed="false">
      <c r="A11" s="1" t="s">
        <v>24</v>
      </c>
      <c r="C11" s="28" t="n">
        <v>1897561</v>
      </c>
      <c r="D11" s="29" t="n">
        <v>4007308</v>
      </c>
      <c r="E11" s="29" t="n">
        <v>0</v>
      </c>
      <c r="F11" s="29" t="n">
        <v>615000</v>
      </c>
      <c r="G11" s="29" t="n">
        <v>1398550</v>
      </c>
      <c r="H11" s="29" t="n">
        <v>821775</v>
      </c>
      <c r="I11" s="29" t="n">
        <v>445570</v>
      </c>
      <c r="J11" s="29" t="n">
        <v>0</v>
      </c>
      <c r="K11" s="29" t="n">
        <v>0</v>
      </c>
      <c r="L11" s="29" t="n">
        <v>1100957</v>
      </c>
      <c r="M11" s="29" t="n">
        <v>0</v>
      </c>
      <c r="N11" s="29" t="n">
        <v>0</v>
      </c>
      <c r="O11" s="29" t="n">
        <v>0</v>
      </c>
      <c r="P11" s="28" t="n">
        <f aca="false">SUM(D11:O11)</f>
        <v>8389160</v>
      </c>
      <c r="Q11" s="29" t="n">
        <v>0</v>
      </c>
      <c r="R11" s="1" t="n">
        <v>0</v>
      </c>
      <c r="S11" s="16" t="n">
        <f aca="false">P11+C11+Q11+R11</f>
        <v>10286721</v>
      </c>
      <c r="T11" s="1" t="n">
        <f aca="false">+[1]Caledonia!$BE$34</f>
        <v>10286721</v>
      </c>
      <c r="U11" s="1" t="n">
        <f aca="false">+T11-S11</f>
        <v>0</v>
      </c>
    </row>
    <row r="12" customFormat="false" ht="12.75" hidden="false" customHeight="false" outlineLevel="0" collapsed="false">
      <c r="A12" s="1" t="s">
        <v>25</v>
      </c>
      <c r="C12" s="28" t="n">
        <v>233794</v>
      </c>
      <c r="D12" s="29" t="n">
        <v>0</v>
      </c>
      <c r="E12" s="29" t="n">
        <v>0</v>
      </c>
      <c r="F12" s="15" t="n">
        <v>0</v>
      </c>
      <c r="G12" s="29" t="n">
        <v>0</v>
      </c>
      <c r="H12" s="1" t="n">
        <v>0</v>
      </c>
      <c r="I12" s="29" t="n">
        <v>316915</v>
      </c>
      <c r="J12" s="29" t="n">
        <v>143865</v>
      </c>
      <c r="K12" s="29" t="n">
        <v>41523</v>
      </c>
      <c r="L12" s="29" t="n">
        <v>0</v>
      </c>
      <c r="M12" s="29" t="n">
        <v>27419</v>
      </c>
      <c r="N12" s="29" t="n">
        <v>10884</v>
      </c>
      <c r="O12" s="29" t="n">
        <v>1424</v>
      </c>
      <c r="P12" s="28" t="n">
        <f aca="false">SUM(D12:O12)</f>
        <v>542030</v>
      </c>
      <c r="Q12" s="29" t="n">
        <v>751</v>
      </c>
      <c r="R12" s="1" t="n">
        <v>9379</v>
      </c>
      <c r="S12" s="16" t="n">
        <f aca="false">P12+C12+Q12+R12</f>
        <v>785954</v>
      </c>
      <c r="T12" s="1" t="n">
        <f aca="false">+[1]Caledonia!$BE$44</f>
        <v>785954.21</v>
      </c>
      <c r="U12" s="1" t="n">
        <f aca="false">+T12-S12</f>
        <v>0.209999999962747</v>
      </c>
    </row>
    <row r="13" customFormat="false" ht="12.75" hidden="false" customHeight="false" outlineLevel="0" collapsed="false">
      <c r="A13" s="1" t="s">
        <v>26</v>
      </c>
      <c r="C13" s="28" t="n">
        <v>167072</v>
      </c>
      <c r="D13" s="29" t="n">
        <v>899776</v>
      </c>
      <c r="E13" s="29" t="n">
        <v>810086</v>
      </c>
      <c r="F13" s="29" t="n">
        <v>1831143</v>
      </c>
      <c r="G13" s="29" t="n">
        <v>0</v>
      </c>
      <c r="H13" s="29" t="n">
        <v>3372514</v>
      </c>
      <c r="I13" s="29" t="n">
        <v>2932107</v>
      </c>
      <c r="J13" s="29" t="n">
        <v>9360536</v>
      </c>
      <c r="K13" s="29" t="n">
        <v>4662889</v>
      </c>
      <c r="L13" s="29" t="n">
        <v>2317012</v>
      </c>
      <c r="M13" s="29" t="n">
        <v>1167995</v>
      </c>
      <c r="N13" s="29" t="n">
        <v>960719</v>
      </c>
      <c r="O13" s="29" t="n">
        <v>780162</v>
      </c>
      <c r="P13" s="28" t="n">
        <f aca="false">SUM(D13:O13)</f>
        <v>29094939</v>
      </c>
      <c r="Q13" s="29" t="n">
        <v>0</v>
      </c>
      <c r="R13" s="1" t="n">
        <v>0</v>
      </c>
      <c r="S13" s="16" t="n">
        <f aca="false">P13+C13+Q13+R13</f>
        <v>29262011</v>
      </c>
      <c r="T13" s="1" t="n">
        <f aca="false">+[1]Caledonia!$BE$117</f>
        <v>29262011.15</v>
      </c>
      <c r="U13" s="1" t="n">
        <f aca="false">+T13-S13</f>
        <v>0.149999998509884</v>
      </c>
    </row>
    <row r="14" customFormat="false" ht="12.75" hidden="false" customHeight="false" outlineLevel="0" collapsed="false">
      <c r="A14" s="1" t="s">
        <v>27</v>
      </c>
      <c r="C14" s="28" t="n">
        <v>0</v>
      </c>
      <c r="D14" s="29" t="n">
        <v>0</v>
      </c>
      <c r="E14" s="29" t="n">
        <v>0</v>
      </c>
      <c r="F14" s="15" t="n">
        <v>0</v>
      </c>
      <c r="G14" s="29" t="n">
        <v>72162</v>
      </c>
      <c r="H14" s="29" t="n">
        <v>162075</v>
      </c>
      <c r="I14" s="29" t="n">
        <v>232977</v>
      </c>
      <c r="J14" s="29" t="n">
        <v>64037</v>
      </c>
      <c r="K14" s="29" t="n">
        <v>17168</v>
      </c>
      <c r="L14" s="29" t="n">
        <v>19696</v>
      </c>
      <c r="M14" s="29" t="n">
        <v>464</v>
      </c>
      <c r="N14" s="29" t="n">
        <v>0</v>
      </c>
      <c r="O14" s="29" t="n">
        <v>0</v>
      </c>
      <c r="P14" s="28" t="n">
        <f aca="false">SUM(D14:O14)</f>
        <v>568579</v>
      </c>
      <c r="Q14" s="29" t="n">
        <v>0</v>
      </c>
      <c r="R14" s="1" t="n">
        <v>0</v>
      </c>
      <c r="S14" s="16" t="n">
        <f aca="false">P14+C14+Q14+R14</f>
        <v>568579</v>
      </c>
      <c r="T14" s="1" t="n">
        <f aca="false">+[1]Caledonia!$BE$123</f>
        <v>568579.44</v>
      </c>
      <c r="U14" s="1" t="n">
        <f aca="false">+T14-S14</f>
        <v>0.439999999944121</v>
      </c>
    </row>
    <row r="15" customFormat="false" ht="12.75" hidden="false" customHeight="false" outlineLevel="0" collapsed="false">
      <c r="A15" s="1" t="s">
        <v>29</v>
      </c>
      <c r="C15" s="28" t="n">
        <v>0</v>
      </c>
      <c r="D15" s="29" t="n">
        <v>0</v>
      </c>
      <c r="E15" s="29" t="n">
        <v>0</v>
      </c>
      <c r="F15" s="15" t="n">
        <v>0</v>
      </c>
      <c r="G15" s="29" t="n">
        <v>0</v>
      </c>
      <c r="H15" s="29" t="n">
        <v>0</v>
      </c>
      <c r="I15" s="1" t="n">
        <v>0</v>
      </c>
      <c r="J15" s="29" t="n">
        <v>0</v>
      </c>
      <c r="K15" s="29" t="n">
        <v>157467</v>
      </c>
      <c r="L15" s="29" t="n">
        <v>525706</v>
      </c>
      <c r="M15" s="29" t="n">
        <v>11614</v>
      </c>
      <c r="N15" s="29" t="n">
        <v>1988</v>
      </c>
      <c r="O15" s="29" t="n">
        <v>0</v>
      </c>
      <c r="P15" s="28" t="n">
        <f aca="false">SUM(D15:O15)</f>
        <v>696775</v>
      </c>
      <c r="Q15" s="29" t="n">
        <v>0</v>
      </c>
      <c r="R15" s="1" t="n">
        <v>0</v>
      </c>
      <c r="S15" s="16" t="n">
        <f aca="false">P15+C15+Q15+R15</f>
        <v>696775</v>
      </c>
      <c r="T15" s="1" t="n">
        <f aca="false">+[1]Caledonia!$BE$125</f>
        <v>696775</v>
      </c>
      <c r="U15" s="1" t="n">
        <f aca="false">+T15-S15</f>
        <v>0</v>
      </c>
    </row>
    <row r="16" customFormat="false" ht="12.75" hidden="false" customHeight="false" outlineLevel="0" collapsed="false">
      <c r="A16" s="1" t="s">
        <v>30</v>
      </c>
      <c r="C16" s="28" t="n">
        <v>532310</v>
      </c>
      <c r="D16" s="29" t="n">
        <v>0</v>
      </c>
      <c r="E16" s="29" t="n">
        <v>0</v>
      </c>
      <c r="F16" s="29" t="n">
        <v>22050</v>
      </c>
      <c r="G16" s="29" t="n">
        <v>0</v>
      </c>
      <c r="H16" s="29" t="n">
        <v>3333</v>
      </c>
      <c r="I16" s="1" t="n">
        <v>0</v>
      </c>
      <c r="J16" s="29" t="n">
        <v>0</v>
      </c>
      <c r="K16" s="29" t="n">
        <v>0</v>
      </c>
      <c r="L16" s="29" t="n">
        <v>0</v>
      </c>
      <c r="M16" s="29" t="n">
        <v>0</v>
      </c>
      <c r="N16" s="29" t="n">
        <v>0</v>
      </c>
      <c r="O16" s="29" t="n">
        <v>0</v>
      </c>
      <c r="P16" s="28" t="n">
        <f aca="false">SUM(D16:O16)</f>
        <v>25383</v>
      </c>
      <c r="Q16" s="29" t="n">
        <v>0</v>
      </c>
      <c r="R16" s="1" t="n">
        <v>0</v>
      </c>
      <c r="S16" s="16" t="n">
        <f aca="false">P16+C16+Q16+R16</f>
        <v>557693</v>
      </c>
      <c r="T16" s="1" t="n">
        <f aca="false">+[1]Caledonia!$BE$136</f>
        <v>557693.33</v>
      </c>
      <c r="U16" s="1" t="n">
        <f aca="false">+T16-S16</f>
        <v>0.329999999958091</v>
      </c>
    </row>
    <row r="17" customFormat="false" ht="12.75" hidden="false" customHeight="false" outlineLevel="0" collapsed="false">
      <c r="A17" s="1" t="s">
        <v>32</v>
      </c>
      <c r="C17" s="28" t="n">
        <v>207085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29791</v>
      </c>
      <c r="I17" s="1" t="n">
        <v>0</v>
      </c>
      <c r="J17" s="29" t="n">
        <v>0</v>
      </c>
      <c r="K17" s="29" t="n">
        <v>227</v>
      </c>
      <c r="L17" s="29" t="n">
        <v>0</v>
      </c>
      <c r="M17" s="29" t="n">
        <v>250</v>
      </c>
      <c r="N17" s="29" t="n">
        <v>0</v>
      </c>
      <c r="O17" s="29" t="n">
        <v>0</v>
      </c>
      <c r="P17" s="28" t="n">
        <f aca="false">SUM(D17:O17)</f>
        <v>30268</v>
      </c>
      <c r="Q17" s="29" t="n">
        <v>0</v>
      </c>
      <c r="R17" s="1" t="n">
        <v>0</v>
      </c>
      <c r="S17" s="16" t="n">
        <f aca="false">P17+C17+Q17+R17</f>
        <v>237353</v>
      </c>
      <c r="T17" s="1" t="n">
        <f aca="false">+[1]Caledonia!$BE$138</f>
        <v>237352.65</v>
      </c>
      <c r="U17" s="1" t="n">
        <f aca="false">+T17-S17</f>
        <v>-0.350000000005821</v>
      </c>
    </row>
    <row r="18" customFormat="false" ht="12.75" hidden="false" customHeight="false" outlineLevel="0" collapsed="false">
      <c r="A18" s="1" t="s">
        <v>33</v>
      </c>
      <c r="C18" s="28" t="n">
        <v>738500</v>
      </c>
      <c r="D18" s="29" t="n">
        <v>0</v>
      </c>
      <c r="E18" s="29" t="n">
        <v>242359</v>
      </c>
      <c r="F18" s="15" t="n">
        <v>0</v>
      </c>
      <c r="G18" s="29" t="n">
        <v>0</v>
      </c>
      <c r="H18" s="29" t="n">
        <v>0</v>
      </c>
      <c r="I18" s="1" t="n">
        <v>0</v>
      </c>
      <c r="J18" s="29" t="n">
        <v>0</v>
      </c>
      <c r="K18" s="29" t="n">
        <v>0</v>
      </c>
      <c r="L18" s="29" t="n">
        <v>0</v>
      </c>
      <c r="M18" s="29" t="n">
        <v>0</v>
      </c>
      <c r="N18" s="29" t="n">
        <v>0</v>
      </c>
      <c r="O18" s="29" t="n">
        <v>0</v>
      </c>
      <c r="P18" s="28" t="n">
        <f aca="false">SUM(D18:O18)</f>
        <v>242359</v>
      </c>
      <c r="Q18" s="29" t="n">
        <v>0</v>
      </c>
      <c r="R18" s="1" t="n">
        <v>141</v>
      </c>
      <c r="S18" s="16" t="n">
        <f aca="false">P18+C18+Q18+R18</f>
        <v>981000</v>
      </c>
      <c r="T18" s="1" t="n">
        <f aca="false">+[1]Caledonia!$BE$141</f>
        <v>981000</v>
      </c>
      <c r="U18" s="1" t="n">
        <f aca="false">+T18-S18</f>
        <v>0</v>
      </c>
    </row>
    <row r="19" customFormat="false" ht="12.75" hidden="false" customHeight="false" outlineLevel="0" collapsed="false">
      <c r="A19" s="1" t="s">
        <v>35</v>
      </c>
      <c r="C19" s="28" t="n">
        <v>0</v>
      </c>
      <c r="D19" s="29" t="n">
        <v>110523</v>
      </c>
      <c r="E19" s="29" t="n">
        <v>0</v>
      </c>
      <c r="F19" s="15" t="n">
        <v>0</v>
      </c>
      <c r="G19" s="29" t="n">
        <v>1651484</v>
      </c>
      <c r="H19" s="29" t="n">
        <v>0</v>
      </c>
      <c r="I19" s="29" t="n">
        <v>59847</v>
      </c>
      <c r="J19" s="29" t="n">
        <v>230834</v>
      </c>
      <c r="K19" s="29" t="n">
        <v>864906</v>
      </c>
      <c r="L19" s="29" t="n">
        <v>146302</v>
      </c>
      <c r="M19" s="29" t="n">
        <v>0</v>
      </c>
      <c r="N19" s="29" t="n">
        <v>3218</v>
      </c>
      <c r="O19" s="29" t="n">
        <v>25993</v>
      </c>
      <c r="P19" s="28" t="n">
        <f aca="false">SUM(D19:O19)</f>
        <v>3093107</v>
      </c>
      <c r="Q19" s="29" t="n">
        <v>0</v>
      </c>
      <c r="R19" s="1" t="n">
        <v>414713</v>
      </c>
      <c r="S19" s="16" t="n">
        <f aca="false">P19+C19+Q19+R19</f>
        <v>3507820</v>
      </c>
      <c r="T19" s="1" t="n">
        <f aca="false">+[1]Caledonia!$BE$148</f>
        <v>3507819.876</v>
      </c>
      <c r="U19" s="1" t="n">
        <f aca="false">+T19-S19</f>
        <v>-0.123999999836087</v>
      </c>
    </row>
    <row r="20" customFormat="false" ht="12.75" hidden="false" customHeight="false" outlineLevel="0" collapsed="false">
      <c r="A20" s="1" t="s">
        <v>36</v>
      </c>
      <c r="C20" s="28" t="n">
        <v>0</v>
      </c>
      <c r="D20" s="29" t="n">
        <v>0</v>
      </c>
      <c r="E20" s="29" t="n">
        <v>0</v>
      </c>
      <c r="F20" s="15" t="n">
        <v>0</v>
      </c>
      <c r="G20" s="29" t="n">
        <v>10000</v>
      </c>
      <c r="H20" s="29" t="n">
        <v>53741</v>
      </c>
      <c r="I20" s="29" t="n">
        <v>61014</v>
      </c>
      <c r="J20" s="29" t="n">
        <v>11281</v>
      </c>
      <c r="K20" s="1" t="n">
        <v>0</v>
      </c>
      <c r="L20" s="29" t="n">
        <v>0</v>
      </c>
      <c r="M20" s="29" t="n">
        <v>0</v>
      </c>
      <c r="N20" s="29" t="n">
        <v>0</v>
      </c>
      <c r="O20" s="29" t="n">
        <v>0</v>
      </c>
      <c r="P20" s="28" t="n">
        <f aca="false">SUM(D20:O20)</f>
        <v>136036</v>
      </c>
      <c r="Q20" s="29" t="n">
        <v>0</v>
      </c>
      <c r="R20" s="1" t="n">
        <v>0</v>
      </c>
      <c r="S20" s="16" t="n">
        <f aca="false">P20+C20+Q20+R20</f>
        <v>136036</v>
      </c>
      <c r="T20" s="1" t="n">
        <f aca="false">+[1]Caledonia!$BE$195</f>
        <v>136036.07</v>
      </c>
      <c r="U20" s="1" t="n">
        <f aca="false">+T20-S20</f>
        <v>0.0700000000069849</v>
      </c>
    </row>
    <row r="21" customFormat="false" ht="12.75" hidden="false" customHeight="false" outlineLevel="0" collapsed="false">
      <c r="A21" s="1" t="s">
        <v>37</v>
      </c>
      <c r="C21" s="28" t="n">
        <v>280627</v>
      </c>
      <c r="D21" s="29" t="n">
        <v>6383</v>
      </c>
      <c r="E21" s="29" t="n">
        <v>0</v>
      </c>
      <c r="F21" s="15" t="n">
        <v>0</v>
      </c>
      <c r="G21" s="29" t="n">
        <v>0</v>
      </c>
      <c r="H21" s="29" t="n">
        <v>0</v>
      </c>
      <c r="I21" s="1" t="n">
        <v>0</v>
      </c>
      <c r="J21" s="29" t="n">
        <v>85968</v>
      </c>
      <c r="K21" s="1" t="n">
        <v>0</v>
      </c>
      <c r="L21" s="29" t="n">
        <v>0</v>
      </c>
      <c r="M21" s="29" t="n">
        <v>0</v>
      </c>
      <c r="N21" s="29" t="n">
        <v>0</v>
      </c>
      <c r="O21" s="29" t="n">
        <v>0</v>
      </c>
      <c r="P21" s="28" t="n">
        <f aca="false">SUM(D21:O21)</f>
        <v>92351</v>
      </c>
      <c r="Q21" s="29" t="n">
        <v>0</v>
      </c>
      <c r="R21" s="1" t="n">
        <v>-272978</v>
      </c>
      <c r="S21" s="16" t="n">
        <f aca="false">P21+C21+Q21+R21</f>
        <v>100000</v>
      </c>
      <c r="T21" s="1" t="n">
        <f aca="false">+[1]Caledonia!$BE$150</f>
        <v>99999.9999999999</v>
      </c>
      <c r="U21" s="1" t="n">
        <f aca="false">+T21-S21</f>
        <v>0</v>
      </c>
    </row>
    <row r="22" customFormat="false" ht="12.75" hidden="false" customHeight="false" outlineLevel="0" collapsed="false">
      <c r="A22" s="1" t="s">
        <v>70</v>
      </c>
      <c r="C22" s="28" t="n">
        <f aca="false">93542+479</f>
        <v>94021</v>
      </c>
      <c r="D22" s="29" t="n">
        <v>0</v>
      </c>
      <c r="E22" s="29" t="n">
        <v>0</v>
      </c>
      <c r="F22" s="15" t="n">
        <v>0</v>
      </c>
      <c r="G22" s="29" t="n">
        <v>0</v>
      </c>
      <c r="H22" s="29" t="n">
        <v>0</v>
      </c>
      <c r="I22" s="1" t="n">
        <v>0</v>
      </c>
      <c r="J22" s="1" t="n">
        <v>0</v>
      </c>
      <c r="K22" s="1" t="n">
        <v>0</v>
      </c>
      <c r="L22" s="29" t="n">
        <v>0</v>
      </c>
      <c r="M22" s="29" t="n">
        <v>0</v>
      </c>
      <c r="N22" s="29" t="n">
        <v>0</v>
      </c>
      <c r="O22" s="29" t="n">
        <v>0</v>
      </c>
      <c r="P22" s="28" t="n">
        <f aca="false">SUM(D22:O22)</f>
        <v>0</v>
      </c>
      <c r="Q22" s="29" t="n">
        <v>0</v>
      </c>
      <c r="R22" s="1" t="n">
        <v>0</v>
      </c>
      <c r="S22" s="16" t="n">
        <f aca="false">P22+C22+Q22+R22</f>
        <v>94021</v>
      </c>
      <c r="T22" s="1" t="n">
        <f aca="false">+[1]Caledonia!$BE$171</f>
        <v>94021</v>
      </c>
      <c r="U22" s="1" t="n">
        <f aca="false">+T22-S22</f>
        <v>0</v>
      </c>
    </row>
    <row r="23" customFormat="false" ht="12.75" hidden="false" customHeight="false" outlineLevel="0" collapsed="false">
      <c r="A23" s="1" t="s">
        <v>38</v>
      </c>
      <c r="C23" s="28" t="n">
        <v>0</v>
      </c>
      <c r="D23" s="29" t="n">
        <v>145042</v>
      </c>
      <c r="E23" s="29" t="n">
        <v>0</v>
      </c>
      <c r="F23" s="15" t="n">
        <v>0</v>
      </c>
      <c r="G23" s="29" t="n">
        <v>0</v>
      </c>
      <c r="H23" s="29" t="n">
        <v>0</v>
      </c>
      <c r="I23" s="1" t="n">
        <v>0</v>
      </c>
      <c r="J23" s="29" t="n">
        <f aca="false">21931+16702</f>
        <v>38633</v>
      </c>
      <c r="K23" s="1" t="n">
        <v>0</v>
      </c>
      <c r="L23" s="29" t="n">
        <v>38633</v>
      </c>
      <c r="M23" s="29" t="n">
        <v>0</v>
      </c>
      <c r="N23" s="29" t="n">
        <v>0</v>
      </c>
      <c r="O23" s="29" t="n">
        <v>0</v>
      </c>
      <c r="P23" s="28" t="n">
        <f aca="false">SUM(D23:O23)</f>
        <v>222308</v>
      </c>
      <c r="Q23" s="29" t="n">
        <v>0</v>
      </c>
      <c r="R23" s="1" t="n">
        <v>2615</v>
      </c>
      <c r="S23" s="16" t="n">
        <f aca="false">P23+C23+Q23+R23</f>
        <v>224923</v>
      </c>
      <c r="T23" s="1" t="n">
        <f aca="false">+[1]Caledonia!$BE$152</f>
        <v>224923</v>
      </c>
      <c r="U23" s="1" t="n">
        <f aca="false">+T23-S23</f>
        <v>0</v>
      </c>
    </row>
    <row r="24" customFormat="false" ht="12.75" hidden="false" customHeight="false" outlineLevel="0" collapsed="false">
      <c r="A24" s="1" t="s">
        <v>39</v>
      </c>
      <c r="C24" s="28" t="n">
        <v>0</v>
      </c>
      <c r="D24" s="29" t="n">
        <v>0</v>
      </c>
      <c r="E24" s="29" t="n">
        <v>8735</v>
      </c>
      <c r="F24" s="15" t="n">
        <v>0</v>
      </c>
      <c r="G24" s="29" t="n">
        <v>5963</v>
      </c>
      <c r="H24" s="29" t="n">
        <v>23696</v>
      </c>
      <c r="I24" s="29" t="n">
        <v>9719</v>
      </c>
      <c r="J24" s="29" t="n">
        <v>5091</v>
      </c>
      <c r="K24" s="1" t="n">
        <v>0</v>
      </c>
      <c r="L24" s="29" t="n">
        <v>0</v>
      </c>
      <c r="M24" s="29" t="n">
        <v>0</v>
      </c>
      <c r="N24" s="29" t="n">
        <v>0</v>
      </c>
      <c r="O24" s="29" t="n">
        <v>0</v>
      </c>
      <c r="P24" s="28" t="n">
        <f aca="false">SUM(D24:O24)</f>
        <v>53204</v>
      </c>
      <c r="Q24" s="29" t="n">
        <v>0</v>
      </c>
      <c r="R24" s="1" t="n">
        <v>0</v>
      </c>
      <c r="S24" s="16" t="n">
        <f aca="false">P24+C24+Q24+R24</f>
        <v>53204</v>
      </c>
      <c r="T24" s="1" t="n">
        <f aca="false">+[1]Caledonia!$BE$154</f>
        <v>53203.58</v>
      </c>
      <c r="U24" s="1" t="n">
        <f aca="false">+T24-S24</f>
        <v>-0.419999999998254</v>
      </c>
    </row>
    <row r="25" customFormat="false" ht="12.75" hidden="false" customHeight="false" outlineLevel="0" collapsed="false">
      <c r="A25" s="1" t="s">
        <v>40</v>
      </c>
      <c r="C25" s="28" t="n">
        <f aca="false">75528+6111</f>
        <v>81639</v>
      </c>
      <c r="D25" s="29" t="n">
        <v>27824</v>
      </c>
      <c r="E25" s="29" t="n">
        <f aca="false">3333+368</f>
        <v>3701</v>
      </c>
      <c r="F25" s="29" t="n">
        <v>-21839</v>
      </c>
      <c r="G25" s="29" t="n">
        <v>2188</v>
      </c>
      <c r="H25" s="29" t="n">
        <v>205652</v>
      </c>
      <c r="I25" s="29" t="n">
        <v>74162</v>
      </c>
      <c r="J25" s="29" t="n">
        <v>109970</v>
      </c>
      <c r="K25" s="29" t="n">
        <v>67695</v>
      </c>
      <c r="L25" s="29" t="n">
        <v>29497</v>
      </c>
      <c r="M25" s="29" t="n">
        <v>3271</v>
      </c>
      <c r="N25" s="29" t="n">
        <v>163989</v>
      </c>
      <c r="O25" s="29" t="n">
        <v>0</v>
      </c>
      <c r="P25" s="28" t="n">
        <f aca="false">SUM(D25:O25)</f>
        <v>666110</v>
      </c>
      <c r="Q25" s="29" t="n">
        <v>1099</v>
      </c>
      <c r="R25" s="1" t="n">
        <v>-7212</v>
      </c>
      <c r="S25" s="16" t="n">
        <f aca="false">P25+C25+Q25+R25</f>
        <v>741636</v>
      </c>
      <c r="T25" s="1" t="n">
        <f aca="false">+[1]Caledonia!$BE$184</f>
        <v>741635.96</v>
      </c>
      <c r="U25" s="1" t="n">
        <f aca="false">+T25-S25</f>
        <v>-0.0400000000372529</v>
      </c>
    </row>
    <row r="26" customFormat="false" ht="12.75" hidden="false" customHeight="false" outlineLevel="0" collapsed="false">
      <c r="A26" s="1" t="s">
        <v>41</v>
      </c>
      <c r="C26" s="28" t="n">
        <v>105274</v>
      </c>
      <c r="D26" s="29" t="n">
        <v>6484</v>
      </c>
      <c r="E26" s="29" t="n">
        <f aca="false">150775+1</f>
        <v>150776</v>
      </c>
      <c r="F26" s="15" t="n">
        <v>0</v>
      </c>
      <c r="G26" s="29" t="n">
        <v>0</v>
      </c>
      <c r="H26" s="29" t="n">
        <f aca="false">221476-1</f>
        <v>221475</v>
      </c>
      <c r="I26" s="29" t="n">
        <f aca="false">86054-86054</f>
        <v>0</v>
      </c>
      <c r="J26" s="29" t="n">
        <f aca="false">51988-1</f>
        <v>51987</v>
      </c>
      <c r="K26" s="1" t="n">
        <v>0</v>
      </c>
      <c r="L26" s="29" t="n">
        <v>33731</v>
      </c>
      <c r="M26" s="29" t="n">
        <v>3474</v>
      </c>
      <c r="N26" s="29" t="n">
        <v>8180</v>
      </c>
      <c r="O26" s="29" t="n">
        <v>252208</v>
      </c>
      <c r="P26" s="28" t="n">
        <f aca="false">SUM(D26:O26)</f>
        <v>728315</v>
      </c>
      <c r="Q26" s="29" t="n">
        <v>49465</v>
      </c>
      <c r="R26" s="1" t="n">
        <v>0</v>
      </c>
      <c r="S26" s="16" t="n">
        <f aca="false">P26+C26+Q26+R26</f>
        <v>883054</v>
      </c>
      <c r="T26" s="1" t="n">
        <f aca="false">+[1]Caledonia!$BE$193</f>
        <v>883054.25</v>
      </c>
      <c r="U26" s="1" t="n">
        <f aca="false">+T26-S26</f>
        <v>0.25</v>
      </c>
    </row>
    <row r="27" customFormat="false" ht="12.75" hidden="false" customHeight="false" outlineLevel="0" collapsed="false">
      <c r="A27" s="1" t="s">
        <v>80</v>
      </c>
      <c r="C27" s="28" t="n">
        <v>0</v>
      </c>
      <c r="D27" s="29" t="n">
        <v>0</v>
      </c>
      <c r="E27" s="29" t="n">
        <v>0</v>
      </c>
      <c r="F27" s="15" t="n">
        <v>0</v>
      </c>
      <c r="G27" s="29" t="n">
        <v>0</v>
      </c>
      <c r="H27" s="29" t="n">
        <v>0</v>
      </c>
      <c r="I27" s="29" t="n">
        <v>0</v>
      </c>
      <c r="J27" s="29"/>
      <c r="L27" s="29" t="n">
        <v>0</v>
      </c>
      <c r="M27" s="29" t="n">
        <v>0</v>
      </c>
      <c r="N27" s="29" t="n">
        <v>0</v>
      </c>
      <c r="O27" s="29" t="n">
        <v>0</v>
      </c>
      <c r="P27" s="28" t="n">
        <f aca="false">SUM(D27:O27)</f>
        <v>0</v>
      </c>
      <c r="Q27" s="29" t="n">
        <v>0</v>
      </c>
      <c r="R27" s="1" t="n">
        <v>0</v>
      </c>
      <c r="S27" s="16" t="n">
        <f aca="false">P27+C27+Q27+R27</f>
        <v>0</v>
      </c>
    </row>
    <row r="28" customFormat="false" ht="12.75" hidden="false" customHeight="false" outlineLevel="0" collapsed="false">
      <c r="A28" s="1" t="s">
        <v>42</v>
      </c>
      <c r="C28" s="30" t="n">
        <f aca="false">SUM(C10:C27)</f>
        <v>41715659</v>
      </c>
      <c r="D28" s="30" t="n">
        <f aca="false">SUM(D10:D27)</f>
        <v>12062560</v>
      </c>
      <c r="E28" s="30" t="n">
        <f aca="false">SUM(E10:E27)</f>
        <v>8074877</v>
      </c>
      <c r="F28" s="30" t="n">
        <f aca="false">SUM(F10:F27)</f>
        <v>14773068</v>
      </c>
      <c r="G28" s="30" t="n">
        <f aca="false">SUM(G10:G27)</f>
        <v>16060057</v>
      </c>
      <c r="H28" s="30" t="n">
        <f aca="false">SUM(H10:H27)</f>
        <v>20107444</v>
      </c>
      <c r="I28" s="30" t="n">
        <f aca="false">SUM(I10:I27)</f>
        <v>4132311</v>
      </c>
      <c r="J28" s="30" t="n">
        <f aca="false">SUM(J10:J27)</f>
        <v>10102202</v>
      </c>
      <c r="K28" s="30" t="n">
        <f aca="false">SUM(K10:K27)</f>
        <v>9091976</v>
      </c>
      <c r="L28" s="30" t="n">
        <f aca="false">SUM(L10:L27)</f>
        <v>4211534</v>
      </c>
      <c r="M28" s="30" t="n">
        <f aca="false">SUM(M10:M27)</f>
        <v>1214487</v>
      </c>
      <c r="N28" s="30" t="n">
        <f aca="false">SUM(N10:N27)</f>
        <v>7501774</v>
      </c>
      <c r="O28" s="30" t="n">
        <f aca="false">SUM(O10:O27)</f>
        <v>1059787</v>
      </c>
      <c r="P28" s="30" t="n">
        <f aca="false">SUM(P10:P27)</f>
        <v>108392077</v>
      </c>
      <c r="Q28" s="30" t="n">
        <f aca="false">SUM(Q10:Q27)</f>
        <v>51315</v>
      </c>
      <c r="R28" s="18" t="n">
        <f aca="false">SUM(R10:R27)</f>
        <v>586837</v>
      </c>
      <c r="S28" s="19" t="n">
        <f aca="false">SUM(S10:S27)</f>
        <v>150745888</v>
      </c>
    </row>
    <row r="29" customFormat="false" ht="12.75" hidden="false" customHeight="false" outlineLevel="0" collapsed="false">
      <c r="A29" s="1" t="s">
        <v>43</v>
      </c>
      <c r="C29" s="30" t="n">
        <f aca="false">+C28</f>
        <v>41715659</v>
      </c>
      <c r="D29" s="30" t="n">
        <f aca="false">+C29+D28</f>
        <v>53778219</v>
      </c>
      <c r="E29" s="30" t="n">
        <f aca="false">+D29+E28</f>
        <v>61853096</v>
      </c>
      <c r="F29" s="30" t="n">
        <f aca="false">+E29+F28</f>
        <v>76626164</v>
      </c>
      <c r="G29" s="30" t="n">
        <f aca="false">+F29+G28</f>
        <v>92686221</v>
      </c>
      <c r="H29" s="30" t="n">
        <f aca="false">+G29+H28</f>
        <v>112793665</v>
      </c>
      <c r="I29" s="30" t="n">
        <f aca="false">+H29+I28</f>
        <v>116925976</v>
      </c>
      <c r="J29" s="30" t="n">
        <f aca="false">+I29+J28</f>
        <v>127028178</v>
      </c>
      <c r="K29" s="30" t="n">
        <f aca="false">+J29+K28</f>
        <v>136120154</v>
      </c>
      <c r="L29" s="30" t="n">
        <f aca="false">+K29+L28</f>
        <v>140331688</v>
      </c>
      <c r="M29" s="30" t="n">
        <f aca="false">+L29+M28</f>
        <v>141546175</v>
      </c>
      <c r="N29" s="30" t="n">
        <f aca="false">+M29+N28</f>
        <v>149047949</v>
      </c>
      <c r="O29" s="30" t="n">
        <f aca="false">+N29+O28</f>
        <v>150107736</v>
      </c>
      <c r="P29" s="30" t="n">
        <f aca="false">O29</f>
        <v>150107736</v>
      </c>
      <c r="Q29" s="30" t="n">
        <f aca="false">O29+Q28</f>
        <v>150159051</v>
      </c>
      <c r="R29" s="44" t="n">
        <f aca="false">Q29+R28</f>
        <v>150745888</v>
      </c>
      <c r="S29" s="20"/>
    </row>
    <row r="30" customFormat="false" ht="12.75" hidden="false" customHeight="false" outlineLevel="0" collapsed="false">
      <c r="A30" s="1" t="s">
        <v>44</v>
      </c>
      <c r="C30" s="28"/>
      <c r="D30" s="29"/>
      <c r="E30" s="29"/>
      <c r="F30" s="15"/>
      <c r="G30" s="29"/>
      <c r="H30" s="29"/>
      <c r="I30" s="29"/>
      <c r="J30" s="29"/>
      <c r="K30" s="29"/>
      <c r="L30" s="29"/>
      <c r="M30" s="29"/>
      <c r="N30" s="29"/>
      <c r="O30" s="29"/>
      <c r="P30" s="28"/>
      <c r="Q30" s="29"/>
      <c r="S30" s="21" t="n">
        <f aca="false">+S28/C59/1000</f>
        <v>341.054045248869</v>
      </c>
    </row>
    <row r="31" customFormat="false" ht="12.75" hidden="false" customHeight="false" outlineLevel="0" collapsed="false"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O31" s="29"/>
      <c r="P31" s="28"/>
      <c r="Q31" s="29"/>
      <c r="S31" s="16"/>
    </row>
    <row r="32" customFormat="false" ht="12.75" hidden="false" customHeight="false" outlineLevel="0" collapsed="false">
      <c r="A32" s="1" t="s">
        <v>45</v>
      </c>
      <c r="C32" s="29" t="n">
        <f aca="false">2084658-1075020+3412</f>
        <v>1013050</v>
      </c>
      <c r="D32" s="29" t="n">
        <f aca="false">315367+27457</f>
        <v>342824</v>
      </c>
      <c r="E32" s="29" t="n">
        <f aca="false">SUM($C48:D48)*E57/360*30</f>
        <v>321299.918888092</v>
      </c>
      <c r="F32" s="29" t="n">
        <f aca="false">SUM($C48:E48)*F57/360*28</f>
        <v>443917.85361798</v>
      </c>
      <c r="G32" s="29" t="n">
        <f aca="false">SUM($C48:F48)*G57/360*33</f>
        <v>528055.684864703</v>
      </c>
      <c r="H32" s="29" t="n">
        <v>124517</v>
      </c>
      <c r="I32" s="29" t="n">
        <v>725143</v>
      </c>
      <c r="J32" s="29" t="n">
        <v>684126</v>
      </c>
      <c r="K32" s="29" t="n">
        <v>-684126</v>
      </c>
      <c r="L32" s="29" t="n">
        <v>-326769</v>
      </c>
      <c r="M32" s="29" t="n">
        <v>0</v>
      </c>
      <c r="N32" s="29" t="n">
        <v>0</v>
      </c>
      <c r="O32" s="29" t="n">
        <v>0</v>
      </c>
      <c r="P32" s="28" t="n">
        <f aca="false">SUM(D32:O32)</f>
        <v>2158988.45737077</v>
      </c>
      <c r="Q32" s="29" t="n">
        <v>0</v>
      </c>
      <c r="R32" s="1" t="n">
        <v>0</v>
      </c>
      <c r="S32" s="16" t="n">
        <f aca="false">P32+C32+Q32+R32</f>
        <v>3172038.45737077</v>
      </c>
      <c r="T32" s="1" t="n">
        <f aca="false">+[1]Caledonia!$BE$156</f>
        <v>3172038.28</v>
      </c>
      <c r="U32" s="1" t="n">
        <f aca="false">+S32-T32</f>
        <v>0.177370774559677</v>
      </c>
    </row>
    <row r="33" customFormat="false" ht="12.75" hidden="false" customHeight="false" outlineLevel="0" collapsed="false">
      <c r="A33" s="1" t="s">
        <v>81</v>
      </c>
      <c r="C33" s="29"/>
      <c r="D33" s="29"/>
      <c r="E33" s="29"/>
      <c r="F33" s="29" t="n">
        <v>-309104</v>
      </c>
      <c r="G33" s="29" t="n">
        <v>-117884</v>
      </c>
      <c r="H33" s="29"/>
      <c r="I33" s="29"/>
      <c r="J33" s="29"/>
      <c r="K33" s="29"/>
      <c r="L33" s="29"/>
      <c r="M33" s="29"/>
      <c r="N33" s="29"/>
      <c r="O33" s="29"/>
      <c r="P33" s="28" t="n">
        <f aca="false">SUM(D33:O33)</f>
        <v>-426988</v>
      </c>
      <c r="Q33" s="29"/>
      <c r="S33" s="16" t="n">
        <f aca="false">P33+C33+Q33+R33</f>
        <v>-426988</v>
      </c>
      <c r="T33" s="1" t="n">
        <f aca="false">+[1]Caledonia!$BE$157</f>
        <v>-426988</v>
      </c>
      <c r="U33" s="1" t="n">
        <f aca="false">+S33-T33</f>
        <v>0</v>
      </c>
    </row>
    <row r="34" customFormat="false" ht="12.75" hidden="false" customHeight="false" outlineLevel="0" collapsed="false">
      <c r="A34" s="1" t="s">
        <v>82</v>
      </c>
      <c r="C34" s="29" t="n">
        <v>0</v>
      </c>
      <c r="D34" s="29" t="n">
        <v>11785.189</v>
      </c>
      <c r="E34" s="29" t="n">
        <v>10279.417625</v>
      </c>
      <c r="F34" s="29" t="n">
        <v>6207.39975</v>
      </c>
      <c r="G34" s="29" t="n">
        <v>6088.634125</v>
      </c>
      <c r="H34" s="29" t="n">
        <v>5897</v>
      </c>
      <c r="I34" s="29"/>
      <c r="J34" s="29"/>
      <c r="K34" s="29"/>
      <c r="L34" s="29"/>
      <c r="M34" s="29"/>
      <c r="N34" s="29" t="n">
        <v>0</v>
      </c>
      <c r="O34" s="29" t="n">
        <v>0</v>
      </c>
      <c r="P34" s="28" t="n">
        <f aca="false">SUM(D34:O34)</f>
        <v>40257.6405</v>
      </c>
      <c r="Q34" s="29" t="n">
        <v>0</v>
      </c>
      <c r="R34" s="15" t="n">
        <v>0</v>
      </c>
      <c r="S34" s="16" t="n">
        <f aca="false">P34+C34+Q34+R34</f>
        <v>40257.6405</v>
      </c>
      <c r="T34" s="1" t="n">
        <f aca="false">+[1]Caledonia!$BE$158</f>
        <v>40258</v>
      </c>
      <c r="U34" s="1" t="n">
        <f aca="false">+S34-T34</f>
        <v>-0.359499999998661</v>
      </c>
    </row>
    <row r="35" customFormat="false" ht="12.75" hidden="false" customHeight="false" outlineLevel="0" collapsed="false">
      <c r="A35" s="1" t="s">
        <v>98</v>
      </c>
      <c r="C35" s="29"/>
      <c r="D35" s="29"/>
      <c r="E35" s="29"/>
      <c r="F35" s="29" t="n">
        <v>-5266</v>
      </c>
      <c r="G35" s="29" t="n">
        <f aca="false">13200</f>
        <v>13200</v>
      </c>
      <c r="H35" s="29" t="n">
        <f aca="false">-18334</f>
        <v>-18334</v>
      </c>
      <c r="I35" s="29" t="n">
        <v>0</v>
      </c>
      <c r="J35" s="29"/>
      <c r="K35" s="29" t="n">
        <v>0</v>
      </c>
      <c r="L35" s="29" t="n">
        <v>0</v>
      </c>
      <c r="M35" s="29" t="n">
        <v>0</v>
      </c>
      <c r="N35" s="29" t="n">
        <v>0</v>
      </c>
      <c r="O35" s="29" t="n">
        <v>0</v>
      </c>
      <c r="P35" s="28" t="n">
        <f aca="false">SUM(D35:O35)</f>
        <v>-10400</v>
      </c>
      <c r="Q35" s="29" t="n">
        <v>0</v>
      </c>
      <c r="R35" s="15" t="n">
        <v>0</v>
      </c>
      <c r="S35" s="16" t="n">
        <f aca="false">P35+C35+Q35+R35</f>
        <v>-10400</v>
      </c>
      <c r="T35" s="1" t="n">
        <f aca="false">+[1]Caledonia!$BE$159</f>
        <v>-10399.47</v>
      </c>
      <c r="U35" s="1" t="n">
        <f aca="false">+S35-T35</f>
        <v>-0.530000000000655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942288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29" t="n">
        <f aca="false">107680-41667</f>
        <v>66013</v>
      </c>
      <c r="P36" s="28" t="n">
        <f aca="false">SUM(D36:O36)</f>
        <v>1174967</v>
      </c>
      <c r="Q36" s="29" t="n">
        <v>0</v>
      </c>
      <c r="R36" s="1" t="n">
        <v>0</v>
      </c>
      <c r="S36" s="16" t="n">
        <f aca="false">P36+C36+Q36+R36</f>
        <v>1243353</v>
      </c>
      <c r="T36" s="1" t="n">
        <f aca="false">+[1]Caledonia!$BE$169</f>
        <v>1243352.71333333</v>
      </c>
      <c r="U36" s="1" t="n">
        <f aca="false">+S36-T36</f>
        <v>0.286666666856036</v>
      </c>
    </row>
    <row r="37" customFormat="false" ht="12.75" hidden="false" customHeight="false" outlineLevel="0" collapsed="false">
      <c r="A37" s="1" t="s">
        <v>84</v>
      </c>
      <c r="C37" s="28" t="n"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8" t="n">
        <f aca="false">SUM(D37:O37)</f>
        <v>0</v>
      </c>
      <c r="Q37" s="29" t="n">
        <v>0</v>
      </c>
      <c r="R37" s="1" t="n">
        <v>0</v>
      </c>
      <c r="S37" s="16" t="n">
        <f aca="false">P37+C37+Q37+R37</f>
        <v>0</v>
      </c>
    </row>
    <row r="38" customFormat="false" ht="12.75" hidden="false" customHeight="false" outlineLevel="0" collapsed="false">
      <c r="A38" s="1" t="s">
        <v>49</v>
      </c>
      <c r="C38" s="30" t="n">
        <f aca="false">SUM(C32:C37)</f>
        <v>1081436</v>
      </c>
      <c r="D38" s="30" t="n">
        <f aca="false">SUM(D32:D37)</f>
        <v>1296897.189</v>
      </c>
      <c r="E38" s="30" t="n">
        <f aca="false">SUM(E32:E37)</f>
        <v>331579.336513092</v>
      </c>
      <c r="F38" s="30" t="n">
        <f aca="false">SUM(F32:F37)</f>
        <v>135755.25336798</v>
      </c>
      <c r="G38" s="30" t="n">
        <f aca="false">SUM(G32:G37)</f>
        <v>429460.318989703</v>
      </c>
      <c r="H38" s="30" t="n">
        <f aca="false">SUM(H32:H37)</f>
        <v>195413</v>
      </c>
      <c r="I38" s="30" t="n">
        <f aca="false">SUM(I32:I37)</f>
        <v>725143</v>
      </c>
      <c r="J38" s="30" t="n">
        <f aca="false">SUM(J32:J37)</f>
        <v>684126</v>
      </c>
      <c r="K38" s="30" t="n">
        <f aca="false">SUM(K32:K37)</f>
        <v>-684126</v>
      </c>
      <c r="L38" s="30" t="n">
        <f aca="false">SUM(L32:L37)</f>
        <v>-326769</v>
      </c>
      <c r="M38" s="30" t="n">
        <f aca="false">SUM(M32:M37)</f>
        <v>0</v>
      </c>
      <c r="N38" s="30" t="n">
        <f aca="false">SUM(N32:N37)</f>
        <v>83333</v>
      </c>
      <c r="O38" s="30" t="n">
        <f aca="false">SUM(O32:O37)</f>
        <v>66013</v>
      </c>
      <c r="P38" s="30" t="n">
        <f aca="false">SUM(P32:P37)</f>
        <v>2936825.09787077</v>
      </c>
      <c r="Q38" s="30" t="n">
        <f aca="false">SUM(Q32:Q37)</f>
        <v>0</v>
      </c>
      <c r="R38" s="18" t="n">
        <f aca="false">SUM(R32:R37)</f>
        <v>0</v>
      </c>
      <c r="S38" s="19" t="n">
        <f aca="false">SUM(S32:S37)</f>
        <v>4018261.09787077</v>
      </c>
    </row>
    <row r="39" customFormat="false" ht="12.75" hidden="false" customHeight="false" outlineLevel="0" collapsed="false">
      <c r="A39" s="1" t="s">
        <v>50</v>
      </c>
      <c r="C39" s="30" t="n">
        <f aca="false">+C38</f>
        <v>1081436</v>
      </c>
      <c r="D39" s="30" t="n">
        <f aca="false">+D38+C39</f>
        <v>2378333.189</v>
      </c>
      <c r="E39" s="30" t="n">
        <f aca="false">+E38+D39</f>
        <v>2709912.52551309</v>
      </c>
      <c r="F39" s="30" t="n">
        <f aca="false">+F38+E39</f>
        <v>2845667.77888107</v>
      </c>
      <c r="G39" s="30" t="n">
        <f aca="false">+G38+F39</f>
        <v>3275128.09787077</v>
      </c>
      <c r="H39" s="30" t="n">
        <f aca="false">+H38+G39</f>
        <v>3470541.09787077</v>
      </c>
      <c r="I39" s="30" t="n">
        <f aca="false">+I38+H39</f>
        <v>4195684.09787078</v>
      </c>
      <c r="J39" s="30" t="n">
        <f aca="false">+J38+I39</f>
        <v>4879810.09787078</v>
      </c>
      <c r="K39" s="30" t="n">
        <f aca="false">+K38+J39</f>
        <v>4195684.09787078</v>
      </c>
      <c r="L39" s="30" t="n">
        <f aca="false">+L38+K39</f>
        <v>3868915.09787077</v>
      </c>
      <c r="M39" s="30" t="n">
        <f aca="false">+M38+L39</f>
        <v>3868915.09787077</v>
      </c>
      <c r="N39" s="30" t="n">
        <f aca="false">+N38+M39</f>
        <v>3952248.09787077</v>
      </c>
      <c r="O39" s="30" t="n">
        <f aca="false">+O38+N39</f>
        <v>4018261.09787077</v>
      </c>
      <c r="P39" s="30" t="n">
        <f aca="false">O39</f>
        <v>4018261.09787077</v>
      </c>
      <c r="Q39" s="30" t="n">
        <f aca="false">+Q38+N39</f>
        <v>3952248.09787077</v>
      </c>
      <c r="R39" s="18" t="n">
        <f aca="false">+R38+O39</f>
        <v>4018261.09787077</v>
      </c>
      <c r="S39" s="16"/>
    </row>
    <row r="40" customFormat="false" ht="12.75" hidden="false" customHeight="false" outlineLevel="0" collapsed="false">
      <c r="C40" s="28"/>
      <c r="D40" s="29"/>
      <c r="E40" s="29"/>
      <c r="G40" s="29"/>
      <c r="H40" s="29"/>
      <c r="I40" s="29"/>
      <c r="J40" s="29"/>
      <c r="K40" s="29"/>
      <c r="L40" s="29"/>
      <c r="M40" s="29"/>
      <c r="N40" s="29"/>
      <c r="O40" s="29"/>
      <c r="P40" s="28"/>
      <c r="Q40" s="29"/>
      <c r="S40" s="16"/>
    </row>
    <row r="41" customFormat="false" ht="12.75" hidden="false" customHeight="false" outlineLevel="0" collapsed="false">
      <c r="A41" s="2" t="s">
        <v>85</v>
      </c>
      <c r="B41" s="2"/>
      <c r="C41" s="28" t="n">
        <f aca="false">+C28+C38</f>
        <v>42797095</v>
      </c>
      <c r="D41" s="28" t="n">
        <f aca="false">+D28+D38</f>
        <v>13359457.189</v>
      </c>
      <c r="E41" s="28" t="n">
        <f aca="false">+E28+E38</f>
        <v>8406456.33651309</v>
      </c>
      <c r="F41" s="28" t="n">
        <f aca="false">+F28+F38</f>
        <v>14908823.253368</v>
      </c>
      <c r="G41" s="28" t="n">
        <f aca="false">+G28+G38</f>
        <v>16489517.3189897</v>
      </c>
      <c r="H41" s="28" t="n">
        <f aca="false">+H28+H38</f>
        <v>20302857</v>
      </c>
      <c r="I41" s="28" t="n">
        <f aca="false">+I28+I38</f>
        <v>4857454</v>
      </c>
      <c r="J41" s="28" t="n">
        <f aca="false">+J28+J38</f>
        <v>10786328</v>
      </c>
      <c r="K41" s="28" t="n">
        <f aca="false">ROUND(+K28+K38,0)+1</f>
        <v>8407851</v>
      </c>
      <c r="L41" s="28" t="n">
        <f aca="false">+L28+L38</f>
        <v>3884765</v>
      </c>
      <c r="M41" s="28" t="n">
        <f aca="false">+M28+M38</f>
        <v>1214487</v>
      </c>
      <c r="N41" s="28" t="n">
        <f aca="false">+N28+N38</f>
        <v>7585107</v>
      </c>
      <c r="O41" s="28" t="n">
        <f aca="false">+O28+O38</f>
        <v>1125800</v>
      </c>
      <c r="P41" s="28" t="n">
        <f aca="false">+P28+P38</f>
        <v>111328902.097871</v>
      </c>
      <c r="Q41" s="28" t="n">
        <f aca="false">+Q28+Q38</f>
        <v>51315</v>
      </c>
      <c r="R41" s="2" t="n">
        <f aca="false">+R28+R38</f>
        <v>586837</v>
      </c>
      <c r="S41" s="16" t="n">
        <f aca="false">P41+C41+Q41+R41</f>
        <v>154764149.097871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" t="s">
        <v>52</v>
      </c>
      <c r="B42" s="2"/>
      <c r="C42" s="28" t="n">
        <f aca="false">C41</f>
        <v>42797095</v>
      </c>
      <c r="D42" s="28" t="n">
        <f aca="false">C42+D41</f>
        <v>56156552.189</v>
      </c>
      <c r="E42" s="28" t="n">
        <f aca="false">D42+E41</f>
        <v>64563008.5255131</v>
      </c>
      <c r="F42" s="28" t="n">
        <f aca="false">E42+F41</f>
        <v>79471831.7788811</v>
      </c>
      <c r="G42" s="28" t="n">
        <f aca="false">F42+G41</f>
        <v>95961349.0978708</v>
      </c>
      <c r="H42" s="28" t="n">
        <f aca="false">G42+H41</f>
        <v>116264206.097871</v>
      </c>
      <c r="I42" s="28" t="n">
        <f aca="false">H42+I41</f>
        <v>121121660.097871</v>
      </c>
      <c r="J42" s="28" t="n">
        <f aca="false">I42+J41</f>
        <v>131907988.097871</v>
      </c>
      <c r="K42" s="28" t="n">
        <f aca="false">J42+K41</f>
        <v>140315839.097871</v>
      </c>
      <c r="L42" s="28" t="n">
        <f aca="false">K42+L41</f>
        <v>144200604.097871</v>
      </c>
      <c r="M42" s="28" t="n">
        <f aca="false">L42+M41</f>
        <v>145415091.097871</v>
      </c>
      <c r="N42" s="28" t="n">
        <f aca="false">M42+N41</f>
        <v>153000198.097871</v>
      </c>
      <c r="O42" s="28" t="n">
        <f aca="false">N42+O41</f>
        <v>154125998.097871</v>
      </c>
      <c r="P42" s="28" t="n">
        <f aca="false">O42</f>
        <v>154125998.097871</v>
      </c>
      <c r="Q42" s="28" t="n">
        <f aca="false">O42+Q41</f>
        <v>154177313.097871</v>
      </c>
      <c r="R42" s="2" t="n">
        <f aca="false">Q42+R41</f>
        <v>154764150.097871</v>
      </c>
      <c r="S42" s="16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" t="s">
        <v>44</v>
      </c>
      <c r="B43" s="2"/>
      <c r="C43" s="28"/>
      <c r="D43" s="28"/>
      <c r="E43" s="28"/>
      <c r="F43" s="2"/>
      <c r="G43" s="28"/>
      <c r="H43" s="28"/>
      <c r="I43" s="28"/>
      <c r="J43" s="28"/>
      <c r="K43" s="2"/>
      <c r="L43" s="28"/>
      <c r="M43" s="28"/>
      <c r="N43" s="28"/>
      <c r="O43" s="28"/>
      <c r="P43" s="28"/>
      <c r="Q43" s="28"/>
      <c r="R43" s="2"/>
      <c r="S43" s="21" t="n">
        <f aca="false">+S41/C59/1000</f>
        <v>350.14513370559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C44" s="28"/>
      <c r="D44" s="29"/>
      <c r="E44" s="29"/>
      <c r="G44" s="29"/>
      <c r="H44" s="29"/>
      <c r="I44" s="29"/>
      <c r="J44" s="29"/>
      <c r="L44" s="29"/>
      <c r="M44" s="29"/>
      <c r="N44" s="29"/>
      <c r="O44" s="29"/>
      <c r="P44" s="28"/>
      <c r="Q44" s="29"/>
      <c r="S44" s="16"/>
    </row>
    <row r="45" customFormat="false" ht="12.75" hidden="false" customHeight="false" outlineLevel="0" collapsed="false">
      <c r="A45" s="1" t="s">
        <v>55</v>
      </c>
      <c r="C45" s="28" t="n">
        <v>0</v>
      </c>
      <c r="D45" s="29"/>
      <c r="E45" s="29"/>
      <c r="G45" s="29"/>
      <c r="H45" s="29"/>
      <c r="I45" s="29" t="n">
        <v>0</v>
      </c>
      <c r="J45" s="29"/>
      <c r="L45" s="29"/>
      <c r="M45" s="29"/>
      <c r="N45" s="29"/>
      <c r="O45" s="29"/>
      <c r="P45" s="28"/>
      <c r="Q45" s="29"/>
      <c r="S45" s="19" t="n">
        <f aca="false">SUM(C45:O45)</f>
        <v>0</v>
      </c>
    </row>
    <row r="46" customFormat="false" ht="12.75" hidden="false" customHeight="false" outlineLevel="0" collapsed="false">
      <c r="A46" s="15"/>
      <c r="B46" s="2"/>
      <c r="C46" s="31"/>
      <c r="D46" s="28"/>
      <c r="E46" s="28"/>
      <c r="F46" s="2"/>
      <c r="G46" s="28"/>
      <c r="H46" s="28"/>
      <c r="I46" s="28"/>
      <c r="J46" s="28"/>
      <c r="K46" s="2"/>
      <c r="L46" s="28"/>
      <c r="M46" s="28"/>
      <c r="N46" s="28"/>
      <c r="O46" s="28"/>
      <c r="P46" s="28"/>
      <c r="Q46" s="28"/>
      <c r="R46" s="2"/>
      <c r="S46" s="16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56</v>
      </c>
      <c r="C47" s="28" t="n">
        <f aca="false">+C41-C32</f>
        <v>41784045</v>
      </c>
      <c r="D47" s="28" t="n">
        <f aca="false">+D41-D32</f>
        <v>13016633.189</v>
      </c>
      <c r="E47" s="28" t="n">
        <f aca="false">+E41-E32</f>
        <v>8085156.417625</v>
      </c>
      <c r="F47" s="28" t="n">
        <f aca="false">+F41-F32</f>
        <v>14464905.39975</v>
      </c>
      <c r="G47" s="28" t="n">
        <f aca="false">+G41-G32</f>
        <v>15961461.634125</v>
      </c>
      <c r="H47" s="28" t="n">
        <f aca="false">+H41-H32</f>
        <v>20178340</v>
      </c>
      <c r="I47" s="28" t="n">
        <f aca="false">+I41-I32</f>
        <v>4132311</v>
      </c>
      <c r="J47" s="28" t="n">
        <f aca="false">+J41-J32</f>
        <v>10102202</v>
      </c>
      <c r="K47" s="2" t="n">
        <f aca="false">+K41-K32</f>
        <v>9091977</v>
      </c>
      <c r="L47" s="28" t="n">
        <f aca="false">ROUND(+L41-L32,0)</f>
        <v>4211534</v>
      </c>
      <c r="M47" s="28" t="n">
        <f aca="false">+M41-M32</f>
        <v>1214487</v>
      </c>
      <c r="N47" s="28" t="n">
        <f aca="false">+N41-N32</f>
        <v>7585107</v>
      </c>
      <c r="O47" s="28" t="n">
        <f aca="false">+O41-O32</f>
        <v>1125800</v>
      </c>
      <c r="P47" s="28" t="n">
        <f aca="false">+P41-P32</f>
        <v>109169913.6405</v>
      </c>
      <c r="Q47" s="28" t="n">
        <f aca="false">+Q41-Q32</f>
        <v>51315</v>
      </c>
      <c r="R47" s="2" t="n">
        <f aca="false">+R41-R32</f>
        <v>586837</v>
      </c>
      <c r="S47" s="16" t="n">
        <f aca="false">P47+C47+Q47+R47</f>
        <v>151592110.6405</v>
      </c>
    </row>
    <row r="48" customFormat="false" ht="12.75" hidden="true" customHeight="false" outlineLevel="0" collapsed="false">
      <c r="A48" s="1" t="s">
        <v>86</v>
      </c>
      <c r="C48" s="32" t="n">
        <f aca="false">43104549+12435707+150775+27457</f>
        <v>55718488</v>
      </c>
      <c r="D48" s="32" t="n">
        <f aca="false">10781519+937500+315367+11785</f>
        <v>12046171</v>
      </c>
      <c r="E48" s="32" t="n">
        <f aca="false">32244564+321300+10279</f>
        <v>32576143</v>
      </c>
      <c r="F48" s="32" t="n">
        <f aca="false">500000+443918+6207</f>
        <v>950125</v>
      </c>
      <c r="G48" s="28" t="n">
        <f aca="false">IF(+G42-F49-G47&gt;0,G42-F49-G47,250000)</f>
        <v>250000</v>
      </c>
      <c r="H48" s="28" t="n">
        <v>0</v>
      </c>
      <c r="I48" s="2" t="n">
        <v>0</v>
      </c>
      <c r="J48" s="28" t="n">
        <v>0</v>
      </c>
      <c r="K48" s="2" t="n">
        <v>0</v>
      </c>
      <c r="L48" s="28"/>
      <c r="M48" s="28"/>
      <c r="N48" s="28"/>
      <c r="O48" s="28"/>
      <c r="P48" s="28"/>
      <c r="Q48" s="28"/>
      <c r="R48" s="2"/>
      <c r="S48" s="16"/>
    </row>
    <row r="49" customFormat="false" ht="12.75" hidden="true" customHeight="false" outlineLevel="0" collapsed="false">
      <c r="A49" s="1" t="s">
        <v>87</v>
      </c>
      <c r="C49" s="28" t="n">
        <f aca="false">+C48</f>
        <v>55718488</v>
      </c>
      <c r="D49" s="28" t="n">
        <f aca="false">+D48+C49</f>
        <v>67764659</v>
      </c>
      <c r="E49" s="28" t="n">
        <f aca="false">+E48+D49</f>
        <v>100340802</v>
      </c>
      <c r="F49" s="28" t="n">
        <f aca="false">+F48+E49</f>
        <v>101290927</v>
      </c>
      <c r="G49" s="28" t="n">
        <f aca="false">+G48+F49</f>
        <v>101540927</v>
      </c>
      <c r="H49" s="28" t="n">
        <v>0</v>
      </c>
      <c r="I49" s="2" t="n">
        <f aca="false">+I48+H49</f>
        <v>0</v>
      </c>
      <c r="J49" s="28" t="n">
        <f aca="false">+J48+I49</f>
        <v>0</v>
      </c>
      <c r="K49" s="2" t="n">
        <f aca="false">+K48+J49</f>
        <v>0</v>
      </c>
      <c r="L49" s="28"/>
      <c r="M49" s="28"/>
      <c r="N49" s="28"/>
      <c r="O49" s="28"/>
      <c r="P49" s="28"/>
      <c r="Q49" s="28"/>
      <c r="R49" s="2"/>
      <c r="S49" s="16"/>
    </row>
    <row r="50" customFormat="false" ht="12.75" hidden="false" customHeight="false" outlineLevel="0" collapsed="false">
      <c r="C50" s="28"/>
      <c r="D50" s="29"/>
      <c r="E50" s="29"/>
      <c r="G50" s="29"/>
      <c r="H50" s="29"/>
      <c r="J50" s="29"/>
      <c r="L50" s="29"/>
      <c r="M50" s="29"/>
      <c r="N50" s="29"/>
      <c r="O50" s="29"/>
      <c r="P50" s="28"/>
      <c r="Q50" s="29"/>
      <c r="S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J51" s="29"/>
      <c r="L51" s="29"/>
      <c r="M51" s="29"/>
      <c r="N51" s="29"/>
      <c r="O51" s="29"/>
      <c r="P51" s="28"/>
      <c r="Q51" s="29"/>
      <c r="S51" s="16"/>
    </row>
    <row r="52" customFormat="false" ht="13.5" hidden="false" customHeight="false" outlineLevel="0" collapsed="false">
      <c r="A52" s="2" t="s">
        <v>88</v>
      </c>
      <c r="C52" s="33" t="n">
        <f aca="false">+C41</f>
        <v>42797095</v>
      </c>
      <c r="D52" s="33" t="n">
        <f aca="false">+D41</f>
        <v>13359457.189</v>
      </c>
      <c r="E52" s="33" t="n">
        <f aca="false">+E41</f>
        <v>8406456.33651309</v>
      </c>
      <c r="F52" s="33" t="n">
        <f aca="false">+F41</f>
        <v>14908823.253368</v>
      </c>
      <c r="G52" s="33" t="n">
        <f aca="false">+G41</f>
        <v>16489517.3189897</v>
      </c>
      <c r="H52" s="33" t="n">
        <f aca="false">+H41</f>
        <v>20302857</v>
      </c>
      <c r="I52" s="33" t="n">
        <f aca="false">+I41</f>
        <v>4857454</v>
      </c>
      <c r="J52" s="33" t="n">
        <f aca="false">+J41</f>
        <v>10786328</v>
      </c>
      <c r="K52" s="33" t="n">
        <f aca="false">+K41</f>
        <v>8407851</v>
      </c>
      <c r="L52" s="33" t="n">
        <f aca="false">+L41</f>
        <v>3884765</v>
      </c>
      <c r="M52" s="33" t="n">
        <f aca="false">+M41</f>
        <v>1214487</v>
      </c>
      <c r="N52" s="33" t="n">
        <f aca="false">+N41</f>
        <v>7585107</v>
      </c>
      <c r="O52" s="33" t="n">
        <f aca="false">+O41</f>
        <v>1125800</v>
      </c>
      <c r="P52" s="33" t="n">
        <f aca="false">+P41</f>
        <v>111328902.097871</v>
      </c>
      <c r="Q52" s="33" t="n">
        <f aca="false">+Q41</f>
        <v>51315</v>
      </c>
      <c r="R52" s="33" t="n">
        <f aca="false">+R41</f>
        <v>586837</v>
      </c>
      <c r="S52" s="34" t="n">
        <f aca="false">S41</f>
        <v>154764149.097871</v>
      </c>
      <c r="U52" s="1" t="n">
        <f aca="false">SUM(U10:U51)</f>
        <v>0.0105374417089479</v>
      </c>
    </row>
    <row r="53" customFormat="false" ht="13.5" hidden="false" customHeight="false" outlineLevel="0" collapsed="false">
      <c r="A53" s="2" t="s">
        <v>89</v>
      </c>
      <c r="C53" s="35" t="n">
        <f aca="false">+C52</f>
        <v>42797095</v>
      </c>
      <c r="D53" s="35" t="n">
        <f aca="false">+D52+C53</f>
        <v>56156552.189</v>
      </c>
      <c r="E53" s="35" t="n">
        <f aca="false">+E52+D53</f>
        <v>64563008.5255131</v>
      </c>
      <c r="F53" s="35" t="n">
        <f aca="false">+F52+E53</f>
        <v>79471831.7788811</v>
      </c>
      <c r="G53" s="35" t="n">
        <f aca="false">+G52+F53</f>
        <v>95961349.0978708</v>
      </c>
      <c r="H53" s="35" t="n">
        <f aca="false">+H52+G53</f>
        <v>116264206.097871</v>
      </c>
      <c r="I53" s="35" t="n">
        <f aca="false">+I52+H53</f>
        <v>121121660.097871</v>
      </c>
      <c r="J53" s="35" t="n">
        <f aca="false">+J52+I53</f>
        <v>131907988.097871</v>
      </c>
      <c r="K53" s="36" t="n">
        <f aca="false">+K52+J53</f>
        <v>140315839.097871</v>
      </c>
      <c r="L53" s="35" t="n">
        <f aca="false">+L52+K53</f>
        <v>144200604.097871</v>
      </c>
      <c r="M53" s="35" t="n">
        <f aca="false">+M52+L53</f>
        <v>145415091.097871</v>
      </c>
      <c r="N53" s="35" t="n">
        <f aca="false">+N52+M53</f>
        <v>153000198.097871</v>
      </c>
      <c r="O53" s="35" t="n">
        <f aca="false">+O52+N53</f>
        <v>154125998.097871</v>
      </c>
      <c r="P53" s="35" t="n">
        <f aca="false">O53</f>
        <v>154125998.097871</v>
      </c>
      <c r="Q53" s="35" t="n">
        <f aca="false">+Q52+O53</f>
        <v>154177313.097871</v>
      </c>
      <c r="R53" s="36" t="n">
        <f aca="false">+R52+Q53</f>
        <v>154764150.097871</v>
      </c>
      <c r="S53" s="16"/>
    </row>
    <row r="54" customFormat="false" ht="12.75" hidden="false" customHeight="false" outlineLevel="0" collapsed="false">
      <c r="C54" s="28"/>
      <c r="D54" s="29"/>
      <c r="E54" s="29"/>
      <c r="G54" s="29"/>
      <c r="H54" s="29"/>
      <c r="J54" s="29"/>
      <c r="L54" s="29"/>
      <c r="M54" s="29"/>
      <c r="N54" s="29"/>
      <c r="O54" s="29"/>
      <c r="P54" s="28"/>
      <c r="Q54" s="29"/>
      <c r="S54" s="37"/>
    </row>
    <row r="55" customFormat="false" ht="13.5" hidden="false" customHeight="false" outlineLevel="0" collapsed="false">
      <c r="A55" s="2" t="s">
        <v>90</v>
      </c>
      <c r="C55" s="33" t="n">
        <f aca="false">+C52+C45</f>
        <v>42797095</v>
      </c>
      <c r="D55" s="33" t="n">
        <f aca="false">+D52+D45</f>
        <v>13359457.189</v>
      </c>
      <c r="E55" s="33" t="n">
        <f aca="false">+E52+E45</f>
        <v>8406456.33651309</v>
      </c>
      <c r="F55" s="33" t="n">
        <f aca="false">+F52+F45</f>
        <v>14908823.253368</v>
      </c>
      <c r="G55" s="33" t="n">
        <f aca="false">+G52+G45</f>
        <v>16489517.3189897</v>
      </c>
      <c r="H55" s="33" t="n">
        <f aca="false">+H52+H45</f>
        <v>20302857</v>
      </c>
      <c r="I55" s="33" t="n">
        <f aca="false">+I52+I45</f>
        <v>4857454</v>
      </c>
      <c r="J55" s="33" t="n">
        <f aca="false">+J52+J45</f>
        <v>10786328</v>
      </c>
      <c r="K55" s="38" t="n">
        <f aca="false">+K52+K45</f>
        <v>8407851</v>
      </c>
      <c r="L55" s="33" t="n">
        <f aca="false">+L52+L45</f>
        <v>3884765</v>
      </c>
      <c r="M55" s="33" t="n">
        <f aca="false">+M52+M45</f>
        <v>1214487</v>
      </c>
      <c r="N55" s="33" t="n">
        <f aca="false">+N52+N45</f>
        <v>7585107</v>
      </c>
      <c r="O55" s="33" t="n">
        <f aca="false">+O52+O45</f>
        <v>1125800</v>
      </c>
      <c r="P55" s="33" t="n">
        <f aca="false">+P52+P45</f>
        <v>111328902.097871</v>
      </c>
      <c r="Q55" s="33" t="n">
        <f aca="false">+Q52+Q45</f>
        <v>51315</v>
      </c>
      <c r="R55" s="38" t="n">
        <f aca="false">+R52+R45</f>
        <v>586837</v>
      </c>
      <c r="S55" s="34" t="n">
        <f aca="false">+S52+S45</f>
        <v>154764149.097871</v>
      </c>
      <c r="T55" s="1" t="n">
        <f aca="false">+[1]Caledonia!$BE$199</f>
        <v>154764149.959333</v>
      </c>
      <c r="U55" s="1" t="n">
        <f aca="false">+T55-S55</f>
        <v>0.861462533473969</v>
      </c>
    </row>
    <row r="56" customFormat="false" ht="12.75" hidden="false" customHeight="false" outlineLevel="0" collapsed="false">
      <c r="G56" s="29"/>
      <c r="J56" s="29"/>
      <c r="L56" s="29"/>
      <c r="M56" s="29"/>
      <c r="N56" s="29"/>
      <c r="S56" s="0"/>
    </row>
    <row r="57" customFormat="false" ht="12.75" hidden="false" customHeight="false" outlineLevel="0" collapsed="false">
      <c r="A57" s="15" t="s">
        <v>91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8" t="n">
        <v>0.065</v>
      </c>
      <c r="I57" s="8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8" t="n">
        <v>0.065</v>
      </c>
      <c r="Q57" s="8" t="n">
        <v>0.065</v>
      </c>
      <c r="R57" s="8" t="n">
        <v>0.065</v>
      </c>
      <c r="S57" s="4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92</v>
      </c>
      <c r="B58" s="2"/>
      <c r="C58" s="39" t="n">
        <v>0.0015</v>
      </c>
      <c r="D58" s="4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4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442</v>
      </c>
      <c r="D59" s="2" t="s">
        <v>54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 t="s">
        <v>54</v>
      </c>
      <c r="Q59" s="2"/>
      <c r="R59" s="2"/>
      <c r="S59" s="0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93</v>
      </c>
      <c r="D61" s="1" t="s">
        <v>94</v>
      </c>
      <c r="P61" s="1" t="s">
        <v>94</v>
      </c>
    </row>
    <row r="62" customFormat="false" ht="12.75" hidden="false" customHeight="false" outlineLevel="0" collapsed="false">
      <c r="C62" s="32"/>
      <c r="D62" s="1" t="str">
        <f aca="false">+Brownsville!D62</f>
        <v>Input from WestLB statements for each month's actuals (1/99 - 5/99)</v>
      </c>
      <c r="P62" s="1" t="s">
        <v>95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  <c r="Q68" s="15"/>
      <c r="R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Q71" s="2"/>
      <c r="R71" s="2"/>
    </row>
    <row r="72" customFormat="false" ht="12.75" hidden="false" customHeight="false" outlineLevel="0" collapsed="false">
      <c r="S72" s="43"/>
    </row>
  </sheetData>
  <mergeCells count="3">
    <mergeCell ref="D5:O5"/>
    <mergeCell ref="Q5:R5"/>
    <mergeCell ref="D64:O6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S2" activeCellId="0" sqref="S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56"/>
    <col collapsed="false" customWidth="true" hidden="false" outlineLevel="0" max="2" min="2" style="1" width="1.7"/>
    <col collapsed="false" customWidth="true" hidden="false" outlineLevel="0" max="3" min="3" style="2" width="13.14"/>
    <col collapsed="false" customWidth="true" hidden="true" outlineLevel="0" max="4" min="4" style="1" width="14.99"/>
    <col collapsed="false" customWidth="true" hidden="true" outlineLevel="0" max="5" min="5" style="1" width="14.28"/>
    <col collapsed="false" customWidth="true" hidden="true" outlineLevel="0" max="7" min="6" style="1" width="12.28"/>
    <col collapsed="false" customWidth="true" hidden="true" outlineLevel="0" max="8" min="8" style="1" width="13.41"/>
    <col collapsed="false" customWidth="true" hidden="true" outlineLevel="0" max="9" min="9" style="1" width="13.56"/>
    <col collapsed="false" customWidth="true" hidden="true" outlineLevel="0" max="10" min="10" style="1" width="14.28"/>
    <col collapsed="false" customWidth="true" hidden="true" outlineLevel="0" max="11" min="11" style="1" width="14.85"/>
    <col collapsed="false" customWidth="true" hidden="true" outlineLevel="0" max="14" min="12" style="1" width="14.14"/>
    <col collapsed="false" customWidth="true" hidden="true" outlineLevel="0" max="15" min="15" style="1" width="13.7"/>
    <col collapsed="false" customWidth="true" hidden="false" outlineLevel="0" max="16" min="16" style="2" width="14.7"/>
    <col collapsed="false" customWidth="true" hidden="false" outlineLevel="0" max="18" min="17" style="1" width="15.28"/>
    <col collapsed="false" customWidth="true" hidden="false" outlineLevel="0" max="19" min="19" style="2" width="14.41"/>
    <col collapsed="false" customWidth="true" hidden="false" outlineLevel="0" max="20" min="20" style="1" width="12.28"/>
    <col collapsed="false" customWidth="true" hidden="false" outlineLevel="0" max="21" min="21" style="1" width="13.7"/>
    <col collapsed="false" customWidth="false" hidden="false" outlineLevel="0" max="257" min="2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 t="str">
        <f aca="false">+Brownsville!P1</f>
        <v>Last updated:  Actuals through February 4, 2000</v>
      </c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4"/>
      <c r="R2" s="4"/>
      <c r="S2" s="5" t="str">
        <f aca="true">CELL("filename")</f>
        <v>'file:///mnt/12tb/@roms/datasets/enron/EDRM Enron Email Data Set v2 XML/filtered-attachments/xls/TVADraw020800.xls'#$New Albany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74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3"/>
      <c r="Q3" s="4"/>
      <c r="R3" s="4"/>
      <c r="S3" s="7" t="n">
        <f aca="true">NOW()</f>
        <v>45926.9667218252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/>
      <c r="E5" s="12"/>
      <c r="F5" s="12"/>
      <c r="G5" s="12"/>
      <c r="H5" s="12"/>
      <c r="I5" s="12" t="s">
        <v>4</v>
      </c>
      <c r="J5" s="12"/>
      <c r="K5" s="12"/>
      <c r="L5" s="12"/>
      <c r="M5" s="12"/>
      <c r="N5" s="12"/>
      <c r="O5" s="12"/>
      <c r="P5" s="10" t="s">
        <v>4</v>
      </c>
      <c r="Q5" s="12" t="s">
        <v>5</v>
      </c>
      <c r="R5" s="12"/>
      <c r="S5" s="12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75</v>
      </c>
      <c r="Q6" s="10" t="s">
        <v>7</v>
      </c>
      <c r="R6" s="10" t="s">
        <v>8</v>
      </c>
      <c r="S6" s="13" t="s">
        <v>6</v>
      </c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9.5" hidden="false" customHeight="false" outlineLevel="0" collapsed="false">
      <c r="A7" s="26" t="s">
        <v>76</v>
      </c>
      <c r="B7" s="10"/>
      <c r="C7" s="10"/>
      <c r="D7" s="10"/>
      <c r="E7" s="10"/>
      <c r="F7" s="10"/>
      <c r="G7" s="10"/>
      <c r="H7" s="27"/>
      <c r="I7" s="10"/>
      <c r="J7" s="10"/>
      <c r="K7" s="10"/>
      <c r="L7" s="10"/>
      <c r="M7" s="10"/>
      <c r="N7" s="10"/>
      <c r="O7" s="10"/>
      <c r="P7" s="10"/>
      <c r="Q7" s="10"/>
      <c r="R7" s="10"/>
      <c r="S7" s="14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99</v>
      </c>
      <c r="B8" s="10"/>
      <c r="C8" s="10"/>
      <c r="D8" s="10"/>
      <c r="E8" s="10"/>
      <c r="F8" s="10"/>
      <c r="G8" s="10"/>
      <c r="H8" s="27"/>
      <c r="I8" s="10"/>
      <c r="J8" s="10"/>
      <c r="K8" s="10"/>
      <c r="L8" s="10"/>
      <c r="M8" s="10"/>
      <c r="N8" s="27"/>
      <c r="O8" s="10"/>
      <c r="P8" s="10"/>
      <c r="Q8" s="10"/>
      <c r="R8" s="10"/>
      <c r="S8" s="14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58</v>
      </c>
      <c r="B9" s="10"/>
      <c r="C9" s="10"/>
      <c r="D9" s="10"/>
      <c r="E9" s="10"/>
      <c r="F9" s="10"/>
      <c r="G9" s="10"/>
      <c r="H9" s="27"/>
      <c r="I9" s="10"/>
      <c r="J9" s="10"/>
      <c r="K9" s="10"/>
      <c r="L9" s="10"/>
      <c r="M9" s="10"/>
      <c r="N9" s="27"/>
      <c r="O9" s="10"/>
      <c r="P9" s="10"/>
      <c r="Q9" s="10"/>
      <c r="R9" s="10"/>
      <c r="S9" s="1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97</v>
      </c>
      <c r="C10" s="28" t="n">
        <f aca="false">52751407</f>
        <v>52751407</v>
      </c>
      <c r="D10" s="29" t="n">
        <v>13627541</v>
      </c>
      <c r="E10" s="29" t="n">
        <f aca="false">-700000-200500-100000</f>
        <v>-1000500</v>
      </c>
      <c r="F10" s="29" t="n">
        <f aca="false">946610+268110.4</f>
        <v>1214720.4</v>
      </c>
      <c r="G10" s="29" t="n">
        <v>5942931</v>
      </c>
      <c r="H10" s="29" t="n">
        <v>5639430</v>
      </c>
      <c r="I10" s="29" t="n">
        <v>518483</v>
      </c>
      <c r="J10" s="29" t="n">
        <v>761820</v>
      </c>
      <c r="K10" s="29" t="n">
        <v>807720</v>
      </c>
      <c r="L10" s="29" t="n">
        <v>295000</v>
      </c>
      <c r="M10" s="29" t="n">
        <v>115737</v>
      </c>
      <c r="N10" s="29" t="n">
        <f aca="false">56819+1500000</f>
        <v>1556819</v>
      </c>
      <c r="O10" s="15" t="n">
        <v>0</v>
      </c>
      <c r="P10" s="28" t="n">
        <f aca="false">SUM(D10:O10)</f>
        <v>29479701.4</v>
      </c>
      <c r="Q10" s="15" t="n">
        <v>0</v>
      </c>
      <c r="R10" s="15" t="n">
        <f aca="false">900000-2</f>
        <v>899998</v>
      </c>
      <c r="S10" s="16" t="n">
        <f aca="false">P10+C10+Q10+R10</f>
        <v>83131106.4</v>
      </c>
      <c r="T10" s="1" t="n">
        <f aca="false">+[1]NewAlbany!BE25</f>
        <v>83131106.66</v>
      </c>
      <c r="U10" s="1" t="n">
        <f aca="false">+T10-S10</f>
        <v>0.260000005364418</v>
      </c>
    </row>
    <row r="11" customFormat="false" ht="12.75" hidden="false" customHeight="false" outlineLevel="0" collapsed="false">
      <c r="A11" s="1" t="s">
        <v>29</v>
      </c>
      <c r="C11" s="28" t="n">
        <v>7430171</v>
      </c>
      <c r="D11" s="29" t="n">
        <v>3111381</v>
      </c>
      <c r="E11" s="29" t="n">
        <v>0</v>
      </c>
      <c r="F11" s="29" t="n">
        <v>-5415746</v>
      </c>
      <c r="G11" s="29" t="n">
        <v>248257</v>
      </c>
      <c r="H11" s="29" t="n">
        <v>1334950</v>
      </c>
      <c r="I11" s="29" t="n">
        <v>92004</v>
      </c>
      <c r="J11" s="29" t="n">
        <v>13613</v>
      </c>
      <c r="K11" s="29" t="n">
        <v>20000</v>
      </c>
      <c r="L11" s="29" t="n">
        <v>1036626</v>
      </c>
      <c r="M11" s="29" t="n">
        <v>20001</v>
      </c>
      <c r="N11" s="29" t="n">
        <v>0</v>
      </c>
      <c r="O11" s="1" t="n">
        <v>0</v>
      </c>
      <c r="P11" s="28" t="n">
        <f aca="false">SUM(D11:O11)</f>
        <v>461086</v>
      </c>
      <c r="Q11" s="1" t="n">
        <v>0</v>
      </c>
      <c r="R11" s="1" t="n">
        <v>0</v>
      </c>
      <c r="S11" s="16" t="n">
        <f aca="false">P11+C11+Q11+R11</f>
        <v>7891257</v>
      </c>
      <c r="T11" s="1" t="n">
        <f aca="false">+[1]NewAlbany!BE27</f>
        <v>7891256.53</v>
      </c>
      <c r="U11" s="1" t="n">
        <f aca="false">+T11-S11</f>
        <v>-0.46999999973923</v>
      </c>
    </row>
    <row r="12" customFormat="false" ht="12.75" hidden="false" customHeight="false" outlineLevel="0" collapsed="false">
      <c r="A12" s="1" t="s">
        <v>24</v>
      </c>
      <c r="C12" s="28" t="n">
        <f aca="false">9471199-7430171</f>
        <v>2041028</v>
      </c>
      <c r="D12" s="29" t="n">
        <v>985050</v>
      </c>
      <c r="E12" s="29" t="n">
        <v>293815</v>
      </c>
      <c r="F12" s="29" t="n">
        <f aca="false">1230000+587629</f>
        <v>1817629</v>
      </c>
      <c r="G12" s="29" t="n">
        <f aca="false">168550+615000</f>
        <v>783550</v>
      </c>
      <c r="H12" s="29" t="n">
        <v>3531431</v>
      </c>
      <c r="I12" s="29" t="n">
        <v>853259</v>
      </c>
      <c r="J12" s="29" t="n">
        <v>300000</v>
      </c>
      <c r="K12" s="29" t="n">
        <v>6600</v>
      </c>
      <c r="L12" s="29" t="n">
        <v>724514</v>
      </c>
      <c r="M12" s="29" t="n">
        <v>0</v>
      </c>
      <c r="N12" s="29" t="n">
        <v>0</v>
      </c>
      <c r="O12" s="1" t="n">
        <v>0</v>
      </c>
      <c r="P12" s="28" t="n">
        <f aca="false">SUM(D12:O12)</f>
        <v>9295848</v>
      </c>
      <c r="Q12" s="1" t="n">
        <v>0</v>
      </c>
      <c r="R12" s="1" t="n">
        <v>0</v>
      </c>
      <c r="S12" s="16" t="n">
        <f aca="false">P12+C12+Q12+R12</f>
        <v>11336876</v>
      </c>
      <c r="T12" s="1" t="n">
        <f aca="false">+[1]NewAlbany!BE41</f>
        <v>11336875.91</v>
      </c>
      <c r="U12" s="1" t="n">
        <f aca="false">+T12-S12</f>
        <v>-0.0899999998509884</v>
      </c>
    </row>
    <row r="13" customFormat="false" ht="12.75" hidden="false" customHeight="false" outlineLevel="0" collapsed="false">
      <c r="A13" s="1" t="s">
        <v>25</v>
      </c>
      <c r="C13" s="28" t="n">
        <v>134978</v>
      </c>
      <c r="D13" s="29" t="n">
        <v>36683</v>
      </c>
      <c r="E13" s="29" t="n">
        <v>0</v>
      </c>
      <c r="F13" s="15" t="n">
        <v>0</v>
      </c>
      <c r="G13" s="29" t="n">
        <v>15908</v>
      </c>
      <c r="H13" s="29" t="n">
        <v>0</v>
      </c>
      <c r="I13" s="29" t="n">
        <v>541378</v>
      </c>
      <c r="J13" s="29" t="n">
        <v>174321</v>
      </c>
      <c r="K13" s="29" t="n">
        <f aca="false">66961</f>
        <v>66961</v>
      </c>
      <c r="L13" s="29" t="n">
        <v>0</v>
      </c>
      <c r="M13" s="29" t="n">
        <v>107095</v>
      </c>
      <c r="N13" s="29" t="n">
        <v>8577</v>
      </c>
      <c r="O13" s="1" t="n">
        <v>51445</v>
      </c>
      <c r="P13" s="28" t="n">
        <f aca="false">SUM(D13:O13)</f>
        <v>1002368</v>
      </c>
      <c r="Q13" s="1" t="n">
        <v>751</v>
      </c>
      <c r="R13" s="1" t="n">
        <v>61582</v>
      </c>
      <c r="S13" s="16" t="n">
        <f aca="false">P13+C13+Q13+R13</f>
        <v>1199679</v>
      </c>
      <c r="T13" s="1" t="n">
        <f aca="false">+[1]NewAlbany!BE51</f>
        <v>1199679</v>
      </c>
      <c r="U13" s="1" t="n">
        <f aca="false">+T13-S13</f>
        <v>0</v>
      </c>
    </row>
    <row r="14" customFormat="false" ht="12.75" hidden="false" customHeight="false" outlineLevel="0" collapsed="false">
      <c r="A14" s="1" t="s">
        <v>26</v>
      </c>
      <c r="C14" s="28" t="n">
        <v>270744</v>
      </c>
      <c r="D14" s="29" t="n">
        <v>392941</v>
      </c>
      <c r="E14" s="29" t="n">
        <v>674363</v>
      </c>
      <c r="F14" s="29" t="n">
        <v>1756963</v>
      </c>
      <c r="G14" s="29" t="n">
        <v>0</v>
      </c>
      <c r="H14" s="29" t="n">
        <v>4390660</v>
      </c>
      <c r="I14" s="29" t="n">
        <v>4408350</v>
      </c>
      <c r="J14" s="29" t="n">
        <v>7502651</v>
      </c>
      <c r="K14" s="29" t="n">
        <v>5239722</v>
      </c>
      <c r="L14" s="29" t="n">
        <v>3901236</v>
      </c>
      <c r="M14" s="29" t="n">
        <v>1735395</v>
      </c>
      <c r="N14" s="29" t="n">
        <v>1149530</v>
      </c>
      <c r="O14" s="1" t="n">
        <v>2109090</v>
      </c>
      <c r="P14" s="28" t="n">
        <f aca="false">SUM(D14:O14)</f>
        <v>33260901</v>
      </c>
      <c r="Q14" s="1" t="n">
        <v>0</v>
      </c>
      <c r="R14" s="1" t="n">
        <v>0</v>
      </c>
      <c r="S14" s="16" t="n">
        <f aca="false">P14+C14+Q14+R14</f>
        <v>33531645</v>
      </c>
      <c r="T14" s="1" t="n">
        <f aca="false">+[1]NewAlbany!BE141</f>
        <v>33531644.67</v>
      </c>
      <c r="U14" s="1" t="n">
        <f aca="false">+T14-S14</f>
        <v>-0.329999998211861</v>
      </c>
    </row>
    <row r="15" customFormat="false" ht="12.75" hidden="false" customHeight="false" outlineLevel="0" collapsed="false">
      <c r="A15" s="1" t="s">
        <v>27</v>
      </c>
      <c r="C15" s="28" t="n">
        <v>6111</v>
      </c>
      <c r="D15" s="29" t="n">
        <v>11487</v>
      </c>
      <c r="E15" s="29" t="n">
        <v>0</v>
      </c>
      <c r="F15" s="15" t="n">
        <v>0</v>
      </c>
      <c r="G15" s="29" t="n">
        <v>91858</v>
      </c>
      <c r="H15" s="29" t="n">
        <v>166373</v>
      </c>
      <c r="I15" s="29" t="n">
        <v>242196</v>
      </c>
      <c r="J15" s="29" t="n">
        <v>108546</v>
      </c>
      <c r="K15" s="29" t="n">
        <v>112784</v>
      </c>
      <c r="L15" s="29" t="n">
        <v>37105</v>
      </c>
      <c r="M15" s="29" t="n">
        <v>7825</v>
      </c>
      <c r="N15" s="29" t="n">
        <v>2324</v>
      </c>
      <c r="O15" s="1" t="n">
        <v>0</v>
      </c>
      <c r="P15" s="28" t="n">
        <f aca="false">SUM(D15:O15)</f>
        <v>780498</v>
      </c>
      <c r="Q15" s="1" t="n">
        <v>0</v>
      </c>
      <c r="R15" s="1" t="n">
        <v>0</v>
      </c>
      <c r="S15" s="16" t="n">
        <f aca="false">P15+C15+Q15+R15</f>
        <v>786609</v>
      </c>
      <c r="T15" s="1" t="n">
        <f aca="false">+[1]NewAlbany!BE147</f>
        <v>786608.59</v>
      </c>
      <c r="U15" s="1" t="n">
        <f aca="false">+T15-S15</f>
        <v>-0.410000000032596</v>
      </c>
    </row>
    <row r="16" customFormat="false" ht="12.75" hidden="false" customHeight="false" outlineLevel="0" collapsed="false">
      <c r="A16" s="1" t="s">
        <v>100</v>
      </c>
      <c r="C16" s="28" t="n">
        <v>0</v>
      </c>
      <c r="D16" s="29" t="n">
        <v>0</v>
      </c>
      <c r="E16" s="29" t="n">
        <v>0</v>
      </c>
      <c r="F16" s="15" t="n">
        <v>0</v>
      </c>
      <c r="G16" s="29" t="n">
        <v>0</v>
      </c>
      <c r="H16" s="29" t="n">
        <v>0</v>
      </c>
      <c r="I16" s="1" t="n">
        <v>0</v>
      </c>
      <c r="J16" s="29" t="n">
        <v>0</v>
      </c>
      <c r="K16" s="29" t="n">
        <v>39923</v>
      </c>
      <c r="L16" s="29" t="n">
        <v>689524</v>
      </c>
      <c r="M16" s="29" t="n">
        <v>18841</v>
      </c>
      <c r="N16" s="29" t="n">
        <v>0</v>
      </c>
      <c r="O16" s="1" t="n">
        <v>0</v>
      </c>
      <c r="P16" s="28" t="n">
        <f aca="false">SUM(D16:O16)</f>
        <v>748288</v>
      </c>
      <c r="Q16" s="1" t="n">
        <v>0</v>
      </c>
      <c r="R16" s="1" t="n">
        <v>0</v>
      </c>
      <c r="S16" s="16" t="n">
        <f aca="false">P16+C16+Q16+R16</f>
        <v>748288</v>
      </c>
      <c r="T16" s="1" t="n">
        <f aca="false">+[1]NewAlbany!BE149</f>
        <v>748288</v>
      </c>
      <c r="U16" s="1" t="n">
        <f aca="false">+T16-S16</f>
        <v>0</v>
      </c>
    </row>
    <row r="17" customFormat="false" ht="12.75" hidden="false" customHeight="false" outlineLevel="0" collapsed="false">
      <c r="A17" s="1" t="s">
        <v>30</v>
      </c>
      <c r="C17" s="28" t="n">
        <v>169276</v>
      </c>
      <c r="D17" s="29" t="n">
        <v>0</v>
      </c>
      <c r="E17" s="29" t="n">
        <v>0</v>
      </c>
      <c r="F17" s="15" t="n">
        <v>0</v>
      </c>
      <c r="G17" s="29" t="n">
        <v>0</v>
      </c>
      <c r="H17" s="29" t="n">
        <v>3333</v>
      </c>
      <c r="I17" s="1" t="n">
        <v>0</v>
      </c>
      <c r="J17" s="29" t="n">
        <v>0</v>
      </c>
      <c r="K17" s="29" t="n">
        <v>0</v>
      </c>
      <c r="L17" s="29" t="n">
        <v>0</v>
      </c>
      <c r="M17" s="29" t="n">
        <v>0</v>
      </c>
      <c r="N17" s="29" t="n">
        <v>0</v>
      </c>
      <c r="O17" s="1" t="n">
        <v>0</v>
      </c>
      <c r="P17" s="28" t="n">
        <f aca="false">SUM(D17:O17)</f>
        <v>3333</v>
      </c>
      <c r="Q17" s="1" t="n">
        <v>0</v>
      </c>
      <c r="R17" s="1" t="n">
        <v>0</v>
      </c>
      <c r="S17" s="16" t="n">
        <f aca="false">P17+C17+Q17+R17</f>
        <v>172609</v>
      </c>
      <c r="T17" s="1" t="n">
        <f aca="false">+[1]NewAlbany!BE153</f>
        <v>172609.34</v>
      </c>
      <c r="U17" s="1" t="n">
        <f aca="false">+T17-S17</f>
        <v>0.339999999996508</v>
      </c>
    </row>
    <row r="18" customFormat="false" ht="12.75" hidden="false" customHeight="false" outlineLevel="0" collapsed="false">
      <c r="A18" s="1" t="s">
        <v>32</v>
      </c>
      <c r="C18" s="28" t="n">
        <v>209531</v>
      </c>
      <c r="D18" s="29" t="n">
        <v>205</v>
      </c>
      <c r="E18" s="29" t="n">
        <v>12317</v>
      </c>
      <c r="F18" s="15" t="n">
        <v>0</v>
      </c>
      <c r="G18" s="29" t="n">
        <v>0</v>
      </c>
      <c r="H18" s="29" t="n">
        <v>11450</v>
      </c>
      <c r="J18" s="29" t="n">
        <v>14830</v>
      </c>
      <c r="K18" s="29" t="n">
        <v>130</v>
      </c>
      <c r="L18" s="29" t="n">
        <v>0</v>
      </c>
      <c r="M18" s="29" t="n">
        <v>106440</v>
      </c>
      <c r="N18" s="29" t="n">
        <v>0</v>
      </c>
      <c r="O18" s="1" t="n">
        <v>0</v>
      </c>
      <c r="P18" s="28" t="n">
        <f aca="false">SUM(D18:O18)</f>
        <v>145372</v>
      </c>
      <c r="Q18" s="1" t="n">
        <v>0</v>
      </c>
      <c r="R18" s="1" t="n">
        <v>0</v>
      </c>
      <c r="S18" s="16" t="n">
        <f aca="false">P18+C18+Q18+R18</f>
        <v>354903</v>
      </c>
      <c r="T18" s="1" t="n">
        <f aca="false">+[1]NewAlbany!BE157</f>
        <v>354903.46</v>
      </c>
      <c r="U18" s="1" t="n">
        <f aca="false">+T18-S18</f>
        <v>0.460000000020955</v>
      </c>
    </row>
    <row r="19" customFormat="false" ht="12.75" hidden="false" customHeight="false" outlineLevel="0" collapsed="false">
      <c r="A19" s="1" t="s">
        <v>33</v>
      </c>
      <c r="C19" s="28" t="n">
        <v>0</v>
      </c>
      <c r="D19" s="29" t="n">
        <v>0</v>
      </c>
      <c r="E19" s="29" t="n">
        <v>0</v>
      </c>
      <c r="F19" s="15" t="n">
        <v>0</v>
      </c>
      <c r="G19" s="29" t="n">
        <v>0</v>
      </c>
      <c r="H19" s="29" t="n">
        <v>0</v>
      </c>
      <c r="I19" s="1" t="n">
        <v>0</v>
      </c>
      <c r="J19" s="29" t="n">
        <v>0</v>
      </c>
      <c r="K19" s="29" t="n">
        <v>0</v>
      </c>
      <c r="L19" s="29" t="n">
        <v>0</v>
      </c>
      <c r="M19" s="29" t="n">
        <v>0</v>
      </c>
      <c r="N19" s="29" t="n">
        <v>0</v>
      </c>
      <c r="O19" s="1" t="n">
        <v>0</v>
      </c>
      <c r="P19" s="28" t="n">
        <f aca="false">SUM(D19:O19)</f>
        <v>0</v>
      </c>
      <c r="Q19" s="1" t="n">
        <v>0</v>
      </c>
      <c r="R19" s="1" t="n">
        <v>0</v>
      </c>
      <c r="S19" s="16" t="n">
        <f aca="false">P19+C19+Q19+R19</f>
        <v>0</v>
      </c>
      <c r="T19" s="1" t="n">
        <f aca="false">+[1]NewAlbany!BE159</f>
        <v>0</v>
      </c>
      <c r="U19" s="1" t="n">
        <f aca="false">+T19-S19</f>
        <v>0</v>
      </c>
    </row>
    <row r="20" customFormat="false" ht="12.75" hidden="false" customHeight="false" outlineLevel="0" collapsed="false">
      <c r="A20" s="1" t="s">
        <v>35</v>
      </c>
      <c r="C20" s="28" t="n">
        <v>0</v>
      </c>
      <c r="D20" s="29" t="n">
        <v>71060</v>
      </c>
      <c r="E20" s="29" t="n">
        <v>0</v>
      </c>
      <c r="F20" s="15" t="n">
        <v>0</v>
      </c>
      <c r="G20" s="29" t="n">
        <v>719016</v>
      </c>
      <c r="H20" s="29" t="n">
        <v>0</v>
      </c>
      <c r="I20" s="29" t="n">
        <v>644133</v>
      </c>
      <c r="J20" s="29" t="n">
        <v>169598</v>
      </c>
      <c r="K20" s="29" t="n">
        <v>185299</v>
      </c>
      <c r="L20" s="29" t="n">
        <v>72188</v>
      </c>
      <c r="M20" s="29" t="n">
        <v>12905</v>
      </c>
      <c r="N20" s="29" t="n">
        <v>156684</v>
      </c>
      <c r="O20" s="1" t="n">
        <v>5257</v>
      </c>
      <c r="P20" s="28" t="n">
        <f aca="false">SUM(D20:O20)</f>
        <v>2036140</v>
      </c>
      <c r="Q20" s="1" t="n">
        <v>0</v>
      </c>
      <c r="R20" s="1" t="n">
        <v>114667</v>
      </c>
      <c r="S20" s="16" t="n">
        <f aca="false">P20+C20+Q20+R20</f>
        <v>2150807</v>
      </c>
      <c r="T20" s="1" t="n">
        <f aca="false">+[1]NewAlbany!BE166</f>
        <v>2150806.664</v>
      </c>
      <c r="U20" s="1" t="n">
        <f aca="false">+T20-S20</f>
        <v>-0.33600000012666</v>
      </c>
    </row>
    <row r="21" customFormat="false" ht="12.75" hidden="false" customHeight="false" outlineLevel="0" collapsed="false">
      <c r="A21" s="1" t="s">
        <v>36</v>
      </c>
      <c r="C21" s="28" t="n">
        <v>0</v>
      </c>
      <c r="D21" s="29" t="n">
        <v>0</v>
      </c>
      <c r="E21" s="29" t="n">
        <v>0</v>
      </c>
      <c r="F21" s="15" t="n">
        <v>0</v>
      </c>
      <c r="G21" s="29" t="n">
        <v>50000</v>
      </c>
      <c r="H21" s="29" t="n">
        <v>54684</v>
      </c>
      <c r="I21" s="29" t="n">
        <v>131581</v>
      </c>
      <c r="J21" s="29" t="n">
        <v>138751</v>
      </c>
      <c r="K21" s="29" t="n">
        <v>0</v>
      </c>
      <c r="L21" s="29" t="n">
        <v>0</v>
      </c>
      <c r="M21" s="29" t="n">
        <v>0</v>
      </c>
      <c r="N21" s="29" t="n">
        <v>0</v>
      </c>
      <c r="O21" s="1" t="n">
        <v>0</v>
      </c>
      <c r="P21" s="28" t="n">
        <f aca="false">SUM(D21:O21)</f>
        <v>375016</v>
      </c>
      <c r="Q21" s="1" t="n">
        <v>0</v>
      </c>
      <c r="R21" s="1" t="n">
        <v>0</v>
      </c>
      <c r="S21" s="16" t="n">
        <f aca="false">P21+C21+Q21+R21</f>
        <v>375016</v>
      </c>
      <c r="T21" s="1" t="n">
        <f aca="false">+[1]NewAlbany!BE217</f>
        <v>375015.74</v>
      </c>
      <c r="U21" s="1" t="n">
        <f aca="false">+T21-S21</f>
        <v>-0.260000000009313</v>
      </c>
    </row>
    <row r="22" customFormat="false" ht="12.75" hidden="false" customHeight="false" outlineLevel="0" collapsed="false">
      <c r="A22" s="1" t="s">
        <v>37</v>
      </c>
      <c r="C22" s="28" t="n">
        <v>162185.68</v>
      </c>
      <c r="D22" s="29" t="n">
        <v>64952</v>
      </c>
      <c r="E22" s="29" t="n">
        <v>4730</v>
      </c>
      <c r="F22" s="15" t="n">
        <v>0</v>
      </c>
      <c r="G22" s="29" t="n">
        <v>0</v>
      </c>
      <c r="H22" s="29" t="n">
        <v>0</v>
      </c>
      <c r="I22" s="1" t="n">
        <v>0</v>
      </c>
      <c r="J22" s="29" t="n">
        <v>85968</v>
      </c>
      <c r="K22" s="29" t="n">
        <v>0</v>
      </c>
      <c r="L22" s="29" t="n">
        <v>0</v>
      </c>
      <c r="M22" s="29" t="n">
        <v>0</v>
      </c>
      <c r="N22" s="29" t="n">
        <v>0</v>
      </c>
      <c r="O22" s="1" t="n">
        <v>0</v>
      </c>
      <c r="P22" s="28" t="n">
        <f aca="false">SUM(D22:O22)</f>
        <v>155650</v>
      </c>
      <c r="Q22" s="1" t="n">
        <v>0</v>
      </c>
      <c r="R22" s="1" t="n">
        <v>-217836</v>
      </c>
      <c r="S22" s="16" t="n">
        <f aca="false">P22+C22+Q22+R22</f>
        <v>99999.68</v>
      </c>
      <c r="T22" s="1" t="n">
        <f aca="false">+[1]NewAlbany!BE168</f>
        <v>100000</v>
      </c>
      <c r="U22" s="1" t="n">
        <f aca="false">+T22-S22</f>
        <v>0.320000000006985</v>
      </c>
    </row>
    <row r="23" customFormat="false" ht="12.75" hidden="false" customHeight="false" outlineLevel="0" collapsed="false">
      <c r="A23" s="1" t="s">
        <v>70</v>
      </c>
      <c r="C23" s="28" t="n">
        <v>63535</v>
      </c>
      <c r="D23" s="29" t="n">
        <v>0</v>
      </c>
      <c r="E23" s="29" t="n">
        <v>0</v>
      </c>
      <c r="F23" s="15" t="n">
        <v>0</v>
      </c>
      <c r="G23" s="29" t="n">
        <v>-826</v>
      </c>
      <c r="H23" s="29" t="n">
        <v>0</v>
      </c>
      <c r="I23" s="1" t="n">
        <v>0</v>
      </c>
      <c r="J23" s="1" t="n">
        <v>0</v>
      </c>
      <c r="K23" s="29" t="n">
        <v>0</v>
      </c>
      <c r="L23" s="29" t="n">
        <v>0</v>
      </c>
      <c r="M23" s="29" t="n">
        <v>0</v>
      </c>
      <c r="N23" s="29" t="n">
        <v>0</v>
      </c>
      <c r="O23" s="1" t="n">
        <v>0</v>
      </c>
      <c r="P23" s="28" t="n">
        <f aca="false">SUM(D23:O23)</f>
        <v>-826</v>
      </c>
      <c r="Q23" s="1" t="n">
        <v>0</v>
      </c>
      <c r="R23" s="1" t="n">
        <v>0</v>
      </c>
      <c r="S23" s="16" t="n">
        <f aca="false">P23+C23+Q23+R23</f>
        <v>62709</v>
      </c>
      <c r="T23" s="1" t="n">
        <f aca="false">+[1]NewAlbany!BE191</f>
        <v>62709.15</v>
      </c>
      <c r="U23" s="1" t="n">
        <f aca="false">+T23-S23</f>
        <v>0.150000000001455</v>
      </c>
    </row>
    <row r="24" customFormat="false" ht="12.75" hidden="false" customHeight="false" outlineLevel="0" collapsed="false">
      <c r="A24" s="1" t="s">
        <v>38</v>
      </c>
      <c r="C24" s="28" t="n">
        <v>0</v>
      </c>
      <c r="D24" s="29" t="n">
        <v>0</v>
      </c>
      <c r="E24" s="29" t="n">
        <v>0</v>
      </c>
      <c r="F24" s="29" t="n">
        <v>201497</v>
      </c>
      <c r="G24" s="29" t="n">
        <v>0</v>
      </c>
      <c r="H24" s="29" t="n">
        <v>22112</v>
      </c>
      <c r="I24" s="1" t="n">
        <v>0</v>
      </c>
      <c r="J24" s="1" t="n">
        <v>0</v>
      </c>
      <c r="K24" s="29" t="n">
        <v>0</v>
      </c>
      <c r="L24" s="29" t="n">
        <v>67030</v>
      </c>
      <c r="M24" s="29" t="n">
        <v>0</v>
      </c>
      <c r="N24" s="29" t="n">
        <v>0</v>
      </c>
      <c r="O24" s="1" t="n">
        <v>0</v>
      </c>
      <c r="P24" s="28" t="n">
        <f aca="false">SUM(D24:O24)</f>
        <v>290639</v>
      </c>
      <c r="Q24" s="1" t="n">
        <v>0</v>
      </c>
      <c r="R24" s="1" t="n">
        <v>35888</v>
      </c>
      <c r="S24" s="16" t="n">
        <f aca="false">P24+C24+Q24+R24</f>
        <v>326527</v>
      </c>
      <c r="T24" s="1" t="n">
        <f aca="false">+[1]NewAlbany!BE170</f>
        <v>326527</v>
      </c>
      <c r="U24" s="1" t="n">
        <f aca="false">+T24-S24</f>
        <v>0</v>
      </c>
    </row>
    <row r="25" customFormat="false" ht="12.75" hidden="false" customHeight="false" outlineLevel="0" collapsed="false">
      <c r="A25" s="1" t="s">
        <v>39</v>
      </c>
      <c r="C25" s="28" t="n">
        <v>0</v>
      </c>
      <c r="D25" s="29" t="n">
        <v>0</v>
      </c>
      <c r="E25" s="29" t="n">
        <v>11127</v>
      </c>
      <c r="F25" s="15" t="n">
        <v>0</v>
      </c>
      <c r="G25" s="29" t="n">
        <v>3775</v>
      </c>
      <c r="H25" s="29" t="n">
        <v>29108</v>
      </c>
      <c r="I25" s="29" t="n">
        <f aca="false">13553+1</f>
        <v>13554</v>
      </c>
      <c r="J25" s="29" t="n">
        <f aca="false">6061-1</f>
        <v>6060</v>
      </c>
      <c r="K25" s="29" t="n">
        <v>0</v>
      </c>
      <c r="L25" s="29" t="n">
        <v>0</v>
      </c>
      <c r="M25" s="29" t="n">
        <v>0</v>
      </c>
      <c r="N25" s="29" t="n">
        <v>0</v>
      </c>
      <c r="O25" s="1" t="n">
        <v>0</v>
      </c>
      <c r="P25" s="28" t="n">
        <f aca="false">SUM(D25:O25)</f>
        <v>63624</v>
      </c>
      <c r="Q25" s="1" t="n">
        <v>0</v>
      </c>
      <c r="R25" s="1" t="n">
        <v>0</v>
      </c>
      <c r="S25" s="16" t="n">
        <f aca="false">P25+C25+Q25+R25</f>
        <v>63624</v>
      </c>
      <c r="T25" s="1" t="n">
        <f aca="false">+[1]NewAlbany!BE172</f>
        <v>63623.9</v>
      </c>
      <c r="U25" s="1" t="n">
        <f aca="false">+T25-S25</f>
        <v>-0.0999999999985448</v>
      </c>
    </row>
    <row r="26" customFormat="false" ht="12.75" hidden="false" customHeight="false" outlineLevel="0" collapsed="false">
      <c r="A26" s="1" t="s">
        <v>40</v>
      </c>
      <c r="C26" s="28" t="n">
        <v>186836</v>
      </c>
      <c r="D26" s="29" t="n">
        <v>29347</v>
      </c>
      <c r="E26" s="29" t="n">
        <f aca="false">3334+1465-1</f>
        <v>4798</v>
      </c>
      <c r="F26" s="29" t="n">
        <v>-13959</v>
      </c>
      <c r="G26" s="29" t="n">
        <f aca="false">5323+1</f>
        <v>5324</v>
      </c>
      <c r="H26" s="29" t="n">
        <v>148591</v>
      </c>
      <c r="I26" s="29" t="n">
        <v>42813</v>
      </c>
      <c r="J26" s="29" t="n">
        <v>89041</v>
      </c>
      <c r="K26" s="29" t="n">
        <v>78710</v>
      </c>
      <c r="L26" s="29" t="n">
        <v>55226</v>
      </c>
      <c r="M26" s="29" t="n">
        <f aca="false">3979+4115</f>
        <v>8094</v>
      </c>
      <c r="N26" s="29" t="n">
        <v>3361</v>
      </c>
      <c r="O26" s="1" t="n">
        <v>0</v>
      </c>
      <c r="P26" s="28" t="n">
        <f aca="false">SUM(D26:O26)</f>
        <v>451346</v>
      </c>
      <c r="Q26" s="1" t="n">
        <v>0</v>
      </c>
      <c r="R26" s="1" t="n">
        <v>0</v>
      </c>
      <c r="S26" s="16" t="n">
        <f aca="false">P26+C26+Q26+R26</f>
        <v>638182</v>
      </c>
      <c r="T26" s="1" t="n">
        <f aca="false">+[1]NewAlbany!BE205</f>
        <v>638181.85</v>
      </c>
      <c r="U26" s="1" t="n">
        <f aca="false">+T26-S26</f>
        <v>-0.150000000139698</v>
      </c>
    </row>
    <row r="27" customFormat="false" ht="12.75" hidden="false" customHeight="false" outlineLevel="0" collapsed="false">
      <c r="A27" s="1" t="s">
        <v>41</v>
      </c>
      <c r="C27" s="28" t="n">
        <v>112431</v>
      </c>
      <c r="D27" s="29" t="n">
        <v>5498</v>
      </c>
      <c r="E27" s="29" t="n">
        <v>133167</v>
      </c>
      <c r="F27" s="15" t="n">
        <v>0</v>
      </c>
      <c r="G27" s="29" t="n">
        <v>0</v>
      </c>
      <c r="H27" s="29" t="n">
        <v>190115</v>
      </c>
      <c r="I27" s="1" t="n">
        <f aca="false">111151-111151</f>
        <v>0</v>
      </c>
      <c r="J27" s="29" t="n">
        <v>54871</v>
      </c>
      <c r="K27" s="29" t="n">
        <v>0</v>
      </c>
      <c r="L27" s="29" t="n">
        <f aca="false">5095+3575+23047+2014</f>
        <v>33731</v>
      </c>
      <c r="M27" s="29" t="n">
        <f aca="false">533+2441</f>
        <v>2974</v>
      </c>
      <c r="N27" s="29" t="n">
        <v>6180</v>
      </c>
      <c r="O27" s="1" t="n">
        <v>252208</v>
      </c>
      <c r="P27" s="28" t="n">
        <f aca="false">SUM(D27:O27)</f>
        <v>678744</v>
      </c>
      <c r="Q27" s="1" t="n">
        <v>49464</v>
      </c>
      <c r="R27" s="1" t="n">
        <v>0</v>
      </c>
      <c r="S27" s="16" t="n">
        <f aca="false">P27+C27+Q27+R27</f>
        <v>840639</v>
      </c>
      <c r="T27" s="1" t="n">
        <f aca="false">+[1]NewAlbany!BE215</f>
        <v>840638.84</v>
      </c>
      <c r="U27" s="1" t="n">
        <f aca="false">+T27-S27</f>
        <v>-0.160000000032596</v>
      </c>
    </row>
    <row r="28" customFormat="false" ht="12.75" hidden="false" customHeight="false" outlineLevel="0" collapsed="false">
      <c r="A28" s="1" t="s">
        <v>80</v>
      </c>
      <c r="C28" s="28" t="n">
        <v>0</v>
      </c>
      <c r="D28" s="29" t="n">
        <v>0</v>
      </c>
      <c r="E28" s="29" t="n">
        <v>0</v>
      </c>
      <c r="F28" s="15" t="n">
        <v>0</v>
      </c>
      <c r="G28" s="29" t="n">
        <v>0</v>
      </c>
      <c r="H28" s="29" t="n">
        <v>0</v>
      </c>
      <c r="I28" s="1" t="n">
        <v>0</v>
      </c>
      <c r="L28" s="29" t="n">
        <v>0</v>
      </c>
      <c r="M28" s="29" t="n">
        <v>0</v>
      </c>
      <c r="N28" s="29" t="n">
        <v>0</v>
      </c>
      <c r="O28" s="1" t="n">
        <v>0</v>
      </c>
      <c r="P28" s="28" t="n">
        <f aca="false">SUM(D28:O28)</f>
        <v>0</v>
      </c>
      <c r="Q28" s="1" t="n">
        <v>0</v>
      </c>
      <c r="R28" s="1" t="n">
        <v>0</v>
      </c>
      <c r="S28" s="16" t="n">
        <f aca="false">P28+C28+Q28+R28</f>
        <v>0</v>
      </c>
    </row>
    <row r="29" customFormat="false" ht="12.75" hidden="false" customHeight="false" outlineLevel="0" collapsed="false">
      <c r="A29" s="1" t="s">
        <v>42</v>
      </c>
      <c r="C29" s="30" t="n">
        <f aca="false">SUM(C10:C28)</f>
        <v>63538233.68</v>
      </c>
      <c r="D29" s="30" t="n">
        <f aca="false">SUM(D10:D28)</f>
        <v>18336145</v>
      </c>
      <c r="E29" s="30" t="n">
        <f aca="false">SUM(E10:E28)</f>
        <v>133817</v>
      </c>
      <c r="F29" s="30" t="n">
        <f aca="false">SUM(F10:F28)</f>
        <v>-438895.6</v>
      </c>
      <c r="G29" s="30" t="n">
        <f aca="false">SUM(G10:G28)</f>
        <v>7859793</v>
      </c>
      <c r="H29" s="30" t="n">
        <f aca="false">SUM(H10:H28)</f>
        <v>15522237</v>
      </c>
      <c r="I29" s="30" t="n">
        <f aca="false">SUM(I10:I28)</f>
        <v>7487751</v>
      </c>
      <c r="J29" s="30" t="n">
        <f aca="false">SUM(J10:J28)</f>
        <v>9420070</v>
      </c>
      <c r="K29" s="30" t="n">
        <f aca="false">SUM(K10:K28)</f>
        <v>6557849</v>
      </c>
      <c r="L29" s="30" t="n">
        <f aca="false">SUM(L10:L28)</f>
        <v>6912180</v>
      </c>
      <c r="M29" s="30" t="n">
        <f aca="false">SUM(M10:M28)</f>
        <v>2135307</v>
      </c>
      <c r="N29" s="30" t="n">
        <f aca="false">SUM(N10:N28)</f>
        <v>2883475</v>
      </c>
      <c r="O29" s="18" t="n">
        <f aca="false">SUM(O10:O28)</f>
        <v>2418000</v>
      </c>
      <c r="P29" s="30" t="n">
        <f aca="false">SUM(P10:P28)</f>
        <v>79227728.4</v>
      </c>
      <c r="Q29" s="18" t="n">
        <f aca="false">SUM(Q10:Q28)</f>
        <v>50215</v>
      </c>
      <c r="R29" s="18" t="n">
        <f aca="false">SUM(R10:R28)</f>
        <v>894299</v>
      </c>
      <c r="S29" s="19" t="n">
        <f aca="false">SUM(S10:S28)</f>
        <v>143710476.08</v>
      </c>
    </row>
    <row r="30" customFormat="false" ht="12.75" hidden="false" customHeight="false" outlineLevel="0" collapsed="false">
      <c r="A30" s="1" t="s">
        <v>43</v>
      </c>
      <c r="C30" s="30" t="n">
        <f aca="false">+C29</f>
        <v>63538233.68</v>
      </c>
      <c r="D30" s="30" t="n">
        <f aca="false">+C30+D29</f>
        <v>81874378.68</v>
      </c>
      <c r="E30" s="30" t="n">
        <f aca="false">+D30+E29</f>
        <v>82008195.68</v>
      </c>
      <c r="F30" s="30" t="n">
        <f aca="false">+E30+F29</f>
        <v>81569300.08</v>
      </c>
      <c r="G30" s="30" t="n">
        <f aca="false">+F30+G29</f>
        <v>89429093.08</v>
      </c>
      <c r="H30" s="30" t="n">
        <f aca="false">+G30+H29</f>
        <v>104951330.08</v>
      </c>
      <c r="I30" s="30" t="n">
        <f aca="false">+H30+I29</f>
        <v>112439081.08</v>
      </c>
      <c r="J30" s="30" t="n">
        <f aca="false">+I30+J29</f>
        <v>121859151.08</v>
      </c>
      <c r="K30" s="30" t="n">
        <f aca="false">+J30+K29</f>
        <v>128417000.08</v>
      </c>
      <c r="L30" s="30" t="n">
        <f aca="false">+K30+L29</f>
        <v>135329180.08</v>
      </c>
      <c r="M30" s="30" t="n">
        <f aca="false">+L30+M29</f>
        <v>137464487.08</v>
      </c>
      <c r="N30" s="30" t="n">
        <f aca="false">+M30+N29</f>
        <v>140347962.08</v>
      </c>
      <c r="O30" s="18" t="n">
        <f aca="false">+N30+O29</f>
        <v>142765962.08</v>
      </c>
      <c r="P30" s="30" t="n">
        <f aca="false">O30</f>
        <v>142765962.08</v>
      </c>
      <c r="Q30" s="18" t="n">
        <f aca="false">+O30+Q29</f>
        <v>142816177.08</v>
      </c>
      <c r="R30" s="18" t="n">
        <f aca="false">+Q30+R29</f>
        <v>143710476.08</v>
      </c>
      <c r="S30" s="20"/>
    </row>
    <row r="31" customFormat="false" ht="12.75" hidden="false" customHeight="false" outlineLevel="0" collapsed="false">
      <c r="A31" s="1" t="s">
        <v>44</v>
      </c>
      <c r="C31" s="28"/>
      <c r="D31" s="29"/>
      <c r="E31" s="29"/>
      <c r="F31" s="15"/>
      <c r="G31" s="29"/>
      <c r="H31" s="29"/>
      <c r="I31" s="29"/>
      <c r="J31" s="29"/>
      <c r="K31" s="29"/>
      <c r="L31" s="29"/>
      <c r="M31" s="29"/>
      <c r="N31" s="29"/>
      <c r="P31" s="28"/>
      <c r="S31" s="21" t="n">
        <f aca="false">+S29/C59/1000</f>
        <v>371.344899431525</v>
      </c>
    </row>
    <row r="32" customFormat="false" ht="12.75" hidden="false" customHeight="false" outlineLevel="0" collapsed="false">
      <c r="C32" s="28"/>
      <c r="D32" s="29"/>
      <c r="E32" s="29"/>
      <c r="F32" s="15"/>
      <c r="G32" s="29"/>
      <c r="H32" s="29"/>
      <c r="I32" s="29"/>
      <c r="J32" s="29"/>
      <c r="K32" s="29"/>
      <c r="L32" s="29"/>
      <c r="M32" s="29"/>
      <c r="N32" s="29"/>
      <c r="P32" s="28"/>
      <c r="S32" s="16"/>
    </row>
    <row r="33" customFormat="false" ht="12.75" hidden="false" customHeight="false" outlineLevel="0" collapsed="false">
      <c r="A33" s="1" t="s">
        <v>45</v>
      </c>
      <c r="C33" s="29" t="n">
        <f aca="false">913875+384382+63984</f>
        <v>1362241</v>
      </c>
      <c r="D33" s="29" t="n">
        <f aca="false">40682+395397-1</f>
        <v>436078</v>
      </c>
      <c r="E33" s="29" t="n">
        <f aca="false">SUM($C49:D49)*E57/360*30</f>
        <v>434033.217568992</v>
      </c>
      <c r="F33" s="29" t="n">
        <f aca="false">SUM($C49:E49)*F57/360*28</f>
        <v>422737.699601793</v>
      </c>
      <c r="G33" s="29" t="n">
        <f aca="false">SUM($C49:F49)*G57/360*33</f>
        <v>505583.135569298</v>
      </c>
      <c r="H33" s="29" t="n">
        <v>264883</v>
      </c>
      <c r="I33" s="29" t="n">
        <v>738348</v>
      </c>
      <c r="J33" s="29" t="n">
        <f aca="false">659904+0.5</f>
        <v>659904.5</v>
      </c>
      <c r="K33" s="29" t="n">
        <v>-659904</v>
      </c>
      <c r="L33" s="29"/>
      <c r="M33" s="29"/>
      <c r="N33" s="29"/>
      <c r="O33" s="15"/>
      <c r="P33" s="28" t="n">
        <f aca="false">SUM(D33:O33)</f>
        <v>2801663.55274008</v>
      </c>
      <c r="Q33" s="1" t="n">
        <v>0</v>
      </c>
      <c r="R33" s="1" t="n">
        <v>0</v>
      </c>
      <c r="S33" s="16" t="n">
        <f aca="false">P33+C33+Q33+R33</f>
        <v>4163904.55274008</v>
      </c>
      <c r="T33" s="1" t="n">
        <f aca="false">+[1]NewAlbany!BE174</f>
        <v>4163904.83</v>
      </c>
      <c r="U33" s="1" t="n">
        <f aca="false">+T33-S33</f>
        <v>0.277259917464107</v>
      </c>
    </row>
    <row r="34" customFormat="false" ht="12.75" hidden="false" customHeight="false" outlineLevel="0" collapsed="false">
      <c r="A34" s="1" t="s">
        <v>81</v>
      </c>
      <c r="C34" s="29"/>
      <c r="D34" s="29"/>
      <c r="E34" s="29"/>
      <c r="F34" s="29" t="n">
        <v>-94899</v>
      </c>
      <c r="G34" s="29" t="n">
        <v>-64384</v>
      </c>
      <c r="H34" s="29"/>
      <c r="I34" s="29"/>
      <c r="J34" s="29"/>
      <c r="K34" s="29"/>
      <c r="L34" s="29"/>
      <c r="M34" s="29"/>
      <c r="N34" s="29"/>
      <c r="P34" s="28" t="n">
        <f aca="false">SUM(D34:O34)</f>
        <v>-159283</v>
      </c>
      <c r="S34" s="16" t="n">
        <f aca="false">P34+C34+Q34+R34</f>
        <v>-159283</v>
      </c>
      <c r="T34" s="1" t="n">
        <f aca="false">+[1]NewAlbany!BE175</f>
        <v>-159283</v>
      </c>
      <c r="U34" s="1" t="n">
        <f aca="false">+T34-S34</f>
        <v>0</v>
      </c>
    </row>
    <row r="35" customFormat="false" ht="12.75" hidden="false" customHeight="false" outlineLevel="0" collapsed="false">
      <c r="A35" s="1" t="s">
        <v>82</v>
      </c>
      <c r="C35" s="29" t="n">
        <v>0</v>
      </c>
      <c r="D35" s="29" t="n">
        <v>7392.72975</v>
      </c>
      <c r="E35" s="29" t="n">
        <v>4682.376125</v>
      </c>
      <c r="F35" s="29" t="n">
        <v>4180.83075</v>
      </c>
      <c r="G35" s="29" t="n">
        <v>4002</v>
      </c>
      <c r="H35" s="29" t="n">
        <v>3814</v>
      </c>
      <c r="I35" s="29"/>
      <c r="J35" s="29"/>
      <c r="K35" s="29"/>
      <c r="L35" s="29" t="n">
        <v>0</v>
      </c>
      <c r="M35" s="29"/>
      <c r="N35" s="29" t="n">
        <v>0</v>
      </c>
      <c r="O35" s="15" t="n">
        <v>0</v>
      </c>
      <c r="P35" s="28" t="n">
        <f aca="false">SUM(D35:O35)</f>
        <v>24071.936625</v>
      </c>
      <c r="Q35" s="15" t="n">
        <v>0</v>
      </c>
      <c r="R35" s="15" t="n">
        <v>0</v>
      </c>
      <c r="S35" s="16" t="n">
        <f aca="false">P35+C35+Q35+R35</f>
        <v>24071.936625</v>
      </c>
      <c r="T35" s="1" t="n">
        <f aca="false">+[1]NewAlbany!BE176</f>
        <v>24072.18</v>
      </c>
      <c r="U35" s="1" t="n">
        <f aca="false">+T35-S35</f>
        <v>0.243375000001834</v>
      </c>
    </row>
    <row r="36" customFormat="false" ht="12.75" hidden="false" customHeight="false" outlineLevel="0" collapsed="false">
      <c r="A36" s="1" t="s">
        <v>46</v>
      </c>
      <c r="C36" s="29" t="n">
        <v>68386</v>
      </c>
      <c r="D36" s="29" t="n">
        <v>811038</v>
      </c>
      <c r="E36" s="29" t="n">
        <v>0</v>
      </c>
      <c r="F36" s="29" t="n">
        <v>0</v>
      </c>
      <c r="G36" s="29" t="n">
        <v>0</v>
      </c>
      <c r="H36" s="29" t="n">
        <v>83333</v>
      </c>
      <c r="I36" s="29" t="n">
        <v>0</v>
      </c>
      <c r="J36" s="29" t="n">
        <v>0</v>
      </c>
      <c r="K36" s="29" t="n">
        <v>0</v>
      </c>
      <c r="L36" s="29" t="n">
        <v>0</v>
      </c>
      <c r="M36" s="29" t="n">
        <v>0</v>
      </c>
      <c r="N36" s="29" t="n">
        <v>83333</v>
      </c>
      <c r="O36" s="1" t="n">
        <f aca="false">107680-41667</f>
        <v>66013</v>
      </c>
      <c r="P36" s="28" t="n">
        <f aca="false">SUM(D36:O36)</f>
        <v>1043717</v>
      </c>
      <c r="Q36" s="15" t="n">
        <v>0</v>
      </c>
      <c r="R36" s="15" t="n">
        <v>0</v>
      </c>
      <c r="S36" s="16" t="n">
        <f aca="false">P36+C36+Q36+R36</f>
        <v>1112103</v>
      </c>
      <c r="T36" s="1" t="n">
        <f aca="false">+[1]NewAlbany!BE189</f>
        <v>1112102.70333333</v>
      </c>
      <c r="U36" s="1" t="n">
        <f aca="false">+T36-S36</f>
        <v>-0.296666666632518</v>
      </c>
    </row>
    <row r="37" customFormat="false" ht="12.75" hidden="false" customHeight="false" outlineLevel="0" collapsed="false">
      <c r="A37" s="1" t="s">
        <v>101</v>
      </c>
      <c r="C37" s="29" t="n">
        <v>0</v>
      </c>
      <c r="D37" s="29"/>
      <c r="E37" s="29"/>
      <c r="F37" s="29"/>
      <c r="G37" s="29" t="n">
        <v>2666</v>
      </c>
      <c r="H37" s="29" t="n">
        <v>-18334</v>
      </c>
      <c r="I37" s="29"/>
      <c r="J37" s="29" t="n">
        <v>0</v>
      </c>
      <c r="K37" s="29" t="n">
        <v>0</v>
      </c>
      <c r="L37" s="29"/>
      <c r="M37" s="29"/>
      <c r="N37" s="29"/>
      <c r="P37" s="28" t="n">
        <f aca="false">SUM(D37:O37)</f>
        <v>-15668</v>
      </c>
      <c r="Q37" s="1" t="n">
        <v>0</v>
      </c>
      <c r="R37" s="1" t="n">
        <v>0</v>
      </c>
      <c r="S37" s="16" t="n">
        <f aca="false">P37+C37+Q37+R37</f>
        <v>-15668</v>
      </c>
      <c r="T37" s="1" t="n">
        <f aca="false">+[1]NewAlbany!BE177</f>
        <v>-15668</v>
      </c>
      <c r="U37" s="1" t="n">
        <f aca="false">+T37-S37</f>
        <v>0</v>
      </c>
    </row>
    <row r="38" customFormat="false" ht="12.75" hidden="false" customHeight="false" outlineLevel="0" collapsed="false">
      <c r="A38" s="1" t="s">
        <v>84</v>
      </c>
      <c r="C38" s="28" t="n">
        <v>0</v>
      </c>
      <c r="D38" s="29" t="n">
        <v>0</v>
      </c>
      <c r="E38" s="29" t="n">
        <v>0</v>
      </c>
      <c r="F38" s="29" t="n">
        <v>0</v>
      </c>
      <c r="G38" s="29" t="n">
        <v>0</v>
      </c>
      <c r="H38" s="29" t="n">
        <v>0</v>
      </c>
      <c r="I38" s="29" t="n">
        <v>0</v>
      </c>
      <c r="J38" s="29" t="n">
        <v>0</v>
      </c>
      <c r="K38" s="29" t="n">
        <v>0</v>
      </c>
      <c r="L38" s="29" t="n">
        <v>0</v>
      </c>
      <c r="M38" s="29" t="n">
        <v>0</v>
      </c>
      <c r="N38" s="29" t="n">
        <v>0</v>
      </c>
      <c r="O38" s="1" t="n">
        <v>0</v>
      </c>
      <c r="P38" s="28" t="n">
        <f aca="false">SUM(D38:O38)</f>
        <v>0</v>
      </c>
      <c r="Q38" s="1" t="n">
        <v>0</v>
      </c>
      <c r="R38" s="1" t="n">
        <v>0</v>
      </c>
      <c r="S38" s="16" t="n">
        <f aca="false">P38+C38+Q38+R38</f>
        <v>0</v>
      </c>
    </row>
    <row r="39" customFormat="false" ht="12.75" hidden="false" customHeight="false" outlineLevel="0" collapsed="false">
      <c r="A39" s="1" t="s">
        <v>49</v>
      </c>
      <c r="C39" s="30" t="n">
        <f aca="false">SUM(C33:C38)</f>
        <v>1430627</v>
      </c>
      <c r="D39" s="30" t="n">
        <f aca="false">SUM(D33:D38)</f>
        <v>1254508.72975</v>
      </c>
      <c r="E39" s="30" t="n">
        <f aca="false">SUM(E33:E38)</f>
        <v>438715.593693992</v>
      </c>
      <c r="F39" s="30" t="n">
        <f aca="false">SUM(F33:F38)</f>
        <v>332019.530351793</v>
      </c>
      <c r="G39" s="30" t="n">
        <f aca="false">SUM(G33:G38)</f>
        <v>447867.135569298</v>
      </c>
      <c r="H39" s="30" t="n">
        <f aca="false">SUM(H33:H38)</f>
        <v>333696</v>
      </c>
      <c r="I39" s="30" t="n">
        <f aca="false">SUM(I33:I38)</f>
        <v>738348</v>
      </c>
      <c r="J39" s="30" t="n">
        <f aca="false">SUM(J33:J38)</f>
        <v>659904.5</v>
      </c>
      <c r="K39" s="30" t="n">
        <f aca="false">SUM(K33:K38)</f>
        <v>-659904</v>
      </c>
      <c r="L39" s="30" t="n">
        <f aca="false">SUM(L33:L38)</f>
        <v>0</v>
      </c>
      <c r="M39" s="30" t="n">
        <f aca="false">SUM(M33:M38)</f>
        <v>0</v>
      </c>
      <c r="N39" s="30" t="n">
        <f aca="false">SUM(N33:N38)</f>
        <v>83333</v>
      </c>
      <c r="O39" s="18" t="n">
        <f aca="false">SUM(O33:O38)</f>
        <v>66013</v>
      </c>
      <c r="P39" s="30" t="n">
        <f aca="false">SUM(P33:P38)</f>
        <v>3694501.48936508</v>
      </c>
      <c r="Q39" s="18" t="n">
        <f aca="false">SUM(Q33:Q38)</f>
        <v>0</v>
      </c>
      <c r="R39" s="18" t="n">
        <f aca="false">SUM(R33:R38)</f>
        <v>0</v>
      </c>
      <c r="S39" s="19" t="n">
        <f aca="false">SUM(S33:S38)</f>
        <v>5125128.48936508</v>
      </c>
    </row>
    <row r="40" customFormat="false" ht="12.75" hidden="false" customHeight="false" outlineLevel="0" collapsed="false">
      <c r="A40" s="1" t="s">
        <v>50</v>
      </c>
      <c r="C40" s="30" t="n">
        <f aca="false">+C39</f>
        <v>1430627</v>
      </c>
      <c r="D40" s="30" t="n">
        <f aca="false">+D39+C40</f>
        <v>2685135.72975</v>
      </c>
      <c r="E40" s="30" t="n">
        <f aca="false">+E39+D40</f>
        <v>3123851.32344399</v>
      </c>
      <c r="F40" s="30" t="n">
        <f aca="false">+F39+E40</f>
        <v>3455870.85379579</v>
      </c>
      <c r="G40" s="30" t="n">
        <f aca="false">+G39+F40</f>
        <v>3903737.98936508</v>
      </c>
      <c r="H40" s="30" t="n">
        <f aca="false">+H39+G40</f>
        <v>4237433.98936508</v>
      </c>
      <c r="I40" s="30" t="n">
        <f aca="false">+I39+H40</f>
        <v>4975781.98936508</v>
      </c>
      <c r="J40" s="30" t="n">
        <f aca="false">+J39+I40</f>
        <v>5635686.48936508</v>
      </c>
      <c r="K40" s="30" t="n">
        <f aca="false">+K39+J40</f>
        <v>4975782.48936508</v>
      </c>
      <c r="L40" s="30" t="n">
        <f aca="false">+L39+K40</f>
        <v>4975782.48936508</v>
      </c>
      <c r="M40" s="30" t="n">
        <f aca="false">+M39+L40</f>
        <v>4975782.48936508</v>
      </c>
      <c r="N40" s="30" t="n">
        <f aca="false">+N39+M40</f>
        <v>5059115.48936508</v>
      </c>
      <c r="O40" s="18" t="n">
        <f aca="false">+O39+N40</f>
        <v>5125128.48936508</v>
      </c>
      <c r="P40" s="30" t="n">
        <f aca="false">O40</f>
        <v>5125128.48936508</v>
      </c>
      <c r="Q40" s="18" t="n">
        <f aca="false">O40+Q39</f>
        <v>5125128.48936508</v>
      </c>
      <c r="R40" s="18" t="n">
        <f aca="false">Q40+R39</f>
        <v>5125128.48936508</v>
      </c>
      <c r="S40" s="16"/>
    </row>
    <row r="41" customFormat="false" ht="12.75" hidden="false" customHeight="false" outlineLevel="0" collapsed="false">
      <c r="C41" s="28"/>
      <c r="D41" s="29"/>
      <c r="E41" s="29"/>
      <c r="G41" s="29"/>
      <c r="H41" s="29"/>
      <c r="I41" s="29"/>
      <c r="J41" s="29"/>
      <c r="K41" s="29"/>
      <c r="L41" s="29"/>
      <c r="M41" s="29"/>
      <c r="N41" s="29"/>
      <c r="P41" s="28"/>
      <c r="S41" s="16"/>
    </row>
    <row r="42" customFormat="false" ht="12.75" hidden="false" customHeight="false" outlineLevel="0" collapsed="false">
      <c r="A42" s="2" t="s">
        <v>85</v>
      </c>
      <c r="B42" s="2"/>
      <c r="C42" s="28" t="n">
        <f aca="false">+C29+C39</f>
        <v>64968860.68</v>
      </c>
      <c r="D42" s="28" t="n">
        <f aca="false">+D29+D39</f>
        <v>19590653.72975</v>
      </c>
      <c r="E42" s="28" t="n">
        <f aca="false">+E29+E39</f>
        <v>572532.593693992</v>
      </c>
      <c r="F42" s="28" t="n">
        <f aca="false">+F29+F39</f>
        <v>-106876.069648207</v>
      </c>
      <c r="G42" s="28" t="n">
        <f aca="false">+G29+G39</f>
        <v>8307660.1355693</v>
      </c>
      <c r="H42" s="28" t="n">
        <f aca="false">+H29+H39</f>
        <v>15855933</v>
      </c>
      <c r="I42" s="28" t="n">
        <f aca="false">+I29+I39</f>
        <v>8226099</v>
      </c>
      <c r="J42" s="28" t="n">
        <f aca="false">+J29+J39</f>
        <v>10079974.5</v>
      </c>
      <c r="K42" s="28" t="n">
        <f aca="false">+K29+K39</f>
        <v>5897945</v>
      </c>
      <c r="L42" s="28" t="n">
        <f aca="false">+L29+L39</f>
        <v>6912180</v>
      </c>
      <c r="M42" s="28" t="n">
        <f aca="false">+M29+M39</f>
        <v>2135307</v>
      </c>
      <c r="N42" s="28" t="n">
        <f aca="false">+N29+N39</f>
        <v>2966808</v>
      </c>
      <c r="O42" s="2" t="n">
        <f aca="false">+O29+O39</f>
        <v>2484013</v>
      </c>
      <c r="P42" s="28" t="n">
        <f aca="false">+P29+P39</f>
        <v>82922229.8893651</v>
      </c>
      <c r="Q42" s="2" t="n">
        <f aca="false">+Q29+Q39</f>
        <v>50215</v>
      </c>
      <c r="R42" s="2" t="n">
        <f aca="false">+R29+R39</f>
        <v>894299</v>
      </c>
      <c r="S42" s="16" t="n">
        <f aca="false">P42+C42+Q42+R42</f>
        <v>148835604.569365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2" t="s">
        <v>52</v>
      </c>
      <c r="B43" s="2"/>
      <c r="C43" s="28" t="n">
        <f aca="false">C42</f>
        <v>64968860.68</v>
      </c>
      <c r="D43" s="28" t="n">
        <f aca="false">C43+D42</f>
        <v>84559514.40975</v>
      </c>
      <c r="E43" s="28" t="n">
        <f aca="false">D43+E42</f>
        <v>85132047.003444</v>
      </c>
      <c r="F43" s="28" t="n">
        <f aca="false">E43+F42</f>
        <v>85025170.9337958</v>
      </c>
      <c r="G43" s="28" t="n">
        <f aca="false">F43+G42</f>
        <v>93332831.0693651</v>
      </c>
      <c r="H43" s="28" t="n">
        <f aca="false">G43+H42</f>
        <v>109188764.069365</v>
      </c>
      <c r="I43" s="28" t="n">
        <f aca="false">H43+I42</f>
        <v>117414863.069365</v>
      </c>
      <c r="J43" s="28" t="n">
        <f aca="false">I43+J42</f>
        <v>127494837.569365</v>
      </c>
      <c r="K43" s="28" t="n">
        <f aca="false">J43+K42</f>
        <v>133392782.569365</v>
      </c>
      <c r="L43" s="28" t="n">
        <f aca="false">K43+L42</f>
        <v>140304962.569365</v>
      </c>
      <c r="M43" s="28" t="n">
        <f aca="false">L43+M42</f>
        <v>142440269.569365</v>
      </c>
      <c r="N43" s="28" t="n">
        <f aca="false">M43+N42</f>
        <v>145407077.569365</v>
      </c>
      <c r="O43" s="2" t="n">
        <f aca="false">N43+O42</f>
        <v>147891090.569365</v>
      </c>
      <c r="P43" s="28" t="n">
        <f aca="false">O43</f>
        <v>147891090.569365</v>
      </c>
      <c r="Q43" s="2" t="n">
        <f aca="false">O43+Q42</f>
        <v>147941305.569365</v>
      </c>
      <c r="R43" s="2" t="n">
        <f aca="false">Q43+R42</f>
        <v>148835604.569365</v>
      </c>
      <c r="S43" s="16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A44" s="1" t="s">
        <v>44</v>
      </c>
      <c r="B44" s="2"/>
      <c r="C44" s="28"/>
      <c r="D44" s="28"/>
      <c r="E44" s="28"/>
      <c r="F44" s="2"/>
      <c r="G44" s="28"/>
      <c r="H44" s="28"/>
      <c r="I44" s="2"/>
      <c r="J44" s="28"/>
      <c r="K44" s="28"/>
      <c r="L44" s="28"/>
      <c r="M44" s="28"/>
      <c r="N44" s="28"/>
      <c r="O44" s="2"/>
      <c r="P44" s="28"/>
      <c r="Q44" s="2"/>
      <c r="R44" s="2"/>
      <c r="S44" s="21" t="n">
        <f aca="false">+S42/C59/1000</f>
        <v>384.588125502235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12.75" hidden="false" customHeight="false" outlineLevel="0" collapsed="false">
      <c r="C45" s="28"/>
      <c r="D45" s="29"/>
      <c r="E45" s="29"/>
      <c r="G45" s="29"/>
      <c r="H45" s="29"/>
      <c r="J45" s="29"/>
      <c r="K45" s="29"/>
      <c r="L45" s="29"/>
      <c r="M45" s="29"/>
      <c r="N45" s="29"/>
      <c r="P45" s="28"/>
      <c r="S45" s="16"/>
    </row>
    <row r="46" customFormat="false" ht="12.75" hidden="false" customHeight="false" outlineLevel="0" collapsed="false">
      <c r="A46" s="1" t="s">
        <v>55</v>
      </c>
      <c r="C46" s="28" t="n">
        <v>0</v>
      </c>
      <c r="D46" s="29"/>
      <c r="E46" s="29"/>
      <c r="G46" s="29"/>
      <c r="H46" s="29"/>
      <c r="I46" s="1" t="n">
        <v>0</v>
      </c>
      <c r="J46" s="29"/>
      <c r="K46" s="29"/>
      <c r="L46" s="29"/>
      <c r="M46" s="29"/>
      <c r="N46" s="29"/>
      <c r="P46" s="28"/>
      <c r="S46" s="19" t="n">
        <f aca="false">SUM(C45:O45)</f>
        <v>0</v>
      </c>
    </row>
    <row r="47" customFormat="false" ht="12.75" hidden="false" customHeight="false" outlineLevel="0" collapsed="false">
      <c r="A47" s="15"/>
      <c r="B47" s="2"/>
      <c r="C47" s="31"/>
      <c r="D47" s="28"/>
      <c r="E47" s="28"/>
      <c r="F47" s="2"/>
      <c r="G47" s="28"/>
      <c r="H47" s="28"/>
      <c r="I47" s="2"/>
      <c r="J47" s="28"/>
      <c r="K47" s="28"/>
      <c r="L47" s="28"/>
      <c r="M47" s="28"/>
      <c r="N47" s="28"/>
      <c r="O47" s="2"/>
      <c r="P47" s="28"/>
      <c r="Q47" s="2"/>
      <c r="R47" s="2"/>
      <c r="S47" s="16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" t="s">
        <v>56</v>
      </c>
      <c r="C48" s="28" t="n">
        <f aca="false">+C42-C33</f>
        <v>63606619.68</v>
      </c>
      <c r="D48" s="28" t="n">
        <f aca="false">+D42-D33</f>
        <v>19154575.72975</v>
      </c>
      <c r="E48" s="28" t="n">
        <f aca="false">+E42-E33</f>
        <v>138499.376125</v>
      </c>
      <c r="F48" s="28" t="n">
        <f aca="false">+F42-F33</f>
        <v>-529613.76925</v>
      </c>
      <c r="G48" s="28" t="n">
        <f aca="false">+G42-G33</f>
        <v>7802077</v>
      </c>
      <c r="H48" s="28" t="n">
        <f aca="false">+H42-H33</f>
        <v>15591050</v>
      </c>
      <c r="I48" s="28" t="n">
        <f aca="false">+I42-I33</f>
        <v>7487751</v>
      </c>
      <c r="J48" s="28" t="n">
        <f aca="false">+J42-J33</f>
        <v>9420070</v>
      </c>
      <c r="K48" s="28" t="n">
        <f aca="false">+K42-K33</f>
        <v>6557849</v>
      </c>
      <c r="L48" s="28" t="n">
        <f aca="false">ROUND(+L42-L33,0)</f>
        <v>6912180</v>
      </c>
      <c r="M48" s="28" t="n">
        <f aca="false">+M42-M33</f>
        <v>2135307</v>
      </c>
      <c r="N48" s="28" t="n">
        <f aca="false">+N42-N33</f>
        <v>2966808</v>
      </c>
      <c r="O48" s="2" t="n">
        <f aca="false">+O42-O33</f>
        <v>2484013</v>
      </c>
      <c r="P48" s="28" t="n">
        <f aca="false">+P42-P33</f>
        <v>80120566.336625</v>
      </c>
      <c r="Q48" s="2" t="n">
        <f aca="false">+Q42-Q33</f>
        <v>50215</v>
      </c>
      <c r="R48" s="2" t="n">
        <f aca="false">+R42-R33</f>
        <v>894299</v>
      </c>
      <c r="S48" s="16" t="n">
        <f aca="false">P48+C48+Q48+R48</f>
        <v>144671700.016625</v>
      </c>
    </row>
    <row r="49" customFormat="false" ht="12.75" hidden="true" customHeight="false" outlineLevel="0" collapsed="false">
      <c r="A49" s="1" t="s">
        <v>86</v>
      </c>
      <c r="C49" s="32" t="n">
        <f aca="false">63865968+5818345+133167+40682</f>
        <v>69858162</v>
      </c>
      <c r="D49" s="32" t="n">
        <f aca="false">20473789+806250+395397+7393</f>
        <v>21682829</v>
      </c>
      <c r="E49" s="32" t="n">
        <f aca="false">3573648+434033+4682</f>
        <v>4012363</v>
      </c>
      <c r="F49" s="32" t="n">
        <f aca="false">1000000+422738+4181</f>
        <v>1426919</v>
      </c>
      <c r="G49" s="28" t="n">
        <f aca="false">IF(+G43-F50-G48&gt;0,G43-F50-G48,250000)</f>
        <v>250000</v>
      </c>
      <c r="H49" s="28" t="n">
        <v>0</v>
      </c>
      <c r="I49" s="28" t="n">
        <v>0</v>
      </c>
      <c r="J49" s="28" t="n">
        <v>0</v>
      </c>
      <c r="K49" s="28" t="n">
        <v>0</v>
      </c>
      <c r="L49" s="28"/>
      <c r="M49" s="28"/>
      <c r="N49" s="28"/>
      <c r="O49" s="2"/>
      <c r="P49" s="28"/>
      <c r="Q49" s="2"/>
      <c r="R49" s="2"/>
      <c r="S49" s="16"/>
    </row>
    <row r="50" customFormat="false" ht="12.75" hidden="true" customHeight="false" outlineLevel="0" collapsed="false">
      <c r="A50" s="1" t="s">
        <v>87</v>
      </c>
      <c r="C50" s="28" t="n">
        <f aca="false">+C49</f>
        <v>69858162</v>
      </c>
      <c r="D50" s="28" t="n">
        <f aca="false">+D49+C50</f>
        <v>91540991</v>
      </c>
      <c r="E50" s="28" t="n">
        <f aca="false">+E49+D50</f>
        <v>95553354</v>
      </c>
      <c r="F50" s="28" t="n">
        <f aca="false">+F49+E50</f>
        <v>96980273</v>
      </c>
      <c r="G50" s="28" t="n">
        <f aca="false">+G49+F50</f>
        <v>97230273</v>
      </c>
      <c r="H50" s="28" t="n">
        <v>0</v>
      </c>
      <c r="I50" s="28" t="n">
        <f aca="false">+I49+H50</f>
        <v>0</v>
      </c>
      <c r="J50" s="28" t="n">
        <f aca="false">+J49+I50</f>
        <v>0</v>
      </c>
      <c r="K50" s="28" t="n">
        <f aca="false">+K49+J50</f>
        <v>0</v>
      </c>
      <c r="L50" s="28"/>
      <c r="M50" s="28"/>
      <c r="N50" s="28"/>
      <c r="O50" s="2"/>
      <c r="P50" s="28"/>
      <c r="Q50" s="2"/>
      <c r="R50" s="2"/>
      <c r="S50" s="16"/>
    </row>
    <row r="51" customFormat="false" ht="12.75" hidden="false" customHeight="false" outlineLevel="0" collapsed="false">
      <c r="C51" s="28"/>
      <c r="D51" s="29"/>
      <c r="E51" s="29"/>
      <c r="G51" s="29"/>
      <c r="H51" s="29"/>
      <c r="I51" s="29"/>
      <c r="J51" s="29"/>
      <c r="K51" s="29"/>
      <c r="L51" s="29"/>
      <c r="M51" s="29"/>
      <c r="N51" s="29"/>
      <c r="P51" s="28"/>
      <c r="S51" s="16"/>
    </row>
    <row r="52" customFormat="false" ht="13.5" hidden="false" customHeight="false" outlineLevel="0" collapsed="false">
      <c r="A52" s="2" t="s">
        <v>88</v>
      </c>
      <c r="C52" s="33" t="n">
        <f aca="false">+C42</f>
        <v>64968860.68</v>
      </c>
      <c r="D52" s="33" t="n">
        <f aca="false">+D42</f>
        <v>19590653.72975</v>
      </c>
      <c r="E52" s="33" t="n">
        <f aca="false">+E42</f>
        <v>572532.593693992</v>
      </c>
      <c r="F52" s="33" t="n">
        <f aca="false">+F42</f>
        <v>-106876.069648207</v>
      </c>
      <c r="G52" s="33" t="n">
        <f aca="false">+G42</f>
        <v>8307660.1355693</v>
      </c>
      <c r="H52" s="33" t="n">
        <f aca="false">+H42</f>
        <v>15855933</v>
      </c>
      <c r="I52" s="33" t="n">
        <f aca="false">+I42</f>
        <v>8226099</v>
      </c>
      <c r="J52" s="33" t="n">
        <f aca="false">+J42</f>
        <v>10079974.5</v>
      </c>
      <c r="K52" s="33" t="n">
        <f aca="false">+K42</f>
        <v>5897945</v>
      </c>
      <c r="L52" s="33" t="n">
        <f aca="false">+L42</f>
        <v>6912180</v>
      </c>
      <c r="M52" s="33" t="n">
        <f aca="false">+M42</f>
        <v>2135307</v>
      </c>
      <c r="N52" s="33" t="n">
        <f aca="false">+N42</f>
        <v>2966808</v>
      </c>
      <c r="O52" s="33" t="n">
        <f aca="false">+O42</f>
        <v>2484013</v>
      </c>
      <c r="P52" s="33" t="n">
        <f aca="false">+P42</f>
        <v>82922229.8893651</v>
      </c>
      <c r="Q52" s="33" t="n">
        <f aca="false">+Q42</f>
        <v>50215</v>
      </c>
      <c r="R52" s="33" t="n">
        <f aca="false">+R42</f>
        <v>894299</v>
      </c>
      <c r="S52" s="34" t="n">
        <f aca="false">S42</f>
        <v>148835604.569365</v>
      </c>
      <c r="U52" s="1" t="n">
        <f aca="false">SUM(U9:U51)+1</f>
        <v>0.447968258082256</v>
      </c>
    </row>
    <row r="53" customFormat="false" ht="13.5" hidden="false" customHeight="false" outlineLevel="0" collapsed="false">
      <c r="A53" s="2" t="s">
        <v>89</v>
      </c>
      <c r="C53" s="35" t="n">
        <f aca="false">+C52</f>
        <v>64968860.68</v>
      </c>
      <c r="D53" s="35" t="n">
        <f aca="false">+D52+C53</f>
        <v>84559514.40975</v>
      </c>
      <c r="E53" s="35" t="n">
        <f aca="false">+E52+D53</f>
        <v>85132047.003444</v>
      </c>
      <c r="F53" s="35" t="n">
        <f aca="false">+F52+E53</f>
        <v>85025170.9337958</v>
      </c>
      <c r="G53" s="35" t="n">
        <f aca="false">+G52+F53</f>
        <v>93332831.0693651</v>
      </c>
      <c r="H53" s="35" t="n">
        <f aca="false">+H52+G53</f>
        <v>109188764.069365</v>
      </c>
      <c r="I53" s="35" t="n">
        <f aca="false">+I52+H53</f>
        <v>117414863.069365</v>
      </c>
      <c r="J53" s="35" t="n">
        <f aca="false">+J52+I53</f>
        <v>127494837.569365</v>
      </c>
      <c r="K53" s="35" t="n">
        <f aca="false">+K52+J53</f>
        <v>133392782.569365</v>
      </c>
      <c r="L53" s="35" t="n">
        <f aca="false">+L52+K53</f>
        <v>140304962.569365</v>
      </c>
      <c r="M53" s="35" t="n">
        <f aca="false">+M52+L53</f>
        <v>142440269.569365</v>
      </c>
      <c r="N53" s="35" t="n">
        <f aca="false">+N52+M53</f>
        <v>145407077.569365</v>
      </c>
      <c r="O53" s="36" t="n">
        <f aca="false">+O52+N53</f>
        <v>147891090.569365</v>
      </c>
      <c r="P53" s="35" t="n">
        <f aca="false">O53</f>
        <v>147891090.569365</v>
      </c>
      <c r="Q53" s="36" t="n">
        <f aca="false">O53+Q52</f>
        <v>147941305.569365</v>
      </c>
      <c r="R53" s="36" t="n">
        <f aca="false">Q53+R52</f>
        <v>148835604.569365</v>
      </c>
      <c r="S53" s="16"/>
    </row>
    <row r="54" customFormat="false" ht="12.75" hidden="false" customHeight="false" outlineLevel="0" collapsed="false">
      <c r="C54" s="28"/>
      <c r="D54" s="29"/>
      <c r="E54" s="29"/>
      <c r="F54" s="29"/>
      <c r="G54" s="29"/>
      <c r="H54" s="29"/>
      <c r="I54" s="29"/>
      <c r="L54" s="29"/>
      <c r="M54" s="29"/>
      <c r="N54" s="29"/>
      <c r="P54" s="28"/>
      <c r="S54" s="37"/>
    </row>
    <row r="55" customFormat="false" ht="13.5" hidden="false" customHeight="false" outlineLevel="0" collapsed="false">
      <c r="A55" s="2" t="s">
        <v>90</v>
      </c>
      <c r="C55" s="33" t="n">
        <f aca="false">+C52+C46</f>
        <v>64968860.68</v>
      </c>
      <c r="D55" s="33" t="n">
        <f aca="false">+D52+D46</f>
        <v>19590653.72975</v>
      </c>
      <c r="E55" s="33" t="n">
        <f aca="false">+E52+E46</f>
        <v>572532.593693992</v>
      </c>
      <c r="F55" s="33" t="n">
        <f aca="false">+F52+F46</f>
        <v>-106876.069648207</v>
      </c>
      <c r="G55" s="33" t="n">
        <f aca="false">+G52+G46</f>
        <v>8307660.1355693</v>
      </c>
      <c r="H55" s="33" t="n">
        <f aca="false">+H52+H46</f>
        <v>15855933</v>
      </c>
      <c r="I55" s="33" t="n">
        <f aca="false">+I52+I46</f>
        <v>8226099</v>
      </c>
      <c r="J55" s="38" t="n">
        <f aca="false">+J52+J46</f>
        <v>10079974.5</v>
      </c>
      <c r="K55" s="38" t="n">
        <f aca="false">+K52+K46</f>
        <v>5897945</v>
      </c>
      <c r="L55" s="33" t="n">
        <f aca="false">+L52+L46</f>
        <v>6912180</v>
      </c>
      <c r="M55" s="33" t="n">
        <f aca="false">+M52+M46</f>
        <v>2135307</v>
      </c>
      <c r="N55" s="33" t="n">
        <f aca="false">+N52+N46</f>
        <v>2966808</v>
      </c>
      <c r="O55" s="38" t="n">
        <f aca="false">+O52+O46</f>
        <v>2484013</v>
      </c>
      <c r="P55" s="33" t="n">
        <f aca="false">+P52+P46</f>
        <v>82922229.8893651</v>
      </c>
      <c r="Q55" s="38" t="n">
        <f aca="false">+Q52+Q46</f>
        <v>50215</v>
      </c>
      <c r="R55" s="38" t="n">
        <f aca="false">+R52+R46</f>
        <v>894299</v>
      </c>
      <c r="S55" s="34" t="n">
        <f aca="false">+S52+S46</f>
        <v>148835604.569365</v>
      </c>
      <c r="T55" s="1" t="n">
        <f aca="false">+[1]NewAlbany!BE221</f>
        <v>148835605.017333</v>
      </c>
      <c r="U55" s="1" t="n">
        <f aca="false">+T55-S55</f>
        <v>0.447968244552612</v>
      </c>
    </row>
    <row r="56" customFormat="false" ht="12.75" hidden="false" customHeight="false" outlineLevel="0" collapsed="false">
      <c r="G56" s="29"/>
      <c r="I56" s="29"/>
      <c r="L56" s="29"/>
      <c r="M56" s="29"/>
      <c r="S56" s="0"/>
    </row>
    <row r="57" customFormat="false" ht="12.75" hidden="false" customHeight="false" outlineLevel="0" collapsed="false">
      <c r="A57" s="15" t="s">
        <v>91</v>
      </c>
      <c r="B57" s="2"/>
      <c r="C57" s="31" t="n">
        <v>0.1</v>
      </c>
      <c r="D57" s="39" t="n">
        <v>0.063675</v>
      </c>
      <c r="E57" s="39" t="n">
        <v>0.0568969</v>
      </c>
      <c r="F57" s="39" t="n">
        <v>0.0568813</v>
      </c>
      <c r="G57" s="39" t="n">
        <v>0.0568719</v>
      </c>
      <c r="H57" s="31" t="n">
        <v>0.065</v>
      </c>
      <c r="I57" s="31" t="n">
        <v>0.065</v>
      </c>
      <c r="J57" s="8" t="n">
        <v>0.065</v>
      </c>
      <c r="K57" s="8" t="n">
        <v>0.065</v>
      </c>
      <c r="L57" s="8" t="n">
        <v>0.065</v>
      </c>
      <c r="M57" s="8" t="n">
        <v>0.065</v>
      </c>
      <c r="N57" s="8" t="n">
        <v>0.065</v>
      </c>
      <c r="O57" s="8" t="n">
        <v>0.065</v>
      </c>
      <c r="P57" s="8" t="n">
        <v>0.065</v>
      </c>
      <c r="Q57" s="8" t="n">
        <v>0.065</v>
      </c>
      <c r="R57" s="8" t="n">
        <v>0.065</v>
      </c>
      <c r="S57" s="4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5" t="s">
        <v>92</v>
      </c>
      <c r="B58" s="2"/>
      <c r="C58" s="39" t="n">
        <v>0.0015</v>
      </c>
      <c r="D58" s="42"/>
      <c r="E58" s="2"/>
      <c r="F58" s="2"/>
      <c r="G58" s="2"/>
      <c r="H58" s="2"/>
      <c r="I58" s="28"/>
      <c r="J58" s="2"/>
      <c r="K58" s="2"/>
      <c r="L58" s="2"/>
      <c r="M58" s="2"/>
      <c r="N58" s="2"/>
      <c r="O58" s="2"/>
      <c r="Q58" s="2"/>
      <c r="R58" s="2"/>
      <c r="S58" s="4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5"/>
      <c r="B59" s="2"/>
      <c r="C59" s="2" t="n">
        <v>387</v>
      </c>
      <c r="D59" s="2" t="s">
        <v>54</v>
      </c>
      <c r="E59" s="2"/>
      <c r="F59" s="2"/>
      <c r="G59" s="2"/>
      <c r="H59" s="2"/>
      <c r="I59" s="28"/>
      <c r="J59" s="2"/>
      <c r="K59" s="2"/>
      <c r="L59" s="2"/>
      <c r="M59" s="2"/>
      <c r="N59" s="2"/>
      <c r="O59" s="2"/>
      <c r="P59" s="2" t="s">
        <v>54</v>
      </c>
      <c r="Q59" s="2"/>
      <c r="R59" s="2"/>
      <c r="S59" s="0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1" customFormat="false" ht="12.75" hidden="false" customHeight="false" outlineLevel="0" collapsed="false">
      <c r="C61" s="28" t="s">
        <v>93</v>
      </c>
      <c r="D61" s="1" t="s">
        <v>94</v>
      </c>
      <c r="P61" s="1" t="s">
        <v>94</v>
      </c>
    </row>
    <row r="62" customFormat="false" ht="12.75" hidden="false" customHeight="false" outlineLevel="0" collapsed="false">
      <c r="C62" s="32"/>
      <c r="D62" s="1" t="s">
        <v>95</v>
      </c>
      <c r="P62" s="1" t="s">
        <v>95</v>
      </c>
    </row>
    <row r="64" customFormat="false" ht="12.75" hidden="false" customHeight="false" outlineLevel="0" collapsed="false">
      <c r="A64" s="9"/>
      <c r="B64" s="10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</row>
    <row r="66" customFormat="false" ht="19.5" hidden="false" customHeight="false" outlineLevel="0" collapsed="false">
      <c r="A66" s="26"/>
    </row>
    <row r="67" customFormat="false" ht="12.75" hidden="false" customHeight="false" outlineLevel="0" collapsed="false">
      <c r="A67" s="9"/>
      <c r="C67" s="28"/>
      <c r="D67" s="29"/>
      <c r="E67" s="29"/>
    </row>
    <row r="68" customFormat="false" ht="12.75" hidden="false" customHeight="false" outlineLevel="0" collapsed="false">
      <c r="C68" s="28"/>
      <c r="D68" s="29"/>
      <c r="E68" s="29"/>
      <c r="L68" s="15"/>
      <c r="M68" s="15"/>
      <c r="N68" s="15"/>
      <c r="O68" s="15"/>
      <c r="Q68" s="15"/>
      <c r="R68" s="15"/>
    </row>
    <row r="69" customFormat="false" ht="12.75" hidden="false" customHeight="false" outlineLevel="0" collapsed="false">
      <c r="C69" s="28"/>
      <c r="D69" s="29"/>
      <c r="E69" s="29"/>
    </row>
    <row r="70" customFormat="false" ht="12.75" hidden="false" customHeight="false" outlineLevel="0" collapsed="false">
      <c r="C70" s="28"/>
      <c r="D70" s="29"/>
      <c r="E70" s="29"/>
    </row>
    <row r="71" customFormat="false" ht="12.75" hidden="false" customHeight="false" outlineLevel="0" collapsed="false">
      <c r="A71" s="2"/>
      <c r="C71" s="28"/>
      <c r="D71" s="28"/>
      <c r="E71" s="28"/>
      <c r="F71" s="2"/>
      <c r="G71" s="2"/>
      <c r="H71" s="2"/>
      <c r="I71" s="2"/>
      <c r="J71" s="2"/>
      <c r="K71" s="2"/>
      <c r="L71" s="2"/>
      <c r="M71" s="2"/>
      <c r="N71" s="2"/>
      <c r="O71" s="2"/>
      <c r="Q71" s="2"/>
      <c r="R71" s="2"/>
    </row>
    <row r="72" customFormat="false" ht="12.75" hidden="false" customHeight="false" outlineLevel="0" collapsed="false">
      <c r="S72" s="43"/>
    </row>
  </sheetData>
  <mergeCells count="1">
    <mergeCell ref="Q5:R5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0.13"/>
    <col collapsed="false" customWidth="true" hidden="false" outlineLevel="0" max="3" min="3" style="45" width="13.14"/>
    <col collapsed="false" customWidth="true" hidden="false" outlineLevel="0" max="4" min="4" style="46" width="17.7"/>
    <col collapsed="false" customWidth="true" hidden="false" outlineLevel="0" max="5" min="5" style="46" width="17.56"/>
    <col collapsed="false" customWidth="true" hidden="false" outlineLevel="0" max="6" min="6" style="46" width="17.7"/>
    <col collapsed="false" customWidth="true" hidden="false" outlineLevel="0" max="7" min="7" style="46" width="18.14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102</v>
      </c>
      <c r="B3" s="47"/>
      <c r="C3" s="47"/>
      <c r="D3" s="48"/>
      <c r="E3" s="48"/>
      <c r="F3" s="48"/>
      <c r="G3" s="48"/>
    </row>
    <row r="4" customFormat="false" ht="15.75" hidden="false" customHeight="false" outlineLevel="0" collapsed="false">
      <c r="A4" s="3" t="s">
        <v>103</v>
      </c>
      <c r="B4" s="47"/>
      <c r="C4" s="47"/>
      <c r="D4" s="48"/>
      <c r="E4" s="48"/>
      <c r="F4" s="48"/>
      <c r="G4" s="48"/>
    </row>
    <row r="5" customFormat="false" ht="15.75" hidden="false" customHeight="false" outlineLevel="0" collapsed="false">
      <c r="A5" s="3"/>
      <c r="B5" s="47"/>
      <c r="C5" s="47"/>
      <c r="D5" s="48"/>
      <c r="E5" s="48"/>
      <c r="F5" s="48"/>
      <c r="G5" s="48"/>
    </row>
    <row r="6" customFormat="false" ht="15.75" hidden="false" customHeight="false" outlineLevel="0" collapsed="false">
      <c r="A6" s="3"/>
      <c r="B6" s="47"/>
      <c r="C6" s="49"/>
      <c r="D6" s="48"/>
      <c r="E6" s="48"/>
      <c r="F6" s="48"/>
      <c r="G6" s="48"/>
    </row>
    <row r="7" customFormat="false" ht="15.75" hidden="false" customHeight="false" outlineLevel="0" collapsed="false">
      <c r="A7" s="3"/>
      <c r="B7" s="47" t="s">
        <v>104</v>
      </c>
      <c r="C7" s="49" t="s">
        <v>105</v>
      </c>
      <c r="D7" s="48"/>
      <c r="E7" s="48"/>
      <c r="F7" s="48"/>
      <c r="G7" s="48"/>
    </row>
    <row r="8" customFormat="false" ht="12.75" hidden="false" customHeight="false" outlineLevel="0" collapsed="false">
      <c r="A8" s="50" t="s">
        <v>106</v>
      </c>
      <c r="B8" s="50" t="s">
        <v>107</v>
      </c>
      <c r="C8" s="51" t="s">
        <v>108</v>
      </c>
      <c r="D8" s="52" t="s">
        <v>109</v>
      </c>
      <c r="E8" s="52" t="s">
        <v>110</v>
      </c>
      <c r="F8" s="52" t="s">
        <v>111</v>
      </c>
      <c r="G8" s="52" t="s">
        <v>6</v>
      </c>
    </row>
    <row r="9" customFormat="false" ht="12.75" hidden="false" customHeight="false" outlineLevel="0" collapsed="false">
      <c r="C9" s="53" t="s">
        <v>112</v>
      </c>
    </row>
    <row r="10" customFormat="false" ht="12.75" hidden="false" customHeight="false" outlineLevel="0" collapsed="false">
      <c r="C10" s="53" t="s">
        <v>113</v>
      </c>
    </row>
    <row r="12" customFormat="false" ht="12.75" hidden="false" customHeight="false" outlineLevel="0" collapsed="false">
      <c r="A12" s="0" t="s">
        <v>114</v>
      </c>
      <c r="B12" s="54" t="n">
        <v>36150</v>
      </c>
      <c r="D12" s="46" t="n">
        <v>61516763</v>
      </c>
      <c r="E12" s="46" t="n">
        <v>43104549</v>
      </c>
      <c r="F12" s="46" t="n">
        <v>63865968</v>
      </c>
      <c r="G12" s="46" t="n">
        <f aca="false">SUM(D12:F12)</f>
        <v>168487280</v>
      </c>
    </row>
    <row r="13" customFormat="false" ht="12.75" hidden="false" customHeight="false" outlineLevel="0" collapsed="false">
      <c r="B13" s="54"/>
    </row>
    <row r="14" customFormat="false" ht="12.75" hidden="false" customHeight="false" outlineLevel="0" collapsed="false">
      <c r="A14" s="0" t="s">
        <v>115</v>
      </c>
      <c r="B14" s="54" t="n">
        <v>36153</v>
      </c>
      <c r="D14" s="46" t="n">
        <v>9309496</v>
      </c>
      <c r="E14" s="46" t="n">
        <v>12435707</v>
      </c>
      <c r="F14" s="46" t="n">
        <v>5818345</v>
      </c>
      <c r="G14" s="46" t="n">
        <f aca="false">SUM(D14:F14)</f>
        <v>27563548</v>
      </c>
    </row>
    <row r="15" customFormat="false" ht="12.75" hidden="false" customHeight="false" outlineLevel="0" collapsed="false">
      <c r="A15" s="0" t="s">
        <v>116</v>
      </c>
      <c r="B15" s="54"/>
      <c r="D15" s="46" t="n">
        <v>126458.5</v>
      </c>
      <c r="E15" s="46" t="n">
        <v>150775</v>
      </c>
      <c r="F15" s="46" t="n">
        <v>133166.5</v>
      </c>
      <c r="G15" s="46" t="n">
        <f aca="false">SUM(D15:F15)</f>
        <v>410400</v>
      </c>
    </row>
    <row r="16" customFormat="false" ht="12.75" hidden="false" customHeight="false" outlineLevel="0" collapsed="false">
      <c r="A16" s="0" t="s">
        <v>105</v>
      </c>
      <c r="B16" s="54"/>
      <c r="C16" s="45" t="n">
        <v>0.0775</v>
      </c>
      <c r="D16" s="46" t="n">
        <v>39185.34</v>
      </c>
      <c r="E16" s="46" t="n">
        <v>27457.01</v>
      </c>
      <c r="F16" s="46" t="n">
        <v>40681.75</v>
      </c>
      <c r="G16" s="46" t="n">
        <f aca="false">SUM(D16:F16)</f>
        <v>107324.1</v>
      </c>
    </row>
    <row r="17" customFormat="false" ht="12.75" hidden="false" customHeight="false" outlineLevel="0" collapsed="false">
      <c r="A17" s="0" t="s">
        <v>117</v>
      </c>
      <c r="B17" s="54"/>
      <c r="D17" s="55" t="n">
        <f aca="false">SUM(D14:D16)</f>
        <v>9475139.84</v>
      </c>
      <c r="E17" s="55" t="n">
        <f aca="false">SUM(E14:E16)</f>
        <v>12613939.01</v>
      </c>
      <c r="F17" s="55" t="n">
        <f aca="false">SUM(F14:F16)</f>
        <v>5992193.25</v>
      </c>
      <c r="G17" s="55" t="n">
        <f aca="false">SUM(G14:G16)</f>
        <v>28081272.1</v>
      </c>
    </row>
    <row r="18" customFormat="false" ht="12.75" hidden="false" customHeight="false" outlineLevel="0" collapsed="false">
      <c r="A18" s="0" t="s">
        <v>118</v>
      </c>
      <c r="B18" s="54"/>
      <c r="D18" s="55" t="n">
        <f aca="false">+D12+D17</f>
        <v>70991902.84</v>
      </c>
      <c r="E18" s="55" t="n">
        <f aca="false">+E12+E17</f>
        <v>55718488.01</v>
      </c>
      <c r="F18" s="55" t="n">
        <f aca="false">+F12+F17</f>
        <v>69858161.25</v>
      </c>
      <c r="G18" s="55" t="n">
        <f aca="false">+G12+G17</f>
        <v>196568552.1</v>
      </c>
    </row>
    <row r="19" customFormat="false" ht="12.75" hidden="false" customHeight="false" outlineLevel="0" collapsed="false">
      <c r="B19" s="54"/>
    </row>
    <row r="20" customFormat="false" ht="12.75" hidden="false" customHeight="false" outlineLevel="0" collapsed="false">
      <c r="A20" s="0" t="s">
        <v>119</v>
      </c>
      <c r="B20" s="54" t="n">
        <v>36185</v>
      </c>
      <c r="D20" s="46" t="n">
        <v>6803830</v>
      </c>
      <c r="E20" s="46" t="n">
        <v>10781519</v>
      </c>
      <c r="F20" s="46" t="n">
        <v>20473789</v>
      </c>
      <c r="G20" s="46" t="n">
        <f aca="false">SUM(D20:F20)</f>
        <v>38059138</v>
      </c>
    </row>
    <row r="21" customFormat="false" ht="12.75" hidden="false" customHeight="false" outlineLevel="0" collapsed="false">
      <c r="A21" s="0" t="s">
        <v>116</v>
      </c>
      <c r="B21" s="54"/>
      <c r="D21" s="46" t="n">
        <v>756250</v>
      </c>
      <c r="E21" s="46" t="n">
        <v>937500</v>
      </c>
      <c r="F21" s="46" t="n">
        <v>806250</v>
      </c>
      <c r="G21" s="46" t="n">
        <f aca="false">SUM(D21:F21)</f>
        <v>2500000</v>
      </c>
    </row>
    <row r="22" customFormat="false" ht="12.75" hidden="false" customHeight="false" outlineLevel="0" collapsed="false">
      <c r="A22" s="0" t="s">
        <v>105</v>
      </c>
      <c r="B22" s="54"/>
      <c r="C22" s="45" t="n">
        <v>0.063675</v>
      </c>
      <c r="D22" s="46" t="n">
        <v>401814.17</v>
      </c>
      <c r="E22" s="46" t="n">
        <v>315366.64</v>
      </c>
      <c r="F22" s="46" t="n">
        <v>395397.19</v>
      </c>
      <c r="G22" s="46" t="n">
        <f aca="false">SUM(D22:F22)</f>
        <v>1112578</v>
      </c>
    </row>
    <row r="23" customFormat="false" ht="12.75" hidden="false" customHeight="false" outlineLevel="0" collapsed="false">
      <c r="A23" s="0" t="s">
        <v>82</v>
      </c>
      <c r="B23" s="54"/>
      <c r="C23" s="45" t="n">
        <v>0.0035</v>
      </c>
      <c r="D23" s="46" t="n">
        <v>6251.01</v>
      </c>
      <c r="E23" s="46" t="n">
        <v>11785.19</v>
      </c>
      <c r="F23" s="46" t="n">
        <v>7392.73</v>
      </c>
      <c r="G23" s="46" t="n">
        <f aca="false">SUM(D23:F23)</f>
        <v>25428.93</v>
      </c>
    </row>
    <row r="24" customFormat="false" ht="12.75" hidden="false" customHeight="false" outlineLevel="0" collapsed="false">
      <c r="A24" s="0" t="s">
        <v>117</v>
      </c>
      <c r="B24" s="54"/>
      <c r="D24" s="55" t="n">
        <f aca="false">SUM(D20:D23)</f>
        <v>7968145.18</v>
      </c>
      <c r="E24" s="55" t="n">
        <f aca="false">SUM(E20:E23)</f>
        <v>12046170.83</v>
      </c>
      <c r="F24" s="55" t="n">
        <f aca="false">SUM(F20:F23)</f>
        <v>21682828.92</v>
      </c>
      <c r="G24" s="55" t="n">
        <f aca="false">SUM(G20:G23)</f>
        <v>41697144.93</v>
      </c>
    </row>
    <row r="25" customFormat="false" ht="12.75" hidden="false" customHeight="false" outlineLevel="0" collapsed="false">
      <c r="A25" s="0" t="s">
        <v>118</v>
      </c>
      <c r="B25" s="54"/>
      <c r="D25" s="55" t="n">
        <f aca="false">+D18+D24</f>
        <v>78960048.02</v>
      </c>
      <c r="E25" s="55" t="n">
        <f aca="false">+E18+E24</f>
        <v>67764658.84</v>
      </c>
      <c r="F25" s="55" t="n">
        <f aca="false">+F18+F24</f>
        <v>91540990.17</v>
      </c>
      <c r="G25" s="55" t="n">
        <f aca="false">+G18+G24</f>
        <v>238265697.03</v>
      </c>
    </row>
    <row r="27" customFormat="false" ht="12.75" hidden="false" customHeight="false" outlineLevel="0" collapsed="false">
      <c r="A27" s="0" t="s">
        <v>120</v>
      </c>
      <c r="B27" s="54" t="n">
        <v>36215</v>
      </c>
      <c r="D27" s="46" t="n">
        <v>9173314</v>
      </c>
      <c r="E27" s="46" t="n">
        <v>32244564</v>
      </c>
      <c r="F27" s="46" t="n">
        <v>3573648</v>
      </c>
      <c r="G27" s="46" t="n">
        <f aca="false">SUM(D27:F27)</f>
        <v>44991526</v>
      </c>
    </row>
    <row r="28" customFormat="false" ht="12.75" hidden="false" customHeight="false" outlineLevel="0" collapsed="false">
      <c r="A28" s="0" t="s">
        <v>116</v>
      </c>
      <c r="B28" s="54"/>
      <c r="D28" s="46" t="n">
        <v>0</v>
      </c>
      <c r="E28" s="46" t="n">
        <v>0</v>
      </c>
      <c r="F28" s="46" t="n">
        <v>0</v>
      </c>
      <c r="G28" s="46" t="n">
        <f aca="false">SUM(D28:F28)</f>
        <v>0</v>
      </c>
    </row>
    <row r="29" customFormat="false" ht="12.75" hidden="false" customHeight="false" outlineLevel="0" collapsed="false">
      <c r="A29" s="0" t="s">
        <v>105</v>
      </c>
      <c r="B29" s="54"/>
      <c r="C29" s="45" t="n">
        <v>0.0568969</v>
      </c>
      <c r="D29" s="46" t="n">
        <v>374381.83</v>
      </c>
      <c r="E29" s="46" t="n">
        <v>321299.92</v>
      </c>
      <c r="F29" s="46" t="n">
        <v>434033.21</v>
      </c>
      <c r="G29" s="46" t="n">
        <f aca="false">SUM(D29:F29)</f>
        <v>1129714.96</v>
      </c>
    </row>
    <row r="30" customFormat="false" ht="12.75" hidden="false" customHeight="false" outlineLevel="0" collapsed="false">
      <c r="A30" s="0" t="s">
        <v>82</v>
      </c>
      <c r="B30" s="54"/>
      <c r="C30" s="45" t="n">
        <v>0.0035</v>
      </c>
      <c r="D30" s="46" t="n">
        <v>5254.99</v>
      </c>
      <c r="E30" s="46" t="n">
        <v>10279.42</v>
      </c>
      <c r="F30" s="46" t="n">
        <v>4682.38</v>
      </c>
      <c r="G30" s="46" t="n">
        <f aca="false">SUM(D30:F30)</f>
        <v>20216.79</v>
      </c>
    </row>
    <row r="31" customFormat="false" ht="12.75" hidden="false" customHeight="false" outlineLevel="0" collapsed="false">
      <c r="A31" s="0" t="s">
        <v>117</v>
      </c>
      <c r="B31" s="54"/>
      <c r="D31" s="55" t="n">
        <f aca="false">SUM(D27:D30)</f>
        <v>9552950.82</v>
      </c>
      <c r="E31" s="55" t="n">
        <f aca="false">SUM(E27:E30)</f>
        <v>32576143.34</v>
      </c>
      <c r="F31" s="55" t="n">
        <f aca="false">SUM(F27:F30)</f>
        <v>4012363.59</v>
      </c>
      <c r="G31" s="55" t="n">
        <f aca="false">SUM(G27:G30)</f>
        <v>46141457.75</v>
      </c>
    </row>
    <row r="32" customFormat="false" ht="12.75" hidden="false" customHeight="false" outlineLevel="0" collapsed="false">
      <c r="A32" s="0" t="s">
        <v>118</v>
      </c>
      <c r="B32" s="54"/>
      <c r="D32" s="55" t="n">
        <f aca="false">+D25+D31</f>
        <v>88512998.84</v>
      </c>
      <c r="E32" s="55" t="n">
        <f aca="false">+E25+E31</f>
        <v>100340802.18</v>
      </c>
      <c r="F32" s="55" t="n">
        <f aca="false">+F25+F31</f>
        <v>95553353.76</v>
      </c>
      <c r="G32" s="55" t="n">
        <f aca="false">+G25+G31</f>
        <v>284407154.78</v>
      </c>
    </row>
    <row r="34" customFormat="false" ht="12.75" hidden="false" customHeight="false" outlineLevel="0" collapsed="false">
      <c r="A34" s="0" t="s">
        <v>121</v>
      </c>
      <c r="B34" s="54" t="n">
        <v>36243</v>
      </c>
      <c r="D34" s="46" t="n">
        <v>800000</v>
      </c>
      <c r="E34" s="46" t="n">
        <v>500000</v>
      </c>
      <c r="F34" s="46" t="n">
        <v>1000000</v>
      </c>
      <c r="G34" s="46" t="n">
        <f aca="false">SUM(D34:F34)</f>
        <v>2300000</v>
      </c>
    </row>
    <row r="35" customFormat="false" ht="12.75" hidden="false" customHeight="false" outlineLevel="0" collapsed="false">
      <c r="A35" s="0" t="s">
        <v>116</v>
      </c>
      <c r="B35" s="54"/>
      <c r="D35" s="46" t="n">
        <v>0</v>
      </c>
      <c r="E35" s="46" t="n">
        <v>0</v>
      </c>
      <c r="F35" s="46" t="n">
        <v>0</v>
      </c>
      <c r="G35" s="46" t="n">
        <f aca="false">SUM(D35:F35)</f>
        <v>0</v>
      </c>
    </row>
    <row r="36" customFormat="false" ht="12.75" hidden="false" customHeight="false" outlineLevel="0" collapsed="false">
      <c r="A36" s="0" t="s">
        <v>105</v>
      </c>
      <c r="B36" s="54"/>
      <c r="C36" s="45" t="n">
        <v>0.0568813</v>
      </c>
      <c r="D36" s="46" t="n">
        <v>391590.46</v>
      </c>
      <c r="E36" s="46" t="n">
        <v>443917.85</v>
      </c>
      <c r="F36" s="46" t="n">
        <v>422737.7</v>
      </c>
      <c r="G36" s="46" t="n">
        <f aca="false">SUM(D36:F36)</f>
        <v>1258246.01</v>
      </c>
    </row>
    <row r="37" customFormat="false" ht="12.75" hidden="false" customHeight="false" outlineLevel="0" collapsed="false">
      <c r="A37" s="0" t="s">
        <v>82</v>
      </c>
      <c r="B37" s="54"/>
      <c r="C37" s="45" t="n">
        <v>0.0035</v>
      </c>
      <c r="D37" s="46" t="n">
        <v>4060.88</v>
      </c>
      <c r="E37" s="46" t="n">
        <v>6207.4</v>
      </c>
      <c r="F37" s="46" t="n">
        <v>4180.83</v>
      </c>
      <c r="G37" s="46" t="n">
        <f aca="false">SUM(D37:F37)</f>
        <v>14449.11</v>
      </c>
    </row>
    <row r="38" customFormat="false" ht="12.75" hidden="false" customHeight="false" outlineLevel="0" collapsed="false">
      <c r="A38" s="0" t="s">
        <v>117</v>
      </c>
      <c r="B38" s="54"/>
      <c r="D38" s="55" t="n">
        <f aca="false">SUM(D34:D37)</f>
        <v>1195651.34</v>
      </c>
      <c r="E38" s="55" t="n">
        <f aca="false">SUM(E34:E37)</f>
        <v>950125.25</v>
      </c>
      <c r="F38" s="55" t="n">
        <f aca="false">SUM(F34:F37)</f>
        <v>1426918.53</v>
      </c>
      <c r="G38" s="55" t="n">
        <f aca="false">SUM(G34:G37)</f>
        <v>3572695.12</v>
      </c>
    </row>
    <row r="39" customFormat="false" ht="12.75" hidden="false" customHeight="false" outlineLevel="0" collapsed="false">
      <c r="A39" s="0" t="s">
        <v>118</v>
      </c>
      <c r="B39" s="54"/>
      <c r="D39" s="55" t="n">
        <f aca="false">+D32+D38</f>
        <v>89708650.18</v>
      </c>
      <c r="E39" s="55" t="n">
        <f aca="false">+E32+E38</f>
        <v>101290927.43</v>
      </c>
      <c r="F39" s="55" t="n">
        <f aca="false">+F32+F38</f>
        <v>96980272.29</v>
      </c>
      <c r="G39" s="55" t="n">
        <f aca="false">+G32+G38</f>
        <v>287979849.9</v>
      </c>
    </row>
    <row r="41" customFormat="false" ht="12.75" hidden="false" customHeight="false" outlineLevel="0" collapsed="false">
      <c r="A41" s="0" t="s">
        <v>122</v>
      </c>
      <c r="B41" s="54" t="n">
        <v>36276</v>
      </c>
      <c r="D41" s="46" t="n">
        <v>1000000</v>
      </c>
      <c r="E41" s="46" t="n">
        <v>1000000</v>
      </c>
      <c r="F41" s="46" t="n">
        <v>1000000</v>
      </c>
      <c r="G41" s="46" t="n">
        <f aca="false">SUM(D41:F41)</f>
        <v>3000000</v>
      </c>
    </row>
    <row r="42" customFormat="false" ht="12.75" hidden="false" customHeight="false" outlineLevel="0" collapsed="false">
      <c r="A42" s="0" t="s">
        <v>116</v>
      </c>
      <c r="B42" s="54"/>
      <c r="G42" s="46" t="n">
        <f aca="false">SUM(D42:F42)</f>
        <v>0</v>
      </c>
    </row>
    <row r="43" customFormat="false" ht="12.75" hidden="false" customHeight="false" outlineLevel="0" collapsed="false">
      <c r="A43" s="0" t="s">
        <v>105</v>
      </c>
      <c r="B43" s="54"/>
      <c r="D43" s="46" t="n">
        <v>467674.29</v>
      </c>
      <c r="E43" s="46" t="n">
        <v>528055.69</v>
      </c>
      <c r="F43" s="46" t="n">
        <v>505583.13</v>
      </c>
      <c r="G43" s="46" t="n">
        <f aca="false">SUM(D43:F43)</f>
        <v>1501313.11</v>
      </c>
    </row>
    <row r="44" customFormat="false" ht="12.75" hidden="false" customHeight="false" outlineLevel="0" collapsed="false">
      <c r="A44" s="0" t="s">
        <v>82</v>
      </c>
      <c r="B44" s="54"/>
      <c r="C44" s="45" t="n">
        <v>0.0035</v>
      </c>
      <c r="D44" s="46" t="n">
        <v>3911.42</v>
      </c>
      <c r="E44" s="46" t="n">
        <v>6088.63</v>
      </c>
      <c r="F44" s="46" t="n">
        <v>4002.47</v>
      </c>
      <c r="G44" s="46" t="n">
        <f aca="false">SUM(D44:F44)</f>
        <v>14002.52</v>
      </c>
    </row>
    <row r="45" customFormat="false" ht="12.75" hidden="false" customHeight="false" outlineLevel="0" collapsed="false">
      <c r="A45" s="0" t="s">
        <v>117</v>
      </c>
      <c r="B45" s="54"/>
      <c r="D45" s="55" t="n">
        <f aca="false">SUM(D41:D44)</f>
        <v>1471585.71</v>
      </c>
      <c r="E45" s="55" t="n">
        <f aca="false">SUM(E41:E44)</f>
        <v>1534144.32</v>
      </c>
      <c r="F45" s="55" t="n">
        <f aca="false">SUM(F41:F44)</f>
        <v>1509585.6</v>
      </c>
      <c r="G45" s="55" t="n">
        <f aca="false">SUM(G41:G44)</f>
        <v>4515315.63</v>
      </c>
    </row>
    <row r="46" customFormat="false" ht="12.75" hidden="false" customHeight="false" outlineLevel="0" collapsed="false">
      <c r="A46" s="0" t="s">
        <v>118</v>
      </c>
      <c r="B46" s="54"/>
      <c r="D46" s="55" t="n">
        <f aca="false">+D39+D45</f>
        <v>91180235.89</v>
      </c>
      <c r="E46" s="55" t="n">
        <f aca="false">+E39+E45</f>
        <v>102825071.75</v>
      </c>
      <c r="F46" s="55" t="n">
        <f aca="false">+F39+F45</f>
        <v>98489857.89</v>
      </c>
      <c r="G46" s="55" t="n">
        <f aca="false">+G39+G45</f>
        <v>292495165.53</v>
      </c>
    </row>
    <row r="48" customFormat="false" ht="12.75" hidden="false" customHeight="false" outlineLevel="0" collapsed="false">
      <c r="A48" s="0" t="s">
        <v>123</v>
      </c>
      <c r="B48" s="54" t="n">
        <v>36301</v>
      </c>
      <c r="D48" s="46" t="n">
        <v>0</v>
      </c>
      <c r="E48" s="46" t="n">
        <v>0</v>
      </c>
      <c r="F48" s="46" t="n">
        <v>0</v>
      </c>
      <c r="G48" s="46" t="n">
        <f aca="false">SUM(D48:F48)</f>
        <v>0</v>
      </c>
    </row>
    <row r="49" customFormat="false" ht="12.75" hidden="false" customHeight="false" outlineLevel="0" collapsed="false">
      <c r="A49" s="0" t="s">
        <v>116</v>
      </c>
      <c r="B49" s="54"/>
      <c r="D49" s="46" t="n">
        <v>0</v>
      </c>
      <c r="E49" s="46" t="n">
        <v>0</v>
      </c>
      <c r="F49" s="46" t="n">
        <v>0</v>
      </c>
      <c r="G49" s="46" t="n">
        <f aca="false">SUM(D49:F49)</f>
        <v>0</v>
      </c>
    </row>
    <row r="50" customFormat="false" ht="12.75" hidden="false" customHeight="false" outlineLevel="0" collapsed="false">
      <c r="A50" s="0" t="s">
        <v>105</v>
      </c>
      <c r="B50" s="54"/>
      <c r="D50" s="46" t="n">
        <v>358547.28</v>
      </c>
      <c r="E50" s="46" t="n">
        <v>404338.17</v>
      </c>
      <c r="F50" s="46" t="n">
        <v>387290.85</v>
      </c>
      <c r="G50" s="46" t="n">
        <f aca="false">SUM(D50:F50)</f>
        <v>1150176.3</v>
      </c>
    </row>
    <row r="51" customFormat="false" ht="12.75" hidden="false" customHeight="false" outlineLevel="0" collapsed="false">
      <c r="A51" s="0" t="s">
        <v>82</v>
      </c>
      <c r="B51" s="54"/>
      <c r="C51" s="45" t="n">
        <v>0.0035</v>
      </c>
      <c r="D51" s="46" t="n">
        <v>3727.47</v>
      </c>
      <c r="E51" s="46" t="n">
        <v>5896.87</v>
      </c>
      <c r="F51" s="46" t="n">
        <v>3813.77</v>
      </c>
      <c r="G51" s="46" t="n">
        <f aca="false">SUM(D51:F51)</f>
        <v>13438.11</v>
      </c>
    </row>
    <row r="52" customFormat="false" ht="12.75" hidden="false" customHeight="false" outlineLevel="0" collapsed="false">
      <c r="A52" s="56" t="s">
        <v>124</v>
      </c>
      <c r="B52" s="57"/>
      <c r="C52" s="58"/>
      <c r="D52" s="46" t="n">
        <f aca="false">(8223.78/3)+(241776.22/3)</f>
        <v>83333.3333333333</v>
      </c>
      <c r="E52" s="46" t="n">
        <f aca="false">(8223.78/3)+(241776.22/3)</f>
        <v>83333.3333333333</v>
      </c>
      <c r="F52" s="46" t="n">
        <f aca="false">(8223.78/3)+(241776.22/3)</f>
        <v>83333.3333333333</v>
      </c>
      <c r="G52" s="46" t="n">
        <f aca="false">SUM(D52:F52)</f>
        <v>250000</v>
      </c>
    </row>
    <row r="53" customFormat="false" ht="12.75" hidden="false" customHeight="false" outlineLevel="0" collapsed="false">
      <c r="A53" s="0" t="s">
        <v>117</v>
      </c>
      <c r="B53" s="54"/>
      <c r="D53" s="55" t="n">
        <f aca="false">SUM(D48:D52)</f>
        <v>445608.083333333</v>
      </c>
      <c r="E53" s="55" t="n">
        <f aca="false">SUM(E48:E52)</f>
        <v>493568.373333333</v>
      </c>
      <c r="F53" s="55" t="n">
        <f aca="false">SUM(F48:F52)</f>
        <v>474437.953333333</v>
      </c>
      <c r="G53" s="55" t="n">
        <f aca="false">SUM(G48:G52)</f>
        <v>1413614.41</v>
      </c>
    </row>
    <row r="54" customFormat="false" ht="12.75" hidden="false" customHeight="false" outlineLevel="0" collapsed="false">
      <c r="A54" s="0" t="s">
        <v>118</v>
      </c>
      <c r="B54" s="54"/>
      <c r="D54" s="55" t="n">
        <f aca="false">+D46+D53</f>
        <v>91625843.9733333</v>
      </c>
      <c r="E54" s="55" t="n">
        <f aca="false">+E46+E53</f>
        <v>103318640.123333</v>
      </c>
      <c r="F54" s="55" t="n">
        <f aca="false">+F46+F53</f>
        <v>98964295.8433333</v>
      </c>
      <c r="G54" s="55" t="n">
        <f aca="false">+G46+G53</f>
        <v>293908779.94</v>
      </c>
    </row>
    <row r="55" customFormat="false" ht="12.75" hidden="false" customHeight="false" outlineLevel="0" collapsed="false">
      <c r="A55" s="0" t="s">
        <v>125</v>
      </c>
      <c r="D55" s="46" t="n">
        <v>-91550734.42</v>
      </c>
      <c r="E55" s="46" t="n">
        <v>-103477083.01</v>
      </c>
      <c r="F55" s="46" t="n">
        <v>-98880962.51</v>
      </c>
      <c r="G55" s="46" t="n">
        <f aca="false">SUM(D55:F55)</f>
        <v>-293908779.94</v>
      </c>
    </row>
    <row r="56" customFormat="false" ht="12.75" hidden="false" customHeight="false" outlineLevel="0" collapsed="false">
      <c r="A56" s="56"/>
    </row>
    <row r="59" customFormat="false" ht="12.75" hidden="false" customHeight="false" outlineLevel="0" collapsed="false">
      <c r="A59" s="59" t="s">
        <v>126</v>
      </c>
      <c r="B59" s="59"/>
      <c r="D59" s="59" t="n">
        <v>121000000</v>
      </c>
      <c r="E59" s="59" t="n">
        <v>150000000</v>
      </c>
      <c r="F59" s="59" t="n">
        <v>129000000</v>
      </c>
      <c r="G59" s="59" t="n">
        <f aca="false">SUM(D59:F59)</f>
        <v>400000000</v>
      </c>
    </row>
    <row r="61" customFormat="false" ht="13.5" hidden="false" customHeight="false" outlineLevel="0" collapsed="false">
      <c r="A61" s="0" t="s">
        <v>127</v>
      </c>
      <c r="D61" s="60" t="n">
        <f aca="false">+D59-D54</f>
        <v>29374156.0266667</v>
      </c>
      <c r="E61" s="60" t="n">
        <f aca="false">+E59-E54</f>
        <v>46681359.8766667</v>
      </c>
      <c r="F61" s="60" t="n">
        <f aca="false">+F59-F54</f>
        <v>30035704.1566667</v>
      </c>
      <c r="G61" s="60" t="n">
        <f aca="false">+G59-G54</f>
        <v>106091220.06</v>
      </c>
    </row>
    <row r="6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Theresa Wiesmann</cp:lastModifiedBy>
  <cp:lastPrinted>2000-02-08T14:30:17Z</cp:lastPrinted>
  <cp:revision>0</cp:revision>
  <dc:subject/>
  <dc:title/>
</cp:coreProperties>
</file>