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KATHY_PHYS" sheetId="2" state="visible" r:id="rId4"/>
    <sheet name="WAHA_swap" sheetId="3" state="visible" r:id="rId5"/>
    <sheet name="KATY_SWAP" sheetId="4" state="visible" r:id="rId6"/>
    <sheet name="HH_SWAP" sheetId="5" state="visible" r:id="rId7"/>
    <sheet name="HSC_SWAP" sheetId="6" state="visible" r:id="rId8"/>
    <sheet name="NYMEX_juL1" sheetId="7" state="visible" r:id="rId9"/>
    <sheet name="NYMEX_juL2" sheetId="8" state="visible" r:id="rId10"/>
    <sheet name="JUL Swap" sheetId="9" state="visible" r:id="rId11"/>
    <sheet name="NYMEX_AUG" sheetId="10" state="visible" r:id="rId12"/>
    <sheet name="GasDaily" sheetId="11" state="visible" r:id="rId13"/>
    <sheet name="NYMEX_SEP" sheetId="12" state="visible" r:id="rId14"/>
    <sheet name="basis" sheetId="13" state="visible" r:id="rId15"/>
    <sheet name="X_H" sheetId="14" state="visible" r:id="rId16"/>
    <sheet name="N_V" sheetId="15" state="visible" r:id="rId17"/>
    <sheet name="SCALE" sheetId="16" state="visible" r:id="rId18"/>
    <sheet name="JUN_PHY" sheetId="17" state="visible" r:id="rId19"/>
  </sheets>
  <externalReferences>
    <externalReference r:id="rId20"/>
  </externalReferences>
  <definedNames>
    <definedName function="false" hidden="false" localSheetId="10" name="_xlnm.Print_Area" vbProcedure="false">GasDaily!$A$1:$AM$42</definedName>
    <definedName function="false" hidden="false" localSheetId="0" name="_xlnm.Print_Area" vbProcedure="false">Summary!$1:$65536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<sst xmlns="http://schemas.openxmlformats.org/spreadsheetml/2006/main" count="298" uniqueCount="131">
  <si>
    <t xml:space="preserve">NGX0</t>
  </si>
  <si>
    <t xml:space="preserve">HH GD</t>
  </si>
  <si>
    <t xml:space="preserve">DELTA</t>
  </si>
  <si>
    <t xml:space="preserve">Prior</t>
  </si>
  <si>
    <t xml:space="preserve">N</t>
  </si>
  <si>
    <t xml:space="preserve">Physical P&amp;L</t>
  </si>
  <si>
    <t xml:space="preserve">Q</t>
  </si>
  <si>
    <t xml:space="preserve">Financial P&amp;L</t>
  </si>
  <si>
    <t xml:space="preserve">U</t>
  </si>
  <si>
    <t xml:space="preserve">jun_position</t>
  </si>
  <si>
    <t xml:space="preserve">V</t>
  </si>
  <si>
    <t xml:space="preserve">NYMEX</t>
  </si>
  <si>
    <t xml:space="preserve">X</t>
  </si>
  <si>
    <t xml:space="preserve">x-h</t>
  </si>
  <si>
    <t xml:space="preserve">N-V</t>
  </si>
  <si>
    <t xml:space="preserve">Physical Postion</t>
  </si>
  <si>
    <t xml:space="preserve">P&amp;L</t>
  </si>
  <si>
    <t xml:space="preserve">Position</t>
  </si>
  <si>
    <t xml:space="preserve">KATY_PHYS</t>
  </si>
  <si>
    <t xml:space="preserve">Financial Postion</t>
  </si>
  <si>
    <t xml:space="preserve">N-v</t>
  </si>
  <si>
    <t xml:space="preserve">HH_SWAP</t>
  </si>
  <si>
    <t xml:space="preserve">HSC_SWAP</t>
  </si>
  <si>
    <t xml:space="preserve">HH</t>
  </si>
  <si>
    <t xml:space="preserve">KATY_SWAP</t>
  </si>
  <si>
    <t xml:space="preserve">KATY</t>
  </si>
  <si>
    <t xml:space="preserve">WAHA_SWAP</t>
  </si>
  <si>
    <t xml:space="preserve">HSC</t>
  </si>
  <si>
    <t xml:space="preserve">jun_postion</t>
  </si>
  <si>
    <t xml:space="preserve">WAHA</t>
  </si>
  <si>
    <t xml:space="preserve">PERM</t>
  </si>
  <si>
    <t xml:space="preserve">NGM1</t>
  </si>
  <si>
    <t xml:space="preserve">CHIC</t>
  </si>
  <si>
    <t xml:space="preserve">NGQ1</t>
  </si>
  <si>
    <t xml:space="preserve">TRKL</t>
  </si>
  <si>
    <t xml:space="preserve">NGU1</t>
  </si>
  <si>
    <t xml:space="preserve">N_V</t>
  </si>
  <si>
    <t xml:space="preserve">X_H</t>
  </si>
  <si>
    <t xml:space="preserve">TOTALS</t>
  </si>
  <si>
    <t xml:space="preserve">Nymex Postion</t>
  </si>
  <si>
    <t xml:space="preserve">NET</t>
  </si>
  <si>
    <t xml:space="preserve">jun phys</t>
  </si>
  <si>
    <t xml:space="preserve">ngpl-storage</t>
  </si>
  <si>
    <t xml:space="preserve">IF</t>
  </si>
  <si>
    <t xml:space="preserve">NET Postion</t>
  </si>
  <si>
    <t xml:space="preserve">GDA</t>
  </si>
  <si>
    <t xml:space="preserve">TOTAL P&amp;L</t>
  </si>
  <si>
    <t xml:space="preserve">****</t>
  </si>
  <si>
    <t xml:space="preserve">TOTAL SWAP</t>
  </si>
  <si>
    <t xml:space="preserve">Sells</t>
  </si>
  <si>
    <t xml:space="preserve">Buys</t>
  </si>
  <si>
    <t xml:space="preserve">*</t>
  </si>
  <si>
    <t xml:space="preserve">&lt;- Realized PL</t>
  </si>
  <si>
    <t xml:space="preserve">&lt;- MTM PL w/o Real PL</t>
  </si>
  <si>
    <t xml:space="preserve">preserve realized</t>
  </si>
  <si>
    <t xml:space="preserve">&lt;- MTM PL with Real PL</t>
  </si>
  <si>
    <t xml:space="preserve">breakeven</t>
  </si>
  <si>
    <t xml:space="preserve">&lt;- Current Nymex</t>
  </si>
  <si>
    <t xml:space="preserve">&lt;- Price Overide</t>
  </si>
  <si>
    <t xml:space="preserve">&lt;- Total Pl</t>
  </si>
  <si>
    <t xml:space="preserve">TXOK</t>
  </si>
  <si>
    <t xml:space="preserve">Storage roll from april</t>
  </si>
  <si>
    <t xml:space="preserve">ANR-S</t>
  </si>
  <si>
    <t xml:space="preserve">NAT LA</t>
  </si>
  <si>
    <t xml:space="preserve">trkl-stx</t>
  </si>
  <si>
    <t xml:space="preserve">TEXOK-E</t>
  </si>
  <si>
    <t xml:space="preserve">Trunk-wla</t>
  </si>
  <si>
    <t xml:space="preserve">Trunk-ela</t>
  </si>
  <si>
    <t xml:space="preserve">ngpl-stx</t>
  </si>
  <si>
    <t xml:space="preserve">CGT-ons</t>
  </si>
  <si>
    <t xml:space="preserve">PERMIAN</t>
  </si>
  <si>
    <t xml:space="preserve">TGT</t>
  </si>
  <si>
    <t xml:space="preserve">consum</t>
  </si>
  <si>
    <t xml:space="preserve">MICH</t>
  </si>
  <si>
    <t xml:space="preserve">TCO</t>
  </si>
  <si>
    <t xml:space="preserve">CNG-N</t>
  </si>
  <si>
    <t xml:space="preserve">CNG-s</t>
  </si>
  <si>
    <t xml:space="preserve">TransZ3</t>
  </si>
  <si>
    <t xml:space="preserve">LA</t>
  </si>
  <si>
    <t xml:space="preserve">stx</t>
  </si>
  <si>
    <t xml:space="preserve">ET</t>
  </si>
  <si>
    <t xml:space="preserve">CORPUS</t>
  </si>
  <si>
    <t xml:space="preserve">FOM</t>
  </si>
  <si>
    <t xml:space="preserve">A</t>
  </si>
  <si>
    <t xml:space="preserve">GD 1st</t>
  </si>
  <si>
    <t xml:space="preserve">CC</t>
  </si>
  <si>
    <t xml:space="preserve">BB</t>
  </si>
  <si>
    <t xml:space="preserve">DD</t>
  </si>
  <si>
    <t xml:space="preserve">EE</t>
  </si>
  <si>
    <t xml:space="preserve">mtd average</t>
  </si>
  <si>
    <t xml:space="preserve">dif from hub</t>
  </si>
  <si>
    <t xml:space="preserve">dif from 1st</t>
  </si>
  <si>
    <t xml:space="preserve">last 3 days</t>
  </si>
  <si>
    <t xml:space="preserve">last 5 days</t>
  </si>
  <si>
    <t xml:space="preserve">last 7 days</t>
  </si>
  <si>
    <t xml:space="preserve">GDA from IF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</si>
  <si>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</si>
  <si>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</si>
  <si>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</si>
  <si>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</si>
  <si>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</si>
  <si>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</si>
  <si>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</si>
  <si>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</si>
  <si>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</si>
  <si>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</si>
  <si>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</si>
  <si>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</si>
  <si>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</si>
  <si>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</si>
  <si>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</si>
  <si>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</si>
  <si>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</si>
  <si>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</si>
  <si>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</si>
  <si>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</si>
  <si>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af</t>
  </si>
  <si>
    <t xml:space="preserve">ag</t>
  </si>
  <si>
    <t xml:space="preserve">ah</t>
  </si>
  <si>
    <t xml:space="preserve">ai</t>
  </si>
  <si>
    <t xml:space="preserve">aj</t>
  </si>
  <si>
    <t xml:space="preserve">ak</t>
  </si>
  <si>
    <t xml:space="preserve">al</t>
  </si>
  <si>
    <t xml:space="preserve">am</t>
  </si>
  <si>
    <t xml:space="preserve">an</t>
  </si>
  <si>
    <t xml:space="preserve">ao</t>
  </si>
  <si>
    <t xml:space="preserve">ap</t>
  </si>
  <si>
    <t xml:space="preserve">waha</t>
  </si>
  <si>
    <t xml:space="preserve">U </t>
  </si>
  <si>
    <t xml:space="preserve">hsc</t>
  </si>
  <si>
    <t xml:space="preserve">Pos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</si>
</sst>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mm/dd/yy"/>
    <numFmt numFmtId="166" formatCode="0.000"/>
    <numFmt numFmtId="167" formatCode="_(\$* #,##0_);_(\$* \(#,##0\);_(\$* \-_);_(@_)"/>
    <numFmt numFmtId="168" formatCode="\$#,##0_);[RED]&quot;($&quot;#,##0\)"/>
    <numFmt numFmtId="169" formatCode="_(* #,##0.00_);_(* \(#,##0.00\);_(* \-??_);_(@_)"/>
    <numFmt numFmtId="170" formatCode="\$#,##0.00_);[RED]&quot;($&quot;#,##0.00\)"/>
    <numFmt numFmtId="171" formatCode="[$-409]#,##0_);[RED]\(#,##0\)"/>
    <numFmt numFmtId="172" formatCode="_(* #,##0_);_(* \(#,##0\);_(* \-??_);_(@_)"/>
    <numFmt numFmtId="173" formatCode="_(\$* #,##0.00000_);_(\$* \(#,##0.00000\);_(\$* \-??_);_(@_)"/>
    <numFmt numFmtId="174" formatCode="_(\$* #,##0.00_);_(\$* \(#,##0.00\);_(\$* \-??_);_(@_)"/>
    <numFmt numFmtId="175" formatCode="[$-409]d\-mmm"/>
    <numFmt numFmtId="176" formatCode="[$-409]#,##0_);\(#,##0\)"/>
    <numFmt numFmtId="177" formatCode="m/d/yy"/>
    <numFmt numFmtId="178" formatCode="[$-409]m/d/yyyy"/>
    <numFmt numFmtId="179" formatCode="0.0000"/>
    <numFmt numFmtId="180" formatCode="_(* #,##0.0_);_(* \(#,##0.0\);_(* \-??_);_(@_)"/>
    <numFmt numFmtId="181" formatCode="#,##0.00"/>
    <numFmt numFmtId="182" formatCode="_(\$* #,##0_);_(\$* \(#,##0\);_(\$* \-??_);_(@_)"/>
    <numFmt numFmtId="183" formatCode="[$-409]m/d/yyyy\ h:mm"/>
    <numFmt numFmtId="184" formatCode="[$-409]mmm\-yy"/>
    <numFmt numFmtId="185" formatCode="[$-409]#,##0.00_);[RED]\(#,##0.00\)"/>
    <numFmt numFmtId="186" formatCode="0.000_);[RED]\(0.000\)"/>
    <numFmt numFmtId="187" formatCode="#,##0.0000_);[RED]\(#,##0.0000\)"/>
    <numFmt numFmtId="188" formatCode="0.0000_);[RED]\(0.0000\)"/>
    <numFmt numFmtId="189" formatCode="_(* #,##0_);_(* \(#,##0\);_(* \-_);_(@_)"/>
    <numFmt numFmtId="190" formatCode="#,##0.0_);[RED]\(#,##0.0\)"/>
    <numFmt numFmtId="191" formatCode="#,##0.000_);[RED]\(#,##0.000\)"/>
    <numFmt numFmtId="192" formatCode="_(* #,##0.000_);_(* \(#,##0.00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0"/>
    </font>
    <font>
      <sz val="10"/>
      <name val="Arial"/>
      <family val="2"/>
    </font>
    <font>
      <sz val="10"/>
      <color rgb="FF0000FF"/>
      <name val="Arial"/>
      <family val="2"/>
    </font>
    <font>
      <i val="true"/>
      <sz val="10"/>
      <name val="Arial"/>
      <family val="0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FF9900"/>
        <bgColor rgb="FFFFCC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8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11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externalLink" Target="externalLinks/externalLink1.xml"/><Relationship Id="rId2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ISC/FPBTrades028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eb Current"/>
      <sheetName val="PL Analysis"/>
      <sheetName val="Nymex Prices"/>
      <sheetName val="Begining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7.28"/>
    <col collapsed="false" customWidth="true" hidden="false" outlineLevel="0" max="3" min="3" style="0" width="7.42"/>
    <col collapsed="false" customWidth="true" hidden="false" outlineLevel="0" max="4" min="4" style="0" width="17.42"/>
    <col collapsed="false" customWidth="true" hidden="false" outlineLevel="0" max="5" min="5" style="0" width="14.85"/>
    <col collapsed="false" customWidth="true" hidden="false" outlineLevel="0" max="6" min="6" style="0" width="14.14"/>
    <col collapsed="false" customWidth="true" hidden="false" outlineLevel="0" max="7" min="7" style="0" width="11.7"/>
    <col collapsed="false" customWidth="true" hidden="false" outlineLevel="0" max="8" min="8" style="0" width="4.14"/>
    <col collapsed="false" customWidth="true" hidden="false" outlineLevel="0" max="10" min="9" style="0" width="14.14"/>
    <col collapsed="false" customWidth="true" hidden="false" outlineLevel="0" max="11" min="11" style="0" width="3.99"/>
    <col collapsed="false" customWidth="true" hidden="false" outlineLevel="0" max="12" min="12" style="0" width="13.85"/>
    <col collapsed="false" customWidth="true" hidden="false" outlineLevel="0" max="13" min="13" style="0" width="13.41"/>
    <col collapsed="false" customWidth="true" hidden="false" outlineLevel="0" max="14" min="14" style="0" width="15.28"/>
    <col collapsed="false" customWidth="true" hidden="false" outlineLevel="0" max="16" min="16" style="0" width="12.85"/>
  </cols>
  <sheetData>
    <row r="1" customFormat="false" ht="12.75" hidden="false" customHeight="false" outlineLevel="0" collapsed="false">
      <c r="C1" s="0" t="s">
        <v>0</v>
      </c>
      <c r="D1" s="0" t="n">
        <f aca="false">B5</f>
        <v>3.95</v>
      </c>
      <c r="E1" s="0" t="n">
        <v>3.914</v>
      </c>
      <c r="F1" s="0" t="n">
        <f aca="false">D1-E1</f>
        <v>0.036</v>
      </c>
      <c r="I1" s="0" t="n">
        <v>4.659</v>
      </c>
      <c r="J1" s="0" t="n">
        <v>5.324</v>
      </c>
      <c r="L1" s="0" t="n">
        <v>5.317</v>
      </c>
    </row>
    <row r="2" customFormat="false" ht="12.75" hidden="false" customHeight="false" outlineLevel="0" collapsed="false">
      <c r="C2" s="0" t="s">
        <v>1</v>
      </c>
      <c r="D2" s="0" t="n">
        <f aca="false">D1-0.115</f>
        <v>3.835</v>
      </c>
      <c r="E2" s="0" t="n">
        <v>3.81</v>
      </c>
      <c r="F2" s="0" t="n">
        <f aca="false">D2-E2</f>
        <v>0.0249999999999999</v>
      </c>
    </row>
    <row r="3" customFormat="false" ht="12.75" hidden="false" customHeight="false" outlineLevel="0" collapsed="false">
      <c r="D3" s="0" t="n">
        <f aca="false">D2-D1</f>
        <v>-0.115</v>
      </c>
      <c r="E3" s="0" t="n">
        <v>-0.104</v>
      </c>
      <c r="F3" s="1"/>
      <c r="G3" s="1"/>
      <c r="H3" s="1"/>
      <c r="I3" s="1"/>
      <c r="J3" s="1"/>
      <c r="K3" s="1"/>
      <c r="L3" s="1" t="s">
        <v>2</v>
      </c>
    </row>
    <row r="4" customFormat="false" ht="12.75" hidden="false" customHeight="false" outlineLevel="0" collapsed="false">
      <c r="F4" s="2" t="n">
        <f aca="true">TODAY()</f>
        <v>45926</v>
      </c>
      <c r="G4" s="1"/>
      <c r="H4" s="1"/>
      <c r="I4" s="1" t="s">
        <v>3</v>
      </c>
      <c r="J4" s="1" t="s">
        <v>2</v>
      </c>
      <c r="K4" s="1"/>
      <c r="L4" s="2" t="n">
        <f aca="true">TODAY()-1</f>
        <v>45925</v>
      </c>
      <c r="P4" s="0" t="n">
        <f aca="false">P5+3301</f>
        <v>18779.2608695652</v>
      </c>
    </row>
    <row r="5" customFormat="false" ht="12.75" hidden="false" customHeight="false" outlineLevel="0" collapsed="false">
      <c r="A5" s="3" t="s">
        <v>4</v>
      </c>
      <c r="B5" s="4" t="n">
        <v>3.95</v>
      </c>
      <c r="C5" s="3"/>
      <c r="D5" s="0" t="s">
        <v>5</v>
      </c>
      <c r="F5" s="5" t="n">
        <f aca="false">+KATHY_PHYS!AF36+WAHA_swap!Z36+KATY_SWAP!AT36</f>
        <v>6888.24499999999</v>
      </c>
      <c r="I5" s="6" t="n">
        <v>23804.0009999999</v>
      </c>
      <c r="J5" s="7" t="n">
        <f aca="false">F5-I5</f>
        <v>-16915.7559999999</v>
      </c>
      <c r="K5" s="7"/>
      <c r="L5" s="7" t="n">
        <v>-3058.5000000001</v>
      </c>
      <c r="M5" s="0" t="n">
        <v>457440</v>
      </c>
      <c r="O5" s="0" t="n">
        <v>35.6</v>
      </c>
      <c r="P5" s="8" t="n">
        <f aca="false">O5*10000/23</f>
        <v>15478.2608695652</v>
      </c>
    </row>
    <row r="6" customFormat="false" ht="12.75" hidden="false" customHeight="false" outlineLevel="0" collapsed="false">
      <c r="A6" s="3" t="s">
        <v>6</v>
      </c>
      <c r="B6" s="3" t="n">
        <f aca="false">B5+0.076</f>
        <v>4.026</v>
      </c>
      <c r="C6" s="3"/>
      <c r="D6" s="0" t="s">
        <v>7</v>
      </c>
      <c r="F6" s="5" t="n">
        <f aca="false">HH_SWAP!BJ36+Q36+HSC_SWAP!Y36</f>
        <v>261232.5</v>
      </c>
      <c r="I6" s="6" t="n">
        <v>236330.5</v>
      </c>
      <c r="J6" s="7" t="n">
        <f aca="false">F6-I6</f>
        <v>24902.0000000001</v>
      </c>
      <c r="K6" s="7"/>
      <c r="L6" s="7" t="n">
        <v>294225</v>
      </c>
      <c r="O6" s="0" t="n">
        <f aca="false">38.4</f>
        <v>38.4</v>
      </c>
      <c r="P6" s="8" t="n">
        <f aca="false">O6*10000/23</f>
        <v>16695.652173913</v>
      </c>
    </row>
    <row r="7" customFormat="false" ht="12.75" hidden="false" customHeight="false" outlineLevel="0" collapsed="false">
      <c r="A7" s="3" t="s">
        <v>8</v>
      </c>
      <c r="B7" s="3" t="n">
        <f aca="false">B6+0.032</f>
        <v>4.058</v>
      </c>
      <c r="C7" s="3"/>
      <c r="D7" s="0" t="s">
        <v>9</v>
      </c>
      <c r="F7" s="9" t="n">
        <f aca="false">JUN_PHY!G26</f>
        <v>0</v>
      </c>
      <c r="I7" s="6" t="n">
        <v>0</v>
      </c>
      <c r="J7" s="7" t="n">
        <f aca="false">F7-I7</f>
        <v>0</v>
      </c>
      <c r="K7" s="7"/>
      <c r="L7" s="7" t="n">
        <v>0</v>
      </c>
      <c r="P7" s="8" t="n">
        <f aca="false">O7*10000/23</f>
        <v>0</v>
      </c>
    </row>
    <row r="8" customFormat="false" ht="13.5" hidden="false" customHeight="false" outlineLevel="0" collapsed="false">
      <c r="A8" s="3" t="s">
        <v>10</v>
      </c>
      <c r="B8" s="3" t="n">
        <f aca="false">B7+0.026</f>
        <v>4.084</v>
      </c>
      <c r="C8" s="3"/>
      <c r="D8" s="0" t="s">
        <v>11</v>
      </c>
      <c r="F8" s="10" t="n">
        <f aca="false">NYMEX_juL1!I43+NYMEX_AUG!I45+'JUL Swap'!I39+NYMEX_SEP!I39+NYMEX_juL2!I46+X_H!I39+N_V!I39</f>
        <v>62545.0000000014</v>
      </c>
      <c r="I8" s="6" t="n">
        <v>138948</v>
      </c>
      <c r="J8" s="7" t="n">
        <f aca="false">F8-I8</f>
        <v>-76402.9999999986</v>
      </c>
      <c r="K8" s="7"/>
      <c r="L8" s="7" t="n">
        <v>-133332.500000001</v>
      </c>
      <c r="O8" s="0" t="n">
        <f aca="false">112.8</f>
        <v>112.8</v>
      </c>
      <c r="P8" s="8" t="n">
        <f aca="false">O8*10000/23</f>
        <v>49043.4782608696</v>
      </c>
    </row>
    <row r="9" customFormat="false" ht="13.5" hidden="false" customHeight="false" outlineLevel="0" collapsed="false">
      <c r="A9" s="3" t="s">
        <v>12</v>
      </c>
      <c r="B9" s="3" t="n">
        <f aca="false">B8+0.162</f>
        <v>4.246</v>
      </c>
      <c r="C9" s="3"/>
      <c r="F9" s="5" t="n">
        <f aca="false">SUM(F5:F8)</f>
        <v>330665.745000002</v>
      </c>
      <c r="I9" s="6" t="n">
        <v>399082.501000001</v>
      </c>
      <c r="J9" s="7" t="n">
        <f aca="false">F9-I9</f>
        <v>-68416.755999999</v>
      </c>
      <c r="K9" s="6"/>
      <c r="L9" s="6" t="n">
        <v>157833.999999999</v>
      </c>
      <c r="O9" s="0" t="n">
        <v>-6.6</v>
      </c>
      <c r="P9" s="8" t="n">
        <f aca="false">O9*10000/23</f>
        <v>-2869.5652173913</v>
      </c>
    </row>
    <row r="10" customFormat="false" ht="12.75" hidden="false" customHeight="false" outlineLevel="0" collapsed="false">
      <c r="A10" s="3" t="s">
        <v>13</v>
      </c>
      <c r="B10" s="4" t="n">
        <f aca="false">B5+0.4</f>
        <v>4.35</v>
      </c>
      <c r="C10" s="4" t="n">
        <f aca="false">B10-B5</f>
        <v>0.4</v>
      </c>
      <c r="I10" s="6"/>
      <c r="J10" s="6"/>
      <c r="K10" s="6"/>
      <c r="L10" s="7" t="n">
        <v>-8000</v>
      </c>
      <c r="P10" s="8"/>
    </row>
    <row r="11" customFormat="false" ht="12.75" hidden="false" customHeight="false" outlineLevel="0" collapsed="false">
      <c r="A11" s="3" t="s">
        <v>14</v>
      </c>
      <c r="B11" s="4" t="n">
        <f aca="false">B5+0.085</f>
        <v>4.035</v>
      </c>
      <c r="C11" s="4" t="n">
        <f aca="false">B11-B5</f>
        <v>0.085</v>
      </c>
      <c r="D11" s="1" t="s">
        <v>15</v>
      </c>
      <c r="E11" s="11" t="s">
        <v>16</v>
      </c>
      <c r="F11" s="12" t="s">
        <v>17</v>
      </c>
      <c r="I11" s="11" t="s">
        <v>16</v>
      </c>
      <c r="J11" s="12" t="s">
        <v>17</v>
      </c>
      <c r="K11" s="6"/>
      <c r="L11" s="7"/>
      <c r="P11" s="8"/>
    </row>
    <row r="12" customFormat="false" ht="12.75" hidden="false" customHeight="false" outlineLevel="0" collapsed="false">
      <c r="A12" s="3" t="s">
        <v>4</v>
      </c>
      <c r="B12" s="0" t="n">
        <v>3.914</v>
      </c>
      <c r="D12" s="0" t="s">
        <v>18</v>
      </c>
      <c r="E12" s="7" t="n">
        <f aca="false">KATHY_PHYS!AF36</f>
        <v>5188.24499999973</v>
      </c>
      <c r="F12" s="13" t="n">
        <f aca="false">KATHY_PHYS!P36</f>
        <v>400062</v>
      </c>
      <c r="G12" s="14"/>
      <c r="H12" s="14"/>
      <c r="I12" s="7" t="n">
        <v>-7305.99900000024</v>
      </c>
      <c r="J12" s="13" t="n">
        <v>446223</v>
      </c>
      <c r="K12" s="6"/>
      <c r="L12" s="7" t="n">
        <f aca="false">E12-I12</f>
        <v>12494.244</v>
      </c>
      <c r="M12" s="13" t="n">
        <f aca="false">F12-J12</f>
        <v>-46161</v>
      </c>
      <c r="N12" s="15" t="n">
        <f aca="false">L12/J12</f>
        <v>0.0279999999999999</v>
      </c>
      <c r="P12" s="8"/>
    </row>
    <row r="13" customFormat="false" ht="12.75" hidden="false" customHeight="false" outlineLevel="0" collapsed="false">
      <c r="A13" s="3" t="s">
        <v>6</v>
      </c>
      <c r="B13" s="0" t="n">
        <v>3.99</v>
      </c>
      <c r="C13" s="16" t="n">
        <f aca="false">B13-B12</f>
        <v>0.0760000000000001</v>
      </c>
      <c r="E13" s="7"/>
      <c r="F13" s="13"/>
      <c r="G13" s="14"/>
      <c r="H13" s="14"/>
      <c r="I13" s="7"/>
      <c r="J13" s="13"/>
      <c r="K13" s="6"/>
      <c r="L13" s="7" t="n">
        <f aca="false">E13-I13</f>
        <v>0</v>
      </c>
      <c r="M13" s="13" t="n">
        <f aca="false">F13-J13</f>
        <v>0</v>
      </c>
      <c r="N13" s="15" t="e">
        <f aca="false">L13/J13</f>
        <v>#DIV/0!</v>
      </c>
      <c r="P13" s="8"/>
    </row>
    <row r="14" customFormat="false" ht="12.75" hidden="false" customHeight="false" outlineLevel="0" collapsed="false">
      <c r="A14" s="3" t="s">
        <v>8</v>
      </c>
      <c r="B14" s="0" t="n">
        <v>4.022</v>
      </c>
      <c r="C14" s="0" t="n">
        <f aca="false">B14-B13</f>
        <v>0.032</v>
      </c>
      <c r="E14" s="7"/>
      <c r="F14" s="13"/>
      <c r="G14" s="14"/>
      <c r="H14" s="14"/>
      <c r="I14" s="7"/>
      <c r="J14" s="13"/>
      <c r="K14" s="6"/>
      <c r="L14" s="7" t="n">
        <f aca="false">E14-I14</f>
        <v>0</v>
      </c>
      <c r="M14" s="13" t="n">
        <f aca="false">F14-J14</f>
        <v>0</v>
      </c>
      <c r="N14" s="15" t="e">
        <f aca="false">L14/J14</f>
        <v>#DIV/0!</v>
      </c>
      <c r="P14" s="8"/>
    </row>
    <row r="15" customFormat="false" ht="12.75" hidden="false" customHeight="false" outlineLevel="0" collapsed="false">
      <c r="A15" s="3" t="s">
        <v>10</v>
      </c>
      <c r="B15" s="0" t="n">
        <v>4.048</v>
      </c>
      <c r="C15" s="0" t="n">
        <f aca="false">B15-B14</f>
        <v>0.0259999999999998</v>
      </c>
      <c r="D15" s="17"/>
      <c r="E15" s="18" t="n">
        <f aca="false">SUM(E12:E14)</f>
        <v>5188.24499999973</v>
      </c>
      <c r="F15" s="19" t="n">
        <f aca="false">SUM(F12:F14)</f>
        <v>400062</v>
      </c>
      <c r="G15" s="20" t="n">
        <f aca="false">F15/E31</f>
        <v>15387</v>
      </c>
      <c r="H15" s="20"/>
      <c r="I15" s="18" t="n">
        <v>-7305.99900000024</v>
      </c>
      <c r="J15" s="19" t="n">
        <v>446223</v>
      </c>
      <c r="K15" s="21"/>
      <c r="L15" s="22" t="n">
        <f aca="false">E15-I15</f>
        <v>12494.244</v>
      </c>
      <c r="M15" s="19" t="n">
        <f aca="false">F15-J15</f>
        <v>-46161</v>
      </c>
      <c r="N15" s="15" t="n">
        <f aca="false">L15/J15</f>
        <v>0.0279999999999999</v>
      </c>
      <c r="P15" s="23"/>
    </row>
    <row r="16" customFormat="false" ht="12.75" hidden="false" customHeight="false" outlineLevel="0" collapsed="false">
      <c r="A16" s="3" t="s">
        <v>12</v>
      </c>
      <c r="B16" s="0" t="n">
        <v>4.21</v>
      </c>
      <c r="C16" s="0" t="n">
        <f aca="false">B16-B15</f>
        <v>0.162</v>
      </c>
      <c r="D16" s="1" t="s">
        <v>19</v>
      </c>
      <c r="E16" s="24"/>
      <c r="F16" s="25"/>
      <c r="G16" s="14"/>
      <c r="H16" s="14"/>
      <c r="I16" s="24"/>
      <c r="J16" s="25"/>
      <c r="K16" s="6"/>
      <c r="M16" s="25"/>
      <c r="N16" s="15" t="e">
        <f aca="false">L16/J16</f>
        <v>#DIV/0!</v>
      </c>
      <c r="P16" s="23"/>
    </row>
    <row r="17" customFormat="false" ht="12.75" hidden="false" customHeight="false" outlineLevel="0" collapsed="false">
      <c r="A17" s="0" t="s">
        <v>20</v>
      </c>
      <c r="B17" s="0" t="n">
        <f aca="false">AVERAGE(B12:B15)</f>
        <v>3.9935</v>
      </c>
      <c r="C17" s="0" t="n">
        <f aca="false">B17-B12</f>
        <v>0.0794999999999999</v>
      </c>
      <c r="D17" s="0" t="s">
        <v>21</v>
      </c>
      <c r="E17" s="7" t="n">
        <f aca="false">HH_SWAP!BJ36</f>
        <v>176732.5</v>
      </c>
      <c r="F17" s="26" t="n">
        <f aca="false">HH_SWAP!AE36</f>
        <v>611000</v>
      </c>
      <c r="G17" s="14"/>
      <c r="H17" s="14"/>
      <c r="I17" s="7" t="n">
        <v>174815.5</v>
      </c>
      <c r="J17" s="26" t="n">
        <v>391500</v>
      </c>
      <c r="K17" s="6"/>
      <c r="L17" s="7" t="n">
        <f aca="false">E17-I17</f>
        <v>1917.00000000015</v>
      </c>
      <c r="M17" s="26" t="n">
        <f aca="false">F17-J17</f>
        <v>219500</v>
      </c>
      <c r="N17" s="15" t="n">
        <f aca="false">L17/J17</f>
        <v>0.0048965517241383</v>
      </c>
      <c r="P17" s="8"/>
    </row>
    <row r="18" customFormat="false" ht="12.75" hidden="false" customHeight="false" outlineLevel="0" collapsed="false">
      <c r="A18" s="0" t="s">
        <v>13</v>
      </c>
      <c r="B18" s="0" t="n">
        <f aca="false">B12+0.387</f>
        <v>4.301</v>
      </c>
      <c r="C18" s="0" t="n">
        <f aca="false">B18-B12</f>
        <v>0.387</v>
      </c>
      <c r="D18" s="0" t="s">
        <v>22</v>
      </c>
      <c r="E18" s="7" t="n">
        <f aca="false">HSC_SWAP!Y36</f>
        <v>84500</v>
      </c>
      <c r="F18" s="13" t="n">
        <f aca="false">HSC_SWAP!N36</f>
        <v>260000</v>
      </c>
      <c r="G18" s="14"/>
      <c r="H18" s="14"/>
      <c r="I18" s="7" t="n">
        <v>61515.0000000001</v>
      </c>
      <c r="J18" s="13" t="n">
        <v>435000</v>
      </c>
      <c r="K18" s="6"/>
      <c r="L18" s="7" t="n">
        <f aca="false">E18-I18</f>
        <v>22984.9999999999</v>
      </c>
      <c r="M18" s="26" t="n">
        <f aca="false">F18-J18</f>
        <v>-175000</v>
      </c>
      <c r="N18" s="15" t="n">
        <f aca="false">L18/J18</f>
        <v>0.0528390804597699</v>
      </c>
      <c r="P18" s="8"/>
    </row>
    <row r="19" customFormat="false" ht="12.75" hidden="false" customHeight="false" outlineLevel="0" collapsed="false">
      <c r="A19" s="0" t="s">
        <v>23</v>
      </c>
      <c r="B19" s="0" t="n">
        <f aca="false">GasDaily!C33</f>
        <v>3.835</v>
      </c>
      <c r="D19" s="0" t="s">
        <v>24</v>
      </c>
      <c r="E19" s="7" t="n">
        <f aca="false">KATY_SWAP!AT$36</f>
        <v>-9799.99999999981</v>
      </c>
      <c r="F19" s="13" t="n">
        <f aca="false">KATY_SWAP!W$36</f>
        <v>-520000</v>
      </c>
      <c r="G19" s="14"/>
      <c r="H19" s="14"/>
      <c r="I19" s="7" t="n">
        <v>5570.00000000015</v>
      </c>
      <c r="J19" s="13" t="n">
        <v>-580000</v>
      </c>
      <c r="K19" s="6"/>
      <c r="L19" s="7" t="n">
        <f aca="false">E19-I19</f>
        <v>-15370</v>
      </c>
      <c r="M19" s="13" t="n">
        <f aca="false">F19-J19</f>
        <v>60000</v>
      </c>
      <c r="N19" s="15" t="n">
        <f aca="false">L19/J19</f>
        <v>0.0264999999999999</v>
      </c>
      <c r="P19" s="8"/>
    </row>
    <row r="20" customFormat="false" ht="12.75" hidden="false" customHeight="false" outlineLevel="0" collapsed="false">
      <c r="A20" s="0" t="s">
        <v>25</v>
      </c>
      <c r="B20" s="0" t="n">
        <f aca="false">GasDaily!R33</f>
        <v>3.845</v>
      </c>
      <c r="D20" s="0" t="s">
        <v>26</v>
      </c>
      <c r="E20" s="7" t="n">
        <f aca="false">WAHA_swap!Z36</f>
        <v>11500.0000000001</v>
      </c>
      <c r="F20" s="13" t="n">
        <f aca="false">WAHA_swap!M36</f>
        <v>-520000</v>
      </c>
      <c r="G20" s="14"/>
      <c r="H20" s="14"/>
      <c r="I20" s="7" t="n">
        <v>25540</v>
      </c>
      <c r="J20" s="13" t="n">
        <v>-580000</v>
      </c>
      <c r="K20" s="6"/>
      <c r="L20" s="7" t="n">
        <f aca="false">E20-I20</f>
        <v>-14039.9999999999</v>
      </c>
      <c r="M20" s="13" t="n">
        <f aca="false">F20-J20</f>
        <v>60000</v>
      </c>
      <c r="N20" s="15" t="n">
        <f aca="false">L20/J20</f>
        <v>0.024206896551724</v>
      </c>
      <c r="P20" s="8"/>
    </row>
    <row r="21" customFormat="false" ht="12.75" hidden="false" customHeight="false" outlineLevel="0" collapsed="false">
      <c r="A21" s="0" t="s">
        <v>27</v>
      </c>
      <c r="B21" s="0" t="n">
        <f aca="false">GasDaily!AF33</f>
        <v>3.875</v>
      </c>
      <c r="D21" s="0" t="s">
        <v>28</v>
      </c>
      <c r="E21" s="7" t="n">
        <f aca="false">JUN_PHY!G26</f>
        <v>0</v>
      </c>
      <c r="F21" s="13" t="n">
        <f aca="false">JUN_PHY!F26*10000</f>
        <v>0</v>
      </c>
      <c r="G21" s="14"/>
      <c r="H21" s="14"/>
      <c r="I21" s="7" t="n">
        <v>0</v>
      </c>
      <c r="J21" s="13" t="n">
        <v>0</v>
      </c>
      <c r="K21" s="6"/>
      <c r="L21" s="7" t="n">
        <f aca="false">E21-I21</f>
        <v>0</v>
      </c>
      <c r="M21" s="13" t="n">
        <f aca="false">F21-J21</f>
        <v>0</v>
      </c>
      <c r="N21" s="15" t="e">
        <f aca="false">L21/J21</f>
        <v>#DIV/0!</v>
      </c>
      <c r="P21" s="8"/>
    </row>
    <row r="22" customFormat="false" ht="12.75" hidden="false" customHeight="false" outlineLevel="0" collapsed="false">
      <c r="A22" s="0" t="s">
        <v>29</v>
      </c>
      <c r="B22" s="0" t="n">
        <f aca="false">GasDaily!V33</f>
        <v>3.755</v>
      </c>
      <c r="E22" s="18" t="n">
        <f aca="false">SUM(E17:E21)</f>
        <v>262932.5</v>
      </c>
      <c r="F22" s="19" t="n">
        <f aca="false">SUM(F17:F21)</f>
        <v>-169000</v>
      </c>
      <c r="G22" s="20" t="n">
        <f aca="false">F22/E31</f>
        <v>-6500</v>
      </c>
      <c r="H22" s="20"/>
      <c r="I22" s="18" t="n">
        <v>267440.5</v>
      </c>
      <c r="J22" s="19" t="n">
        <v>-333500</v>
      </c>
      <c r="K22" s="21"/>
      <c r="L22" s="22" t="n">
        <f aca="false">E22-I22</f>
        <v>-4507.99999999965</v>
      </c>
      <c r="M22" s="19" t="n">
        <f aca="false">F22-J22</f>
        <v>164500</v>
      </c>
      <c r="N22" s="15" t="n">
        <f aca="false">L22/J22</f>
        <v>0.0135172413793093</v>
      </c>
      <c r="P22" s="8"/>
    </row>
    <row r="23" customFormat="false" ht="12.75" hidden="false" customHeight="false" outlineLevel="0" collapsed="false">
      <c r="A23" s="0" t="s">
        <v>30</v>
      </c>
      <c r="B23" s="0" t="n">
        <f aca="false">GasDaily!X33</f>
        <v>0</v>
      </c>
      <c r="D23" s="27" t="s">
        <v>31</v>
      </c>
      <c r="E23" s="7" t="n">
        <f aca="false">NYMEX_juL1!I43+NYMEX_juL2!I46</f>
        <v>180975</v>
      </c>
      <c r="F23" s="13" t="n">
        <f aca="false">(NYMEX_juL1!E41*10000)+(NYMEX_juL2!E44*10000)+'JUL Swap'!E37*10000</f>
        <v>-827500</v>
      </c>
      <c r="G23" s="14"/>
      <c r="H23" s="14"/>
      <c r="I23" s="7" t="n">
        <v>194490.000000001</v>
      </c>
      <c r="J23" s="13" t="n">
        <v>-440000</v>
      </c>
      <c r="K23" s="6"/>
      <c r="L23" s="28" t="n">
        <f aca="false">E23-I23</f>
        <v>-13515.0000000009</v>
      </c>
      <c r="M23" s="26" t="n">
        <f aca="false">F23-J23</f>
        <v>-387500</v>
      </c>
      <c r="N23" s="15" t="n">
        <f aca="false">L23/J23</f>
        <v>0.0307159090909111</v>
      </c>
      <c r="P23" s="8"/>
    </row>
    <row r="24" customFormat="false" ht="12.75" hidden="false" customHeight="false" outlineLevel="0" collapsed="false">
      <c r="A24" s="0" t="s">
        <v>32</v>
      </c>
      <c r="B24" s="0" t="n">
        <f aca="false">GasDaily!AH33</f>
        <v>0</v>
      </c>
      <c r="D24" s="0" t="s">
        <v>33</v>
      </c>
      <c r="E24" s="7" t="n">
        <f aca="false">NYMEX_AUG!I45</f>
        <v>50607.4999999999</v>
      </c>
      <c r="F24" s="13" t="n">
        <f aca="false">NYMEX_AUG!E43*10000</f>
        <v>-155000</v>
      </c>
      <c r="G24" s="14"/>
      <c r="H24" s="14"/>
      <c r="I24" s="7" t="n">
        <v>56187.4999999998</v>
      </c>
      <c r="J24" s="13" t="n">
        <v>-155000</v>
      </c>
      <c r="K24" s="6"/>
      <c r="L24" s="28" t="n">
        <f aca="false">E24-I24</f>
        <v>-5579.99999999994</v>
      </c>
      <c r="M24" s="26" t="n">
        <f aca="false">F24-J24</f>
        <v>0</v>
      </c>
      <c r="N24" s="15"/>
      <c r="P24" s="8"/>
    </row>
    <row r="25" customFormat="false" ht="12.75" hidden="false" customHeight="false" outlineLevel="0" collapsed="false">
      <c r="A25" s="0" t="s">
        <v>34</v>
      </c>
      <c r="B25" s="0" t="n">
        <f aca="false">GasDaily!N33</f>
        <v>3.685</v>
      </c>
      <c r="D25" s="0" t="s">
        <v>35</v>
      </c>
      <c r="E25" s="7" t="n">
        <f aca="false">NYMEX_SEP!I39</f>
        <v>0</v>
      </c>
      <c r="F25" s="13" t="n">
        <f aca="false">NYMEX_SEP!E37*10000</f>
        <v>0</v>
      </c>
      <c r="G25" s="14"/>
      <c r="H25" s="14"/>
      <c r="I25" s="7" t="n">
        <v>0</v>
      </c>
      <c r="J25" s="13" t="n">
        <v>0</v>
      </c>
      <c r="K25" s="6"/>
      <c r="L25" s="28" t="n">
        <f aca="false">E25-I25</f>
        <v>0</v>
      </c>
      <c r="M25" s="26" t="n">
        <f aca="false">F25-J25</f>
        <v>0</v>
      </c>
      <c r="N25" s="15" t="e">
        <f aca="false">L25/J25</f>
        <v>#DIV/0!</v>
      </c>
      <c r="P25" s="8"/>
    </row>
    <row r="26" customFormat="false" ht="12.75" hidden="false" customHeight="false" outlineLevel="0" collapsed="false">
      <c r="D26" s="0" t="s">
        <v>36</v>
      </c>
      <c r="E26" s="7" t="n">
        <f aca="false">N_V!I39</f>
        <v>4612.50000000018</v>
      </c>
      <c r="F26" s="13" t="n">
        <f aca="false">N_V!E37*10000</f>
        <v>307500</v>
      </c>
      <c r="G26" s="14" t="n">
        <f aca="false">F26/153</f>
        <v>2009.80392156863</v>
      </c>
      <c r="H26" s="14"/>
      <c r="I26" s="7" t="n">
        <v>0</v>
      </c>
      <c r="J26" s="13" t="n">
        <v>0</v>
      </c>
      <c r="K26" s="6"/>
      <c r="L26" s="28" t="n">
        <f aca="false">E26-I26</f>
        <v>4612.50000000018</v>
      </c>
      <c r="M26" s="26" t="n">
        <f aca="false">F26-J26</f>
        <v>307500</v>
      </c>
      <c r="N26" s="15"/>
      <c r="P26" s="8"/>
    </row>
    <row r="27" customFormat="false" ht="12.75" hidden="false" customHeight="false" outlineLevel="0" collapsed="false">
      <c r="B27" s="0" t="n">
        <v>9.775</v>
      </c>
      <c r="D27" s="0" t="s">
        <v>37</v>
      </c>
      <c r="E27" s="7" t="n">
        <f aca="false">X_H!I39</f>
        <v>-173649.999999999</v>
      </c>
      <c r="F27" s="13" t="n">
        <f aca="false">X_H!E37*10000</f>
        <v>0</v>
      </c>
      <c r="G27" s="14" t="n">
        <f aca="false">F27/151</f>
        <v>0</v>
      </c>
      <c r="H27" s="14"/>
      <c r="I27" s="7" t="n">
        <v>-111729.500000001</v>
      </c>
      <c r="J27" s="13" t="n">
        <v>-377000</v>
      </c>
      <c r="K27" s="6"/>
      <c r="L27" s="28" t="n">
        <f aca="false">E27-I27</f>
        <v>-61920.4999999981</v>
      </c>
      <c r="M27" s="14" t="n">
        <f aca="false">F27-J27</f>
        <v>377000</v>
      </c>
      <c r="N27" s="15"/>
      <c r="P27" s="8"/>
    </row>
    <row r="28" customFormat="false" ht="12.75" hidden="false" customHeight="false" outlineLevel="0" collapsed="false">
      <c r="B28" s="0" t="n">
        <v>8.791</v>
      </c>
      <c r="E28" s="18" t="n">
        <f aca="false">SUM(E23:E27)</f>
        <v>62545.0000000014</v>
      </c>
      <c r="F28" s="19" t="n">
        <f aca="false">SUM(F23:F27)</f>
        <v>-675000</v>
      </c>
      <c r="G28" s="20"/>
      <c r="H28" s="20"/>
      <c r="I28" s="18" t="n">
        <v>138948</v>
      </c>
      <c r="J28" s="19" t="n">
        <v>-972000</v>
      </c>
      <c r="K28" s="21"/>
      <c r="L28" s="22" t="n">
        <f aca="false">SUM(L23:L27)</f>
        <v>-76402.9999999988</v>
      </c>
      <c r="M28" s="19" t="n">
        <f aca="false">SUM(M23:M27)</f>
        <v>297000</v>
      </c>
      <c r="N28" s="15"/>
      <c r="P28" s="8"/>
    </row>
    <row r="29" customFormat="false" ht="12.75" hidden="false" customHeight="false" outlineLevel="0" collapsed="false">
      <c r="B29" s="0" t="n">
        <v>6.291</v>
      </c>
      <c r="D29" s="29" t="s">
        <v>38</v>
      </c>
      <c r="E29" s="30" t="n">
        <f aca="false">E15+E22+E28</f>
        <v>330665.745000002</v>
      </c>
      <c r="F29" s="31" t="n">
        <f aca="false">F15+F22+F28</f>
        <v>-443938</v>
      </c>
      <c r="G29" s="32"/>
      <c r="H29" s="32"/>
      <c r="I29" s="30" t="n">
        <v>399082.501000001</v>
      </c>
      <c r="J29" s="31" t="n">
        <v>-859277</v>
      </c>
      <c r="K29" s="31" t="e">
        <f aca="false">K15+K22+#REF!</f>
        <v>#REF!</v>
      </c>
      <c r="L29" s="33" t="n">
        <f aca="false">L15+L22+L28</f>
        <v>-68416.7559999985</v>
      </c>
      <c r="M29" s="34" t="n">
        <f aca="false">M15+M22+M28</f>
        <v>415339</v>
      </c>
      <c r="N29" s="15" t="n">
        <f aca="false">L29/F29</f>
        <v>0.154113313120297</v>
      </c>
      <c r="O29" s="0" t="n">
        <f aca="false">90.3+0.9+0.2+11.4</f>
        <v>102.8</v>
      </c>
      <c r="P29" s="8" t="n">
        <f aca="false">O29*10000/23</f>
        <v>44695.6521739131</v>
      </c>
    </row>
    <row r="30" customFormat="false" ht="12.75" hidden="false" customHeight="false" outlineLevel="0" collapsed="false">
      <c r="B30" s="0" t="n">
        <v>5.491</v>
      </c>
      <c r="E30" s="7"/>
      <c r="F30" s="26"/>
      <c r="J30" s="35"/>
      <c r="L30" s="7"/>
      <c r="P30" s="8"/>
    </row>
    <row r="31" customFormat="false" ht="12.75" hidden="false" customHeight="false" outlineLevel="0" collapsed="false">
      <c r="B31" s="0" t="n">
        <v>5.4</v>
      </c>
      <c r="E31" s="0" t="n">
        <v>26</v>
      </c>
      <c r="O31" s="0" t="n">
        <f aca="false">SUM(O5:O29)</f>
        <v>283</v>
      </c>
      <c r="P31" s="8" t="n">
        <f aca="false">SUM(P5:P29)</f>
        <v>123043.47826087</v>
      </c>
    </row>
    <row r="32" customFormat="false" ht="12.75" hidden="false" customHeight="false" outlineLevel="0" collapsed="false">
      <c r="B32" s="0" t="n">
        <v>8.28566666666667</v>
      </c>
      <c r="D32" s="0" t="s">
        <v>15</v>
      </c>
      <c r="E32" s="8" t="n">
        <f aca="false">F32/E31</f>
        <v>15387</v>
      </c>
      <c r="F32" s="26" t="n">
        <f aca="false">+KATHY_PHYS!P36</f>
        <v>400062</v>
      </c>
      <c r="G32" s="36"/>
      <c r="I32" s="26" t="n">
        <v>6098012.17</v>
      </c>
      <c r="J32" s="26" t="n">
        <f aca="false">F32-I32</f>
        <v>-5697950.17</v>
      </c>
      <c r="K32" s="26"/>
      <c r="L32" s="26" t="n">
        <v>-98500</v>
      </c>
      <c r="O32" s="0" t="n">
        <v>-39.1</v>
      </c>
      <c r="P32" s="0" t="n">
        <f aca="false">(P31/12)/10000</f>
        <v>1.02536231884058</v>
      </c>
    </row>
    <row r="33" customFormat="false" ht="12.75" hidden="false" customHeight="false" outlineLevel="0" collapsed="false">
      <c r="D33" s="0" t="s">
        <v>19</v>
      </c>
      <c r="E33" s="8" t="n">
        <f aca="false">F33/E31</f>
        <v>-6500</v>
      </c>
      <c r="F33" s="37" t="n">
        <f aca="false">HH_SWAP!AE36+HSC_SWAP!N36+WAHA_swap!M36+KATY_SWAP!W36</f>
        <v>-169000</v>
      </c>
      <c r="G33" s="26"/>
      <c r="I33" s="26" t="n">
        <v>-4495000</v>
      </c>
      <c r="J33" s="26" t="n">
        <f aca="false">F33-I33</f>
        <v>4326000</v>
      </c>
      <c r="K33" s="26"/>
      <c r="L33" s="26" t="n">
        <v>310000</v>
      </c>
      <c r="O33" s="0" t="n">
        <f aca="false">SUM(O31:O32)</f>
        <v>243.9</v>
      </c>
    </row>
    <row r="34" customFormat="false" ht="12.75" hidden="false" customHeight="false" outlineLevel="0" collapsed="false">
      <c r="E34" s="38" t="n">
        <f aca="false">SUM(E32:E33)</f>
        <v>8887</v>
      </c>
      <c r="F34" s="26" t="n">
        <f aca="false">SUM(F32:F33)</f>
        <v>231062</v>
      </c>
      <c r="G34" s="26" t="n">
        <f aca="false">F34/E31</f>
        <v>8887</v>
      </c>
      <c r="I34" s="26" t="n">
        <v>1603012.17</v>
      </c>
      <c r="J34" s="26" t="n">
        <f aca="false">F34-I34</f>
        <v>-1371950.17</v>
      </c>
      <c r="K34" s="26"/>
      <c r="L34" s="26" t="n">
        <v>211500</v>
      </c>
    </row>
    <row r="35" customFormat="false" ht="13.5" hidden="false" customHeight="false" outlineLevel="0" collapsed="false">
      <c r="B35" s="0" t="n">
        <v>8.66</v>
      </c>
      <c r="D35" s="0" t="s">
        <v>39</v>
      </c>
      <c r="F35" s="39" t="n">
        <f aca="false">(NYMEX_juL1!E41)*10000+(NYMEX_AUG!E43)*10000+('JUL Swap'!E37)*10000+NYMEX_SEP!E37*10000+NYMEX_juL2!E44*10000+(X_H!E37)*10000+(N_V!E37)*10000</f>
        <v>-675000</v>
      </c>
      <c r="G35" s="26"/>
      <c r="I35" s="26" t="n">
        <v>150000</v>
      </c>
      <c r="J35" s="26" t="n">
        <f aca="false">F35-I35</f>
        <v>-825000</v>
      </c>
      <c r="K35" s="26"/>
      <c r="L35" s="26" t="n">
        <v>0</v>
      </c>
    </row>
    <row r="36" customFormat="false" ht="13.5" hidden="false" customHeight="false" outlineLevel="0" collapsed="false">
      <c r="E36" s="0" t="s">
        <v>40</v>
      </c>
      <c r="F36" s="26" t="n">
        <f aca="false">SUM(F34:F35)+F21</f>
        <v>-443938</v>
      </c>
      <c r="I36" s="26" t="n">
        <v>672000</v>
      </c>
      <c r="J36" s="26" t="n">
        <f aca="false">F36-I36</f>
        <v>-1115938</v>
      </c>
      <c r="K36" s="26"/>
      <c r="L36" s="26" t="n">
        <v>211500</v>
      </c>
      <c r="M36" s="0" t="n">
        <f aca="false">(225000*0.01)</f>
        <v>2250</v>
      </c>
    </row>
    <row r="37" customFormat="false" ht="12.75" hidden="false" customHeight="false" outlineLevel="0" collapsed="false">
      <c r="E37" s="0" t="s">
        <v>41</v>
      </c>
      <c r="F37" s="36"/>
    </row>
    <row r="38" customFormat="false" ht="12.75" hidden="false" customHeight="false" outlineLevel="0" collapsed="false">
      <c r="E38" s="0" t="s">
        <v>42</v>
      </c>
      <c r="F38" s="26"/>
      <c r="I38" s="0" t="n">
        <f aca="false">5023426-4713426</f>
        <v>310000</v>
      </c>
      <c r="M38" s="0" t="n">
        <f aca="false">8.65-8.08</f>
        <v>0.57</v>
      </c>
    </row>
    <row r="39" customFormat="false" ht="12.75" hidden="false" customHeight="false" outlineLevel="0" collapsed="false">
      <c r="F39" s="26" t="n">
        <f aca="false">SUM(F36:F38)</f>
        <v>-443938</v>
      </c>
      <c r="G39" s="16" t="n">
        <f aca="false">F39/E31</f>
        <v>-17074.5384615385</v>
      </c>
    </row>
    <row r="41" customFormat="false" ht="12.75" hidden="false" customHeight="false" outlineLevel="0" collapsed="false">
      <c r="F41" s="26" t="n">
        <f aca="false">SUM(F39:F40)</f>
        <v>-443938</v>
      </c>
    </row>
    <row r="42" customFormat="false" ht="12.75" hidden="false" customHeight="false" outlineLevel="0" collapsed="false">
      <c r="F42" s="7"/>
    </row>
    <row r="44" customFormat="false" ht="12.75" hidden="false" customHeight="false" outlineLevel="0" collapsed="false">
      <c r="E44" s="0" t="n">
        <v>3.145</v>
      </c>
    </row>
    <row r="46" customFormat="false" ht="12.75" hidden="false" customHeight="false" outlineLevel="0" collapsed="false">
      <c r="F46" s="26"/>
    </row>
  </sheetData>
  <printOptions headings="false" gridLines="false" gridLinesSet="true" horizontalCentered="false" verticalCentered="false"/>
  <pageMargins left="1.24027777777778" right="0" top="1.24027777777778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0" width="9.14"/>
    <col collapsed="false" customWidth="true" hidden="false" outlineLevel="0" max="2" min="2" style="0" width="9.41"/>
    <col collapsed="false" customWidth="true" hidden="false" outlineLevel="0" max="3" min="3" style="51" width="17.14"/>
    <col collapsed="false" customWidth="true" hidden="false" outlineLevel="0" max="4" min="4" style="0" width="3.14"/>
    <col collapsed="false" customWidth="true" hidden="false" outlineLevel="0" max="5" min="5" style="52" width="10.13"/>
    <col collapsed="false" customWidth="true" hidden="false" outlineLevel="0" max="6" min="6" style="0" width="9.41"/>
    <col collapsed="false" customWidth="true" hidden="false" outlineLevel="0" max="7" min="7" style="53" width="15.28"/>
    <col collapsed="false" customWidth="true" hidden="false" outlineLevel="0" max="8" min="8" style="0" width="2.84"/>
    <col collapsed="false" customWidth="true" hidden="false" outlineLevel="0" max="9" min="9" style="54" width="14.85"/>
    <col collapsed="false" customWidth="true" hidden="false" outlineLevel="0" max="10" min="10" style="0" width="2.13"/>
    <col collapsed="false" customWidth="true" hidden="false" outlineLevel="0" max="11" min="11" style="0" width="21.7"/>
  </cols>
  <sheetData>
    <row r="1" customFormat="false" ht="12.75" hidden="false" customHeight="false" outlineLevel="0" collapsed="false">
      <c r="A1" s="55" t="s">
        <v>49</v>
      </c>
      <c r="B1" s="3"/>
      <c r="C1" s="56"/>
      <c r="D1" s="17"/>
      <c r="E1" s="55" t="s">
        <v>50</v>
      </c>
      <c r="F1" s="3"/>
      <c r="G1" s="57"/>
      <c r="I1" s="58"/>
      <c r="K1" s="59"/>
    </row>
    <row r="2" customFormat="false" ht="12.75" hidden="false" customHeight="false" outlineLevel="0" collapsed="false">
      <c r="A2" s="60" t="n">
        <v>31</v>
      </c>
      <c r="B2" s="3" t="n">
        <v>4.0475</v>
      </c>
      <c r="C2" s="56" t="n">
        <f aca="false">A2*B2*10000</f>
        <v>1254725</v>
      </c>
      <c r="D2" s="17"/>
      <c r="E2" s="61" t="n">
        <v>31</v>
      </c>
      <c r="F2" s="62" t="n">
        <v>3.8975</v>
      </c>
      <c r="G2" s="63" t="n">
        <f aca="false">E2*F2*10000</f>
        <v>1208225</v>
      </c>
      <c r="I2" s="64"/>
    </row>
    <row r="3" customFormat="false" ht="12.75" hidden="false" customHeight="false" outlineLevel="0" collapsed="false">
      <c r="A3" s="60" t="n">
        <v>15.5</v>
      </c>
      <c r="B3" s="3" t="n">
        <v>4.0525</v>
      </c>
      <c r="C3" s="56" t="n">
        <f aca="false">A3*B3*10000</f>
        <v>628137.5</v>
      </c>
      <c r="D3" s="17"/>
      <c r="E3" s="65"/>
      <c r="F3" s="3"/>
      <c r="G3" s="63" t="n">
        <f aca="false">E3*F3*10000</f>
        <v>0</v>
      </c>
      <c r="I3" s="66"/>
      <c r="K3" s="67"/>
    </row>
    <row r="4" customFormat="false" ht="12.75" hidden="false" customHeight="false" outlineLevel="0" collapsed="false">
      <c r="A4" s="68"/>
      <c r="B4" s="62"/>
      <c r="C4" s="56" t="n">
        <f aca="false">A4*B4*10000</f>
        <v>0</v>
      </c>
      <c r="D4" s="17"/>
      <c r="E4" s="65"/>
      <c r="F4" s="3"/>
      <c r="G4" s="63" t="n">
        <f aca="false">E4*F4*10000</f>
        <v>0</v>
      </c>
      <c r="J4" s="64"/>
      <c r="K4" s="17"/>
    </row>
    <row r="5" customFormat="false" ht="12.75" hidden="false" customHeight="false" outlineLevel="0" collapsed="false">
      <c r="A5" s="68"/>
      <c r="B5" s="62"/>
      <c r="C5" s="56" t="n">
        <f aca="false">A5*B5*10000</f>
        <v>0</v>
      </c>
      <c r="D5" s="17"/>
      <c r="E5" s="61"/>
      <c r="F5" s="62"/>
      <c r="G5" s="63" t="n">
        <f aca="false">E5*F5*10000</f>
        <v>0</v>
      </c>
      <c r="I5" s="64"/>
      <c r="J5" s="36"/>
      <c r="K5" s="17"/>
    </row>
    <row r="6" customFormat="false" ht="12.75" hidden="false" customHeight="false" outlineLevel="0" collapsed="false">
      <c r="A6" s="69"/>
      <c r="B6" s="3"/>
      <c r="C6" s="56" t="n">
        <f aca="false">A6*B6*10000</f>
        <v>0</v>
      </c>
      <c r="D6" s="17"/>
      <c r="E6" s="65"/>
      <c r="F6" s="3"/>
      <c r="G6" s="63" t="n">
        <f aca="false">E6*F6*10000</f>
        <v>0</v>
      </c>
      <c r="I6" s="64"/>
      <c r="J6" s="36"/>
      <c r="K6" s="17"/>
    </row>
    <row r="7" customFormat="false" ht="12.75" hidden="false" customHeight="false" outlineLevel="0" collapsed="false">
      <c r="A7" s="65"/>
      <c r="B7" s="3"/>
      <c r="C7" s="56" t="n">
        <f aca="false">A7*B7*10000</f>
        <v>0</v>
      </c>
      <c r="D7" s="17"/>
      <c r="E7" s="77"/>
      <c r="F7" s="78"/>
      <c r="G7" s="79" t="n">
        <f aca="false">E7*F7*10000</f>
        <v>0</v>
      </c>
      <c r="I7" s="64" t="s">
        <v>61</v>
      </c>
    </row>
    <row r="8" customFormat="false" ht="12.75" hidden="false" customHeight="false" outlineLevel="0" collapsed="false">
      <c r="A8" s="65"/>
      <c r="B8" s="3"/>
      <c r="C8" s="56" t="n">
        <f aca="false">A8*B8*10000</f>
        <v>0</v>
      </c>
      <c r="D8" s="17"/>
      <c r="E8" s="65"/>
      <c r="F8" s="3"/>
      <c r="G8" s="63" t="n">
        <f aca="false">E8*F8*10000</f>
        <v>0</v>
      </c>
      <c r="I8" s="64"/>
      <c r="K8" s="17"/>
    </row>
    <row r="9" customFormat="false" ht="12.75" hidden="false" customHeight="false" outlineLevel="0" collapsed="false">
      <c r="A9" s="65"/>
      <c r="B9" s="3"/>
      <c r="C9" s="56" t="n">
        <f aca="false">A9*B9*10000</f>
        <v>0</v>
      </c>
      <c r="D9" s="17"/>
      <c r="E9" s="65"/>
      <c r="F9" s="3"/>
      <c r="G9" s="63" t="n">
        <f aca="false">E9*F9*10000</f>
        <v>0</v>
      </c>
      <c r="I9" s="64"/>
    </row>
    <row r="10" customFormat="false" ht="12.75" hidden="false" customHeight="false" outlineLevel="0" collapsed="false">
      <c r="A10" s="65"/>
      <c r="B10" s="3"/>
      <c r="C10" s="56" t="n">
        <f aca="false">A10*B10*10000</f>
        <v>0</v>
      </c>
      <c r="D10" s="17"/>
      <c r="E10" s="65"/>
      <c r="F10" s="3"/>
      <c r="G10" s="63" t="n">
        <f aca="false">E10*F10*10000</f>
        <v>0</v>
      </c>
      <c r="I10" s="64"/>
    </row>
    <row r="11" customFormat="false" ht="12.75" hidden="false" customHeight="false" outlineLevel="0" collapsed="false">
      <c r="A11" s="65"/>
      <c r="B11" s="3"/>
      <c r="C11" s="56" t="n">
        <f aca="false">A11*B11*10000</f>
        <v>0</v>
      </c>
      <c r="D11" s="17"/>
      <c r="E11" s="65"/>
      <c r="F11" s="3"/>
      <c r="G11" s="63" t="n">
        <f aca="false">E11*F11*10000</f>
        <v>0</v>
      </c>
      <c r="I11" s="64"/>
    </row>
    <row r="12" customFormat="false" ht="12.75" hidden="false" customHeight="false" outlineLevel="0" collapsed="false">
      <c r="A12" s="65"/>
      <c r="B12" s="3"/>
      <c r="C12" s="56" t="n">
        <f aca="false">A12*B12*10000</f>
        <v>0</v>
      </c>
      <c r="D12" s="17"/>
      <c r="E12" s="65"/>
      <c r="F12" s="3"/>
      <c r="G12" s="63" t="n">
        <f aca="false">E12*F12*10000</f>
        <v>0</v>
      </c>
      <c r="I12" s="64"/>
    </row>
    <row r="13" customFormat="false" ht="12.75" hidden="false" customHeight="false" outlineLevel="0" collapsed="false">
      <c r="A13" s="65"/>
      <c r="B13" s="3"/>
      <c r="C13" s="56" t="n">
        <f aca="false">A13*B13*10000</f>
        <v>0</v>
      </c>
      <c r="D13" s="17"/>
      <c r="E13" s="65"/>
      <c r="F13" s="3"/>
      <c r="G13" s="63" t="n">
        <f aca="false">E13*F13*10000</f>
        <v>0</v>
      </c>
      <c r="I13" s="64"/>
    </row>
    <row r="14" customFormat="false" ht="12.75" hidden="false" customHeight="false" outlineLevel="0" collapsed="false">
      <c r="A14" s="65"/>
      <c r="B14" s="3"/>
      <c r="C14" s="56" t="n">
        <f aca="false">A14*B14*10000</f>
        <v>0</v>
      </c>
      <c r="D14" s="17"/>
      <c r="E14" s="61"/>
      <c r="F14" s="62"/>
      <c r="G14" s="63" t="n">
        <f aca="false">E14*F14*10000</f>
        <v>0</v>
      </c>
      <c r="I14" s="64"/>
      <c r="L14" s="0" t="n">
        <f aca="false">2500*31</f>
        <v>77500</v>
      </c>
    </row>
    <row r="15" customFormat="false" ht="12.75" hidden="false" customHeight="false" outlineLevel="0" collapsed="false">
      <c r="A15" s="65"/>
      <c r="B15" s="3"/>
      <c r="C15" s="56" t="n">
        <f aca="false">A15*B15*10000</f>
        <v>0</v>
      </c>
      <c r="D15" s="17"/>
      <c r="E15" s="61"/>
      <c r="F15" s="62"/>
      <c r="G15" s="63" t="n">
        <f aca="false">E15*F15*10000</f>
        <v>0</v>
      </c>
      <c r="I15" s="64"/>
      <c r="L15" s="0" t="n">
        <f aca="false">5000*31</f>
        <v>155000</v>
      </c>
    </row>
    <row r="16" customFormat="false" ht="12.75" hidden="false" customHeight="false" outlineLevel="0" collapsed="false">
      <c r="A16" s="65"/>
      <c r="B16" s="3"/>
      <c r="C16" s="56" t="n">
        <f aca="false">A16*B16*10000</f>
        <v>0</v>
      </c>
      <c r="D16" s="17"/>
      <c r="E16" s="61"/>
      <c r="F16" s="62"/>
      <c r="G16" s="63" t="n">
        <f aca="false">E16*F16*10000</f>
        <v>0</v>
      </c>
      <c r="I16" s="64"/>
      <c r="L16" s="0" t="n">
        <f aca="false">7500*31</f>
        <v>232500</v>
      </c>
    </row>
    <row r="17" customFormat="false" ht="12.75" hidden="false" customHeight="false" outlineLevel="0" collapsed="false">
      <c r="A17" s="65"/>
      <c r="B17" s="3"/>
      <c r="C17" s="56" t="n">
        <f aca="false">A17*B17*10000</f>
        <v>0</v>
      </c>
      <c r="D17" s="17"/>
      <c r="E17" s="61"/>
      <c r="F17" s="62"/>
      <c r="G17" s="63" t="n">
        <f aca="false">E17*F17*10000</f>
        <v>0</v>
      </c>
      <c r="I17" s="64"/>
      <c r="L17" s="0" t="n">
        <f aca="false">10000*31</f>
        <v>310000</v>
      </c>
    </row>
    <row r="18" customFormat="false" ht="12.75" hidden="false" customHeight="false" outlineLevel="0" collapsed="false">
      <c r="A18" s="65"/>
      <c r="B18" s="3"/>
      <c r="C18" s="56" t="n">
        <f aca="false">A18*B18*10000</f>
        <v>0</v>
      </c>
      <c r="D18" s="17"/>
      <c r="E18" s="61"/>
      <c r="F18" s="62"/>
      <c r="G18" s="63" t="n">
        <f aca="false">E18*F18*10000</f>
        <v>0</v>
      </c>
      <c r="I18" s="64"/>
      <c r="L18" s="0" t="n">
        <f aca="false">12500*31</f>
        <v>387500</v>
      </c>
    </row>
    <row r="19" customFormat="false" ht="12.75" hidden="false" customHeight="false" outlineLevel="0" collapsed="false">
      <c r="A19" s="65"/>
      <c r="B19" s="3"/>
      <c r="C19" s="56" t="n">
        <f aca="false">A19*B19*10000</f>
        <v>0</v>
      </c>
      <c r="D19" s="17"/>
      <c r="E19" s="61"/>
      <c r="F19" s="62"/>
      <c r="G19" s="63" t="n">
        <f aca="false">E19*F19*10000</f>
        <v>0</v>
      </c>
      <c r="I19" s="64"/>
      <c r="L19" s="0" t="n">
        <f aca="false">15000*31</f>
        <v>465000</v>
      </c>
    </row>
    <row r="20" customFormat="false" ht="12.75" hidden="false" customHeight="false" outlineLevel="0" collapsed="false">
      <c r="A20" s="65"/>
      <c r="B20" s="3"/>
      <c r="C20" s="56" t="n">
        <f aca="false">A20*B20*10000</f>
        <v>0</v>
      </c>
      <c r="D20" s="17"/>
      <c r="E20" s="61"/>
      <c r="F20" s="62"/>
      <c r="G20" s="63" t="n">
        <f aca="false">E20*F20*10000</f>
        <v>0</v>
      </c>
      <c r="I20" s="64"/>
    </row>
    <row r="21" customFormat="false" ht="12.75" hidden="false" customHeight="false" outlineLevel="0" collapsed="false">
      <c r="A21" s="65"/>
      <c r="B21" s="3"/>
      <c r="C21" s="56" t="n">
        <f aca="false">A21*B21*10000</f>
        <v>0</v>
      </c>
      <c r="D21" s="17"/>
      <c r="E21" s="61"/>
      <c r="F21" s="62"/>
      <c r="G21" s="63" t="n">
        <f aca="false">E21*F21*10000</f>
        <v>0</v>
      </c>
      <c r="I21" s="64"/>
    </row>
    <row r="22" customFormat="false" ht="12.75" hidden="false" customHeight="false" outlineLevel="0" collapsed="false">
      <c r="A22" s="65"/>
      <c r="B22" s="3"/>
      <c r="C22" s="56" t="n">
        <f aca="false">A22*B22*10000</f>
        <v>0</v>
      </c>
      <c r="D22" s="17"/>
      <c r="E22" s="61"/>
      <c r="F22" s="62"/>
      <c r="G22" s="63" t="n">
        <f aca="false">E22*F22*10000</f>
        <v>0</v>
      </c>
      <c r="I22" s="64"/>
    </row>
    <row r="23" customFormat="false" ht="12.75" hidden="false" customHeight="false" outlineLevel="0" collapsed="false">
      <c r="A23" s="65"/>
      <c r="B23" s="3"/>
      <c r="C23" s="56" t="n">
        <f aca="false">A23*B23*10000</f>
        <v>0</v>
      </c>
      <c r="D23" s="17"/>
      <c r="E23" s="61"/>
      <c r="F23" s="62"/>
      <c r="G23" s="63" t="n">
        <f aca="false">E23*F23*10000</f>
        <v>0</v>
      </c>
      <c r="I23" s="64"/>
    </row>
    <row r="24" customFormat="false" ht="12.75" hidden="false" customHeight="false" outlineLevel="0" collapsed="false">
      <c r="A24" s="65"/>
      <c r="B24" s="3"/>
      <c r="C24" s="56" t="n">
        <f aca="false">A24*B24*10000</f>
        <v>0</v>
      </c>
      <c r="D24" s="17"/>
      <c r="E24" s="61"/>
      <c r="F24" s="62"/>
      <c r="G24" s="63" t="n">
        <f aca="false">E24*F24*10000</f>
        <v>0</v>
      </c>
      <c r="I24" s="64"/>
    </row>
    <row r="25" customFormat="false" ht="9" hidden="false" customHeight="true" outlineLevel="0" collapsed="false">
      <c r="A25" s="65"/>
      <c r="B25" s="3"/>
      <c r="C25" s="56" t="n">
        <f aca="false">A25*B25*10000</f>
        <v>0</v>
      </c>
      <c r="D25" s="17"/>
      <c r="E25" s="61"/>
      <c r="F25" s="62"/>
      <c r="G25" s="63" t="n">
        <f aca="false">E25*F25*10000</f>
        <v>0</v>
      </c>
      <c r="I25" s="64"/>
    </row>
    <row r="26" customFormat="false" ht="9" hidden="false" customHeight="true" outlineLevel="0" collapsed="false">
      <c r="A26" s="65"/>
      <c r="B26" s="3"/>
      <c r="C26" s="56" t="n">
        <f aca="false">A26*B26*10000</f>
        <v>0</v>
      </c>
      <c r="D26" s="17"/>
      <c r="E26" s="61"/>
      <c r="F26" s="62"/>
      <c r="G26" s="63" t="n">
        <f aca="false">E26*F26*10000</f>
        <v>0</v>
      </c>
      <c r="I26" s="64"/>
    </row>
    <row r="27" customFormat="false" ht="9" hidden="false" customHeight="true" outlineLevel="0" collapsed="false">
      <c r="A27" s="65"/>
      <c r="B27" s="3"/>
      <c r="C27" s="56" t="n">
        <f aca="false">A27*B27*10000</f>
        <v>0</v>
      </c>
      <c r="D27" s="17"/>
      <c r="E27" s="61"/>
      <c r="F27" s="62"/>
      <c r="G27" s="63" t="n">
        <f aca="false">E27*F27*10000</f>
        <v>0</v>
      </c>
      <c r="I27" s="64"/>
    </row>
    <row r="28" customFormat="false" ht="9" hidden="false" customHeight="true" outlineLevel="0" collapsed="false">
      <c r="A28" s="65"/>
      <c r="B28" s="3"/>
      <c r="C28" s="56" t="n">
        <f aca="false">A28*B28*10000</f>
        <v>0</v>
      </c>
      <c r="D28" s="17"/>
      <c r="E28" s="61"/>
      <c r="F28" s="62"/>
      <c r="G28" s="63" t="n">
        <f aca="false">E28*F28*10000</f>
        <v>0</v>
      </c>
      <c r="I28" s="64"/>
    </row>
    <row r="29" customFormat="false" ht="9" hidden="false" customHeight="true" outlineLevel="0" collapsed="false">
      <c r="A29" s="65"/>
      <c r="B29" s="3"/>
      <c r="C29" s="56" t="n">
        <f aca="false">A29*B29*10000</f>
        <v>0</v>
      </c>
      <c r="D29" s="17"/>
      <c r="E29" s="65"/>
      <c r="F29" s="3"/>
      <c r="G29" s="63" t="n">
        <f aca="false">E29*F29*10000</f>
        <v>0</v>
      </c>
      <c r="I29" s="64"/>
    </row>
    <row r="30" customFormat="false" ht="9" hidden="false" customHeight="true" outlineLevel="0" collapsed="false">
      <c r="A30" s="65"/>
      <c r="B30" s="3"/>
      <c r="C30" s="56" t="n">
        <f aca="false">A30*B30*10000</f>
        <v>0</v>
      </c>
      <c r="D30" s="17"/>
      <c r="E30" s="65"/>
      <c r="F30" s="3"/>
      <c r="G30" s="63" t="n">
        <f aca="false">E30*F30*10000</f>
        <v>0</v>
      </c>
      <c r="I30" s="64"/>
    </row>
    <row r="31" customFormat="false" ht="9" hidden="false" customHeight="true" outlineLevel="0" collapsed="false">
      <c r="A31" s="65"/>
      <c r="B31" s="3"/>
      <c r="C31" s="56" t="n">
        <f aca="false">A31*B31*10000</f>
        <v>0</v>
      </c>
      <c r="D31" s="17"/>
      <c r="E31" s="65"/>
      <c r="F31" s="3"/>
      <c r="G31" s="63" t="n">
        <f aca="false">E31*F31*10000</f>
        <v>0</v>
      </c>
      <c r="I31" s="64"/>
    </row>
    <row r="32" customFormat="false" ht="9" hidden="false" customHeight="true" outlineLevel="0" collapsed="false">
      <c r="A32" s="65"/>
      <c r="B32" s="3"/>
      <c r="C32" s="56" t="n">
        <f aca="false">A32*B32*10000</f>
        <v>0</v>
      </c>
      <c r="D32" s="17"/>
      <c r="E32" s="65"/>
      <c r="F32" s="3"/>
      <c r="G32" s="63" t="n">
        <f aca="false">E32*F32*10000</f>
        <v>0</v>
      </c>
      <c r="I32" s="64"/>
    </row>
    <row r="33" customFormat="false" ht="9" hidden="false" customHeight="true" outlineLevel="0" collapsed="false">
      <c r="A33" s="65"/>
      <c r="B33" s="3"/>
      <c r="C33" s="56" t="n">
        <f aca="false">A33*B33*10000</f>
        <v>0</v>
      </c>
      <c r="D33" s="17"/>
      <c r="E33" s="65"/>
      <c r="F33" s="3"/>
      <c r="G33" s="63" t="n">
        <f aca="false">E33*F33*10000</f>
        <v>0</v>
      </c>
      <c r="I33" s="64"/>
    </row>
    <row r="34" customFormat="false" ht="9" hidden="false" customHeight="true" outlineLevel="0" collapsed="false">
      <c r="A34" s="65"/>
      <c r="B34" s="3"/>
      <c r="C34" s="56" t="n">
        <f aca="false">A34*B34*10000</f>
        <v>0</v>
      </c>
      <c r="D34" s="17"/>
      <c r="E34" s="65"/>
      <c r="F34" s="3"/>
      <c r="G34" s="63" t="n">
        <f aca="false">E34*F34*10000</f>
        <v>0</v>
      </c>
      <c r="I34" s="64"/>
    </row>
    <row r="35" customFormat="false" ht="9" hidden="false" customHeight="true" outlineLevel="0" collapsed="false">
      <c r="A35" s="65"/>
      <c r="B35" s="3"/>
      <c r="C35" s="56"/>
      <c r="D35" s="17"/>
      <c r="E35" s="65"/>
      <c r="F35" s="3"/>
      <c r="G35" s="63" t="n">
        <f aca="false">E35*F35*10000</f>
        <v>0</v>
      </c>
      <c r="I35" s="64"/>
    </row>
    <row r="36" customFormat="false" ht="9" hidden="false" customHeight="true" outlineLevel="0" collapsed="false">
      <c r="A36" s="65"/>
      <c r="B36" s="3"/>
      <c r="C36" s="56"/>
      <c r="D36" s="17"/>
      <c r="E36" s="65"/>
      <c r="F36" s="3"/>
      <c r="G36" s="63" t="n">
        <f aca="false">E36*F36*10000</f>
        <v>0</v>
      </c>
      <c r="I36" s="64"/>
    </row>
    <row r="37" customFormat="false" ht="12.75" hidden="false" customHeight="false" outlineLevel="0" collapsed="false">
      <c r="A37" s="65"/>
      <c r="B37" s="3"/>
      <c r="C37" s="56" t="n">
        <f aca="false">A37*B37*10000</f>
        <v>0</v>
      </c>
      <c r="D37" s="17"/>
      <c r="E37" s="65"/>
      <c r="F37" s="3"/>
      <c r="G37" s="63" t="n">
        <f aca="false">E37*F37*10000</f>
        <v>0</v>
      </c>
      <c r="I37" s="64"/>
    </row>
    <row r="38" customFormat="false" ht="12.75" hidden="false" customHeight="false" outlineLevel="0" collapsed="false">
      <c r="E38" s="50"/>
      <c r="G38" s="70"/>
    </row>
    <row r="39" customFormat="false" ht="12.75" hidden="false" customHeight="false" outlineLevel="0" collapsed="false">
      <c r="A39" s="65" t="n">
        <f aca="false">SUM(A1:A38)</f>
        <v>46.5</v>
      </c>
      <c r="B39" s="3" t="n">
        <f aca="false">IF(A39=0,0,C39/A39/10000)</f>
        <v>4.04916666666667</v>
      </c>
      <c r="C39" s="56" t="n">
        <f aca="false">SUM(C1:C38)</f>
        <v>1882862.5</v>
      </c>
      <c r="E39" s="65" t="n">
        <f aca="false">SUM(E1:E38)</f>
        <v>31</v>
      </c>
      <c r="F39" s="3" t="n">
        <f aca="false">IF(E39=0,0,G39/E39/10000)</f>
        <v>3.8975</v>
      </c>
      <c r="G39" s="63" t="n">
        <f aca="false">SUM(G1:G38)</f>
        <v>1208225</v>
      </c>
      <c r="I39" s="71" t="n">
        <f aca="false">MIN(A39,E39)*(B39-F39)*10000</f>
        <v>47016.6666666666</v>
      </c>
      <c r="J39" s="72"/>
      <c r="K39" s="72" t="s">
        <v>52</v>
      </c>
      <c r="L39" s="17"/>
      <c r="M39" s="17"/>
    </row>
    <row r="40" customFormat="false" ht="12.75" hidden="false" customHeight="false" outlineLevel="0" collapsed="false">
      <c r="I40" s="71"/>
      <c r="J40" s="72"/>
      <c r="K40" s="72"/>
      <c r="L40" s="17"/>
      <c r="M40" s="17"/>
    </row>
    <row r="41" customFormat="false" ht="12.75" hidden="false" customHeight="false" outlineLevel="0" collapsed="false">
      <c r="E41" s="52" t="n">
        <f aca="false">-A39+E39</f>
        <v>-15.5</v>
      </c>
      <c r="F41" s="0" t="n">
        <f aca="false">IF(E41&lt;0,B39,F39)</f>
        <v>4.04916666666667</v>
      </c>
      <c r="G41" s="53" t="n">
        <f aca="false">IF(E41&lt;0,(F41-B44)*ABS(E41)*10000,-1*(F41-B44)*ABS(E41)*10000)</f>
        <v>3590.83333333332</v>
      </c>
      <c r="I41" s="71" t="n">
        <f aca="false">G41</f>
        <v>3590.83333333332</v>
      </c>
      <c r="J41" s="72"/>
      <c r="K41" s="72" t="s">
        <v>53</v>
      </c>
      <c r="L41" s="17"/>
      <c r="M41" s="17" t="s">
        <v>54</v>
      </c>
    </row>
    <row r="42" customFormat="false" ht="12.75" hidden="false" customHeight="false" outlineLevel="0" collapsed="false">
      <c r="L42" s="17"/>
      <c r="M42" s="17"/>
    </row>
    <row r="43" customFormat="false" ht="12.75" hidden="false" customHeight="false" outlineLevel="0" collapsed="false">
      <c r="E43" s="38" t="n">
        <f aca="false">-A39+E39</f>
        <v>-15.5</v>
      </c>
      <c r="F43" s="0" t="n">
        <f aca="false">IF(E43&lt;0,(B39+(I39/(ABS(E43)*10000))),IF(E43=0,0,(F39-(I39/(ABS(E43)*10000)))))</f>
        <v>4.3525</v>
      </c>
      <c r="G43" s="53" t="n">
        <f aca="false">IF(E43&lt;0,(F43-B44)*ABS(E43)*10000,IF(E43=0,0,-1*(F43-B44)*ABS(E43)*10000))</f>
        <v>50607.4999999999</v>
      </c>
      <c r="I43" s="73" t="n">
        <f aca="false">G43</f>
        <v>50607.4999999999</v>
      </c>
      <c r="J43" s="74"/>
      <c r="K43" s="74" t="s">
        <v>55</v>
      </c>
      <c r="L43" s="17"/>
      <c r="M43" s="17" t="s">
        <v>56</v>
      </c>
    </row>
    <row r="44" customFormat="false" ht="12.75" hidden="false" customHeight="false" outlineLevel="0" collapsed="false">
      <c r="B44" s="0" t="n">
        <f aca="false">IF(ISBLANK(B45),'[1]Nymex Prices'!B10,B45)</f>
        <v>4.026</v>
      </c>
      <c r="C44" s="51" t="s">
        <v>57</v>
      </c>
      <c r="L44" s="17"/>
      <c r="M44" s="17"/>
    </row>
    <row r="45" customFormat="false" ht="12.75" hidden="false" customHeight="false" outlineLevel="0" collapsed="false">
      <c r="B45" s="0" t="n">
        <f aca="false">Summary!B6</f>
        <v>4.026</v>
      </c>
      <c r="C45" s="51" t="s">
        <v>58</v>
      </c>
      <c r="I45" s="75" t="n">
        <f aca="false">I39+I41</f>
        <v>50607.4999999999</v>
      </c>
      <c r="J45" s="76"/>
      <c r="K45" s="76" t="s">
        <v>59</v>
      </c>
      <c r="L45" s="17"/>
      <c r="M45" s="17"/>
    </row>
    <row r="52" customFormat="false" ht="12.75" hidden="false" customHeight="false" outlineLevel="0" collapsed="false">
      <c r="A52" s="52"/>
    </row>
    <row r="55" customFormat="false" ht="12.75" hidden="false" customHeight="false" outlineLevel="0" collapsed="false">
      <c r="A55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F56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2" ySplit="3" topLeftCell="S4" activePane="bottomRight" state="frozen"/>
      <selection pane="topLeft" activeCell="A1" activeCellId="0" sqref="A1"/>
      <selection pane="topRight" activeCell="S1" activeCellId="0" sqref="S1"/>
      <selection pane="bottomLeft" activeCell="A4" activeCellId="0" sqref="A4"/>
      <selection pane="bottomRight" activeCell="AF4" activeCellId="0" sqref="AF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false" hidden="true" outlineLevel="0" max="2" min="2" style="0" width="9.06"/>
    <col collapsed="false" customWidth="true" hidden="false" outlineLevel="0" max="5" min="5" style="0" width="5.99"/>
    <col collapsed="false" customWidth="true" hidden="false" outlineLevel="0" max="7" min="7" style="0" width="5.99"/>
    <col collapsed="false" customWidth="true" hidden="false" outlineLevel="0" max="9" min="9" style="0" width="5.99"/>
    <col collapsed="false" customWidth="true" hidden="false" outlineLevel="0" max="11" min="11" style="0" width="5.99"/>
    <col collapsed="false" customWidth="true" hidden="false" outlineLevel="0" max="13" min="13" style="0" width="5.99"/>
    <col collapsed="false" customWidth="true" hidden="false" outlineLevel="0" max="15" min="15" style="0" width="6.28"/>
    <col collapsed="false" customWidth="true" hidden="false" outlineLevel="0" max="17" min="17" style="0" width="5.99"/>
    <col collapsed="false" customWidth="true" hidden="false" outlineLevel="0" max="19" min="19" style="0" width="5.99"/>
    <col collapsed="false" customWidth="true" hidden="false" outlineLevel="0" max="21" min="21" style="0" width="5.99"/>
    <col collapsed="false" customWidth="true" hidden="false" outlineLevel="0" max="23" min="23" style="0" width="5.99"/>
    <col collapsed="false" customWidth="true" hidden="false" outlineLevel="0" max="25" min="25" style="0" width="5.99"/>
    <col collapsed="false" customWidth="true" hidden="false" outlineLevel="0" max="27" min="27" style="0" width="5.99"/>
    <col collapsed="false" customWidth="true" hidden="false" outlineLevel="0" max="29" min="29" style="0" width="5.99"/>
    <col collapsed="false" customWidth="true" hidden="false" outlineLevel="0" max="31" min="31" style="0" width="5.99"/>
    <col collapsed="false" customWidth="true" hidden="false" outlineLevel="0" max="33" min="33" style="0" width="5.99"/>
    <col collapsed="false" customWidth="true" hidden="false" outlineLevel="0" max="35" min="35" style="0" width="5.99"/>
    <col collapsed="false" customWidth="true" hidden="false" outlineLevel="0" max="36" min="36" style="0" width="9.99"/>
    <col collapsed="false" customWidth="true" hidden="false" outlineLevel="0" max="37" min="37" style="0" width="5.99"/>
    <col collapsed="false" customWidth="true" hidden="false" outlineLevel="0" max="39" min="39" style="0" width="5.99"/>
    <col collapsed="false" customWidth="true" hidden="false" outlineLevel="0" max="41" min="41" style="0" width="5.99"/>
    <col collapsed="false" customWidth="true" hidden="false" outlineLevel="0" max="43" min="43" style="0" width="5.99"/>
    <col collapsed="false" customWidth="true" hidden="false" outlineLevel="0" max="45" min="45" style="0" width="5.99"/>
    <col collapsed="false" customWidth="true" hidden="false" outlineLevel="0" max="47" min="47" style="0" width="5.99"/>
  </cols>
  <sheetData>
    <row r="1" customFormat="false" ht="12.75" hidden="false" customHeight="false" outlineLevel="0" collapsed="false">
      <c r="A1" s="80" t="n">
        <v>36770</v>
      </c>
      <c r="B1" s="81"/>
      <c r="C1" s="82" t="s">
        <v>23</v>
      </c>
      <c r="D1" s="82" t="s">
        <v>62</v>
      </c>
      <c r="E1" s="83"/>
      <c r="F1" s="82" t="s">
        <v>63</v>
      </c>
      <c r="G1" s="83"/>
      <c r="H1" s="82" t="s">
        <v>64</v>
      </c>
      <c r="I1" s="83"/>
      <c r="J1" s="82" t="s">
        <v>65</v>
      </c>
      <c r="K1" s="83"/>
      <c r="L1" s="82" t="s">
        <v>66</v>
      </c>
      <c r="M1" s="83"/>
      <c r="N1" s="84" t="s">
        <v>67</v>
      </c>
      <c r="O1" s="83"/>
      <c r="P1" s="82" t="s">
        <v>68</v>
      </c>
      <c r="Q1" s="83"/>
      <c r="R1" s="82" t="s">
        <v>25</v>
      </c>
      <c r="S1" s="83"/>
      <c r="T1" s="82" t="s">
        <v>69</v>
      </c>
      <c r="U1" s="83"/>
      <c r="V1" s="82" t="s">
        <v>29</v>
      </c>
      <c r="W1" s="83"/>
      <c r="X1" s="82" t="s">
        <v>70</v>
      </c>
      <c r="Y1" s="83"/>
      <c r="Z1" s="82" t="s">
        <v>71</v>
      </c>
      <c r="AA1" s="83"/>
      <c r="AB1" s="82" t="n">
        <v>500</v>
      </c>
      <c r="AC1" s="83"/>
      <c r="AD1" s="82" t="n">
        <v>800</v>
      </c>
      <c r="AE1" s="83"/>
      <c r="AF1" s="85" t="s">
        <v>27</v>
      </c>
      <c r="AG1" s="83"/>
      <c r="AH1" s="82" t="s">
        <v>32</v>
      </c>
      <c r="AI1" s="83"/>
      <c r="AJ1" s="82" t="s">
        <v>72</v>
      </c>
      <c r="AK1" s="83"/>
      <c r="AL1" s="82" t="s">
        <v>73</v>
      </c>
      <c r="AM1" s="83"/>
      <c r="AN1" s="82" t="s">
        <v>74</v>
      </c>
      <c r="AO1" s="83"/>
      <c r="AP1" s="82" t="s">
        <v>75</v>
      </c>
      <c r="AQ1" s="83"/>
      <c r="AR1" s="82" t="s">
        <v>76</v>
      </c>
      <c r="AS1" s="83"/>
      <c r="AT1" s="82" t="s">
        <v>77</v>
      </c>
      <c r="AU1" s="83"/>
    </row>
    <row r="2" customFormat="false" ht="12.75" hidden="false" customHeight="false" outlineLevel="0" collapsed="false">
      <c r="A2" s="86"/>
      <c r="B2" s="87"/>
      <c r="C2" s="88"/>
      <c r="D2" s="88" t="s">
        <v>78</v>
      </c>
      <c r="E2" s="89"/>
      <c r="F2" s="88" t="s">
        <v>78</v>
      </c>
      <c r="G2" s="89"/>
      <c r="H2" s="88" t="s">
        <v>79</v>
      </c>
      <c r="I2" s="89"/>
      <c r="J2" s="88" t="s">
        <v>80</v>
      </c>
      <c r="K2" s="89"/>
      <c r="L2" s="88" t="s">
        <v>78</v>
      </c>
      <c r="M2" s="89"/>
      <c r="N2" s="88" t="s">
        <v>78</v>
      </c>
      <c r="O2" s="89"/>
      <c r="P2" s="88" t="s">
        <v>81</v>
      </c>
      <c r="Q2" s="89"/>
      <c r="R2" s="90"/>
      <c r="S2" s="89"/>
      <c r="T2" s="88"/>
      <c r="U2" s="89"/>
      <c r="V2" s="88"/>
      <c r="W2" s="89"/>
      <c r="X2" s="88"/>
      <c r="Y2" s="89"/>
      <c r="Z2" s="88"/>
      <c r="AA2" s="89"/>
      <c r="AB2" s="88"/>
      <c r="AC2" s="89"/>
      <c r="AD2" s="88"/>
      <c r="AE2" s="89"/>
      <c r="AF2" s="88"/>
      <c r="AG2" s="89"/>
      <c r="AH2" s="88"/>
      <c r="AI2" s="89"/>
      <c r="AJ2" s="88"/>
      <c r="AK2" s="89"/>
      <c r="AL2" s="88"/>
      <c r="AM2" s="89"/>
      <c r="AN2" s="88"/>
      <c r="AO2" s="89"/>
      <c r="AP2" s="88"/>
      <c r="AQ2" s="89"/>
      <c r="AR2" s="88"/>
      <c r="AS2" s="89"/>
      <c r="AT2" s="88"/>
      <c r="AU2" s="89"/>
    </row>
    <row r="3" customFormat="false" ht="12.75" hidden="false" customHeight="false" outlineLevel="0" collapsed="false">
      <c r="A3" s="86" t="s">
        <v>82</v>
      </c>
      <c r="B3" s="87" t="s">
        <v>83</v>
      </c>
      <c r="C3" s="88" t="n">
        <v>3.74</v>
      </c>
      <c r="D3" s="88"/>
      <c r="E3" s="89" t="n">
        <f aca="false">IF(D3-$C3&lt;&gt;0,D3-$C3,"")</f>
        <v>-3.74</v>
      </c>
      <c r="F3" s="88"/>
      <c r="G3" s="89" t="n">
        <f aca="false">IF(F3-$C3&lt;&gt;0,F3-$C3,"")</f>
        <v>-3.74</v>
      </c>
      <c r="H3" s="88"/>
      <c r="I3" s="89" t="n">
        <f aca="false">IF(H3-$C3&lt;&gt;0,H3-$C3,"")</f>
        <v>-3.74</v>
      </c>
      <c r="J3" s="88"/>
      <c r="K3" s="89" t="n">
        <f aca="false">IF(J3-$C3&lt;&gt;0,J3-$C3,"")</f>
        <v>-3.74</v>
      </c>
      <c r="L3" s="88"/>
      <c r="M3" s="89" t="n">
        <f aca="false">IF(L3-$C3&lt;&gt;0,L3-$C3,"")</f>
        <v>-3.74</v>
      </c>
      <c r="N3" s="88"/>
      <c r="O3" s="89" t="n">
        <f aca="false">IF(N3-$C3&lt;&gt;0,N3-$C3,"")</f>
        <v>-3.74</v>
      </c>
      <c r="P3" s="88"/>
      <c r="Q3" s="89" t="n">
        <f aca="false">IF(P3-$C3&lt;&gt;0,P3-$C3,"")</f>
        <v>-3.74</v>
      </c>
      <c r="R3" s="91" t="n">
        <f aca="false">C3+0</f>
        <v>3.74</v>
      </c>
      <c r="S3" s="89" t="str">
        <f aca="false">IF(R3-$C3&lt;&gt;0,R3-$C3,"")</f>
        <v/>
      </c>
      <c r="T3" s="88"/>
      <c r="U3" s="89" t="n">
        <f aca="false">IF(T3-$C3&lt;&gt;0,T3-$C3,"")</f>
        <v>-3.74</v>
      </c>
      <c r="V3" s="88" t="n">
        <f aca="false">C3+0.03</f>
        <v>3.77</v>
      </c>
      <c r="W3" s="89" t="n">
        <f aca="false">IF(V3-$C3&lt;&gt;0,V3-$C3,"")</f>
        <v>0.0299999999999998</v>
      </c>
      <c r="X3" s="88"/>
      <c r="Y3" s="89" t="n">
        <f aca="false">IF(X3-$C3&lt;&gt;0,X3-$C3,"")</f>
        <v>-3.74</v>
      </c>
      <c r="Z3" s="88"/>
      <c r="AA3" s="89" t="n">
        <f aca="false">IF(Z3-$C3&lt;&gt;0,Z3-$C3,"")</f>
        <v>-3.74</v>
      </c>
      <c r="AB3" s="88"/>
      <c r="AC3" s="89" t="n">
        <f aca="false">IF(AB3-$C3&lt;&gt;0,AB3-$C3,"")</f>
        <v>-3.74</v>
      </c>
      <c r="AD3" s="88"/>
      <c r="AE3" s="89" t="n">
        <f aca="false">IF(AD3-$C3&lt;&gt;0,AD3-$C3,"")</f>
        <v>-3.74</v>
      </c>
      <c r="AF3" s="88" t="n">
        <f aca="false">C3+0.03</f>
        <v>3.77</v>
      </c>
      <c r="AG3" s="89" t="n">
        <f aca="false">IF(AF3-$C3&lt;&gt;0,AF3-$C3,"")</f>
        <v>0.0299999999999998</v>
      </c>
      <c r="AH3" s="88"/>
      <c r="AI3" s="89" t="n">
        <f aca="false">IF(AH3-$C3&lt;&gt;0,AH3-$C3,"")</f>
        <v>-3.74</v>
      </c>
      <c r="AJ3" s="88"/>
      <c r="AK3" s="89" t="n">
        <f aca="false">IF(AJ3-$C3&lt;&gt;0,AJ3-$C3,"")</f>
        <v>-3.74</v>
      </c>
      <c r="AL3" s="88"/>
      <c r="AM3" s="89" t="n">
        <f aca="false">IF(AL3-$C3&lt;&gt;0,AL3-$C3,"")</f>
        <v>-3.74</v>
      </c>
      <c r="AN3" s="88"/>
      <c r="AO3" s="89" t="n">
        <f aca="false">IF(AN3-$C3&lt;&gt;0,AN3-$C3,"")</f>
        <v>-3.74</v>
      </c>
      <c r="AP3" s="88"/>
      <c r="AQ3" s="89" t="n">
        <f aca="false">IF(AP3-$C3&lt;&gt;0,AP3-$C3,"")</f>
        <v>-3.74</v>
      </c>
      <c r="AR3" s="88"/>
      <c r="AS3" s="89" t="n">
        <f aca="false">IF(AR3-$C3&lt;&gt;0,AR3-$C3,"")</f>
        <v>-3.74</v>
      </c>
      <c r="AT3" s="88"/>
      <c r="AU3" s="89" t="n">
        <f aca="false">IF(AT3-$C3&lt;&gt;0,AT3-$C3,"")</f>
        <v>-3.74</v>
      </c>
    </row>
    <row r="4" customFormat="false" ht="12.75" hidden="false" customHeight="false" outlineLevel="0" collapsed="false">
      <c r="A4" s="92" t="s">
        <v>84</v>
      </c>
      <c r="B4" s="93"/>
      <c r="C4" s="94" t="n">
        <v>3.73</v>
      </c>
      <c r="D4" s="94"/>
      <c r="E4" s="95" t="n">
        <f aca="false">IF(D4-$C4&lt;&gt;0,D4-$C4,"")</f>
        <v>-3.73</v>
      </c>
      <c r="F4" s="94"/>
      <c r="G4" s="95" t="n">
        <f aca="false">IF(F4-$C4&lt;&gt;0,F4-$C4,"")</f>
        <v>-3.73</v>
      </c>
      <c r="H4" s="94"/>
      <c r="I4" s="95" t="n">
        <f aca="false">IF(H4-$C4&lt;&gt;0,H4-$C4,"")</f>
        <v>-3.73</v>
      </c>
      <c r="J4" s="94"/>
      <c r="K4" s="95" t="n">
        <f aca="false">IF(J4-$C4&lt;&gt;0,J4-$C4,"")</f>
        <v>-3.73</v>
      </c>
      <c r="L4" s="94"/>
      <c r="M4" s="95" t="n">
        <f aca="false">IF(L4-$C4&lt;&gt;0,L4-$C4,"")</f>
        <v>-3.73</v>
      </c>
      <c r="N4" s="94"/>
      <c r="O4" s="95" t="n">
        <f aca="false">IF(N4-$C4&lt;&gt;0,N4-$C4,"")</f>
        <v>-3.73</v>
      </c>
      <c r="P4" s="94"/>
      <c r="Q4" s="95" t="n">
        <f aca="false">IF(P4-$C4&lt;&gt;0,P4-$C4,"")</f>
        <v>-3.73</v>
      </c>
      <c r="R4" s="96" t="n">
        <v>3.83</v>
      </c>
      <c r="S4" s="95" t="n">
        <f aca="false">IF(R4-$C4&lt;&gt;0,R4-$C4,"")</f>
        <v>0.1</v>
      </c>
      <c r="T4" s="94"/>
      <c r="U4" s="95" t="n">
        <f aca="false">IF(T4-$C4&lt;&gt;0,T4-$C4,"")</f>
        <v>-3.73</v>
      </c>
      <c r="V4" s="88" t="n">
        <v>3.63</v>
      </c>
      <c r="W4" s="95" t="n">
        <f aca="false">IF(V4-$C4&lt;&gt;0,V4-$C4,"")</f>
        <v>-0.1</v>
      </c>
      <c r="X4" s="94"/>
      <c r="Y4" s="95" t="n">
        <f aca="false">IF(X4-$C4&lt;&gt;0,X4-$C4,"")</f>
        <v>-3.73</v>
      </c>
      <c r="Z4" s="94"/>
      <c r="AA4" s="95" t="n">
        <f aca="false">IF(Z4-$C4&lt;&gt;0,Z4-$C4,"")</f>
        <v>-3.73</v>
      </c>
      <c r="AB4" s="94"/>
      <c r="AC4" s="95" t="n">
        <f aca="false">IF(AB4-$C4&lt;&gt;0,AB4-$C4,"")</f>
        <v>-3.73</v>
      </c>
      <c r="AD4" s="94"/>
      <c r="AE4" s="95" t="n">
        <f aca="false">IF(AD4-$C4&lt;&gt;0,AD4-$C4,"")</f>
        <v>-3.73</v>
      </c>
      <c r="AF4" s="88" t="n">
        <v>3.83</v>
      </c>
      <c r="AG4" s="95" t="n">
        <f aca="false">IF(AF4-$C4&lt;&gt;0,AF4-$C4,"")</f>
        <v>0.1</v>
      </c>
      <c r="AH4" s="94"/>
      <c r="AI4" s="95" t="n">
        <f aca="false">IF(AH4-$C4&lt;&gt;0,AH4-$C4,"")</f>
        <v>-3.73</v>
      </c>
      <c r="AJ4" s="94"/>
      <c r="AK4" s="95" t="n">
        <f aca="false">IF(AJ4-$C4&lt;&gt;0,AJ4-$C4,"")</f>
        <v>-3.73</v>
      </c>
      <c r="AL4" s="94"/>
      <c r="AM4" s="95" t="n">
        <f aca="false">IF(AL4-$C4&lt;&gt;0,AL4-$C4,"")</f>
        <v>-3.73</v>
      </c>
      <c r="AN4" s="94"/>
      <c r="AO4" s="95" t="n">
        <f aca="false">IF(AN4-$C4&lt;&gt;0,AN4-$C4,"")</f>
        <v>-3.73</v>
      </c>
      <c r="AP4" s="94"/>
      <c r="AQ4" s="95" t="n">
        <f aca="false">IF(AP4-$C4&lt;&gt;0,AP4-$C4,"")</f>
        <v>-3.73</v>
      </c>
      <c r="AR4" s="94"/>
      <c r="AS4" s="95" t="n">
        <f aca="false">IF(AR4-$C4&lt;&gt;0,AR4-$C4,"")</f>
        <v>-3.73</v>
      </c>
      <c r="AT4" s="94"/>
      <c r="AU4" s="95" t="n">
        <f aca="false">IF(AT4-$C4&lt;&gt;0,AT4-$C4,"")</f>
        <v>-3.73</v>
      </c>
    </row>
    <row r="5" customFormat="false" ht="12.75" hidden="false" customHeight="false" outlineLevel="0" collapsed="false">
      <c r="A5" s="92" t="n">
        <v>2</v>
      </c>
      <c r="B5" s="93" t="s">
        <v>85</v>
      </c>
      <c r="C5" s="94" t="n">
        <f aca="false">Summary!$D$2</f>
        <v>3.835</v>
      </c>
      <c r="D5" s="94"/>
      <c r="E5" s="95" t="n">
        <f aca="false">IF(D5-$C5&lt;&gt;0,D5-$C5,"")</f>
        <v>-3.835</v>
      </c>
      <c r="F5" s="94"/>
      <c r="G5" s="95" t="n">
        <f aca="false">IF(F5-$C5&lt;&gt;0,F5-$C5,"")</f>
        <v>-3.835</v>
      </c>
      <c r="H5" s="94"/>
      <c r="I5" s="95" t="n">
        <f aca="false">IF(H5-$C5&lt;&gt;0,H5-$C5,"")</f>
        <v>-3.835</v>
      </c>
      <c r="J5" s="94"/>
      <c r="K5" s="95" t="n">
        <f aca="false">IF(J5-$C5&lt;&gt;0,J5-$C5,"")</f>
        <v>-3.835</v>
      </c>
      <c r="L5" s="94"/>
      <c r="M5" s="95" t="n">
        <f aca="false">IF(L5-$C5&lt;&gt;0,L5-$C5,"")</f>
        <v>-3.835</v>
      </c>
      <c r="N5" s="94"/>
      <c r="O5" s="95" t="n">
        <f aca="false">IF(N5-$C5&lt;&gt;0,N5-$C5,"")</f>
        <v>-3.835</v>
      </c>
      <c r="P5" s="94"/>
      <c r="Q5" s="95" t="n">
        <f aca="false">IF(P5-$C5&lt;&gt;0,P5-$C5,"")</f>
        <v>-3.835</v>
      </c>
      <c r="R5" s="96" t="n">
        <f aca="false">C5+0.01</f>
        <v>3.845</v>
      </c>
      <c r="S5" s="95" t="n">
        <f aca="false">IF(R5-$C5&lt;&gt;0,R5-$C5,"")</f>
        <v>0.00999999999999979</v>
      </c>
      <c r="T5" s="94"/>
      <c r="U5" s="95" t="n">
        <f aca="false">IF(T5-$C5&lt;&gt;0,T5-$C5,"")</f>
        <v>-3.835</v>
      </c>
      <c r="V5" s="88" t="n">
        <f aca="false">C5-0.08</f>
        <v>3.755</v>
      </c>
      <c r="W5" s="95" t="n">
        <f aca="false">IF(V5-$C5&lt;&gt;0,V5-$C5,"")</f>
        <v>-0.0800000000000001</v>
      </c>
      <c r="X5" s="94"/>
      <c r="Y5" s="95" t="n">
        <f aca="false">IF(X5-$C5&lt;&gt;0,X5-$C5,"")</f>
        <v>-3.835</v>
      </c>
      <c r="Z5" s="94"/>
      <c r="AA5" s="95" t="n">
        <f aca="false">IF(Z5-$C5&lt;&gt;0,Z5-$C5,"")</f>
        <v>-3.835</v>
      </c>
      <c r="AB5" s="94"/>
      <c r="AC5" s="95" t="n">
        <f aca="false">IF(AB5-$C5&lt;&gt;0,AB5-$C5,"")</f>
        <v>-3.835</v>
      </c>
      <c r="AD5" s="94"/>
      <c r="AE5" s="95" t="n">
        <f aca="false">IF(AD5-$C5&lt;&gt;0,AD5-$C5,"")</f>
        <v>-3.835</v>
      </c>
      <c r="AF5" s="88" t="n">
        <f aca="false">C5+0.04</f>
        <v>3.875</v>
      </c>
      <c r="AG5" s="95" t="n">
        <f aca="false">IF(AF5-$C5&lt;&gt;0,AF5-$C5,"")</f>
        <v>0.04</v>
      </c>
      <c r="AH5" s="94"/>
      <c r="AI5" s="95" t="n">
        <f aca="false">IF(AH5-$C5&lt;&gt;0,AH5-$C5,"")</f>
        <v>-3.835</v>
      </c>
      <c r="AJ5" s="94"/>
      <c r="AK5" s="95" t="n">
        <f aca="false">IF(AJ5-$C5&lt;&gt;0,AJ5-$C5,"")</f>
        <v>-3.835</v>
      </c>
      <c r="AL5" s="94"/>
      <c r="AM5" s="95" t="n">
        <f aca="false">IF(AL5-$C5&lt;&gt;0,AL5-$C5,"")</f>
        <v>-3.835</v>
      </c>
      <c r="AN5" s="94"/>
      <c r="AO5" s="95" t="n">
        <f aca="false">IF(AN5-$C5&lt;&gt;0,AN5-$C5,"")</f>
        <v>-3.835</v>
      </c>
      <c r="AP5" s="94"/>
      <c r="AQ5" s="95" t="n">
        <f aca="false">IF(AP5-$C5&lt;&gt;0,AP5-$C5,"")</f>
        <v>-3.835</v>
      </c>
      <c r="AR5" s="94"/>
      <c r="AS5" s="95" t="n">
        <f aca="false">IF(AR5-$C5&lt;&gt;0,AR5-$C5,"")</f>
        <v>-3.835</v>
      </c>
      <c r="AT5" s="94"/>
      <c r="AU5" s="95" t="n">
        <f aca="false">IF(AT5-$C5&lt;&gt;0,AT5-$C5,"")</f>
        <v>-3.835</v>
      </c>
    </row>
    <row r="6" customFormat="false" ht="12.75" hidden="false" customHeight="false" outlineLevel="0" collapsed="false">
      <c r="A6" s="92" t="n">
        <v>3</v>
      </c>
      <c r="B6" s="93" t="s">
        <v>85</v>
      </c>
      <c r="C6" s="94" t="n">
        <f aca="false">Summary!$D$2</f>
        <v>3.835</v>
      </c>
      <c r="D6" s="94"/>
      <c r="E6" s="95" t="n">
        <f aca="false">IF(D6-$C6&lt;&gt;0,D6-$C6,"")</f>
        <v>-3.835</v>
      </c>
      <c r="F6" s="94"/>
      <c r="G6" s="95" t="n">
        <f aca="false">IF(F6-$C6&lt;&gt;0,F6-$C6,"")</f>
        <v>-3.835</v>
      </c>
      <c r="H6" s="94"/>
      <c r="I6" s="95" t="n">
        <f aca="false">IF(H6-$C6&lt;&gt;0,H6-$C6,"")</f>
        <v>-3.835</v>
      </c>
      <c r="J6" s="94"/>
      <c r="K6" s="95" t="n">
        <f aca="false">IF(J6-$C6&lt;&gt;0,J6-$C6,"")</f>
        <v>-3.835</v>
      </c>
      <c r="L6" s="94"/>
      <c r="M6" s="95" t="n">
        <f aca="false">IF(L6-$C6&lt;&gt;0,L6-$C6,"")</f>
        <v>-3.835</v>
      </c>
      <c r="N6" s="94"/>
      <c r="O6" s="95" t="n">
        <f aca="false">IF(N6-$C6&lt;&gt;0,N6-$C6,"")</f>
        <v>-3.835</v>
      </c>
      <c r="P6" s="94"/>
      <c r="Q6" s="95" t="n">
        <f aca="false">IF(P6-$C6&lt;&gt;0,P6-$C6,"")</f>
        <v>-3.835</v>
      </c>
      <c r="R6" s="96" t="n">
        <f aca="false">C6+0.01</f>
        <v>3.845</v>
      </c>
      <c r="S6" s="95" t="n">
        <f aca="false">IF(R6-$C6&lt;&gt;0,R6-$C6,"")</f>
        <v>0.00999999999999979</v>
      </c>
      <c r="T6" s="94"/>
      <c r="U6" s="95" t="n">
        <f aca="false">IF(T6-$C6&lt;&gt;0,T6-$C6,"")</f>
        <v>-3.835</v>
      </c>
      <c r="V6" s="88" t="n">
        <f aca="false">C6-0.08</f>
        <v>3.755</v>
      </c>
      <c r="W6" s="95" t="n">
        <f aca="false">IF(V6-$C6&lt;&gt;0,V6-$C6,"")</f>
        <v>-0.0800000000000001</v>
      </c>
      <c r="X6" s="94"/>
      <c r="Y6" s="95" t="n">
        <f aca="false">IF(X6-$C6&lt;&gt;0,X6-$C6,"")</f>
        <v>-3.835</v>
      </c>
      <c r="Z6" s="94"/>
      <c r="AA6" s="95" t="n">
        <f aca="false">IF(Z6-$C6&lt;&gt;0,Z6-$C6,"")</f>
        <v>-3.835</v>
      </c>
      <c r="AB6" s="94"/>
      <c r="AC6" s="95" t="n">
        <f aca="false">IF(AB6-$C6&lt;&gt;0,AB6-$C6,"")</f>
        <v>-3.835</v>
      </c>
      <c r="AD6" s="94"/>
      <c r="AE6" s="95" t="n">
        <f aca="false">IF(AD6-$C6&lt;&gt;0,AD6-$C6,"")</f>
        <v>-3.835</v>
      </c>
      <c r="AF6" s="88" t="n">
        <f aca="false">C6+0.04</f>
        <v>3.875</v>
      </c>
      <c r="AG6" s="95" t="n">
        <f aca="false">IF(AF6-$C6&lt;&gt;0,AF6-$C6,"")</f>
        <v>0.04</v>
      </c>
      <c r="AH6" s="94"/>
      <c r="AI6" s="95" t="n">
        <f aca="false">IF(AH6-$C6&lt;&gt;0,AH6-$C6,"")</f>
        <v>-3.835</v>
      </c>
      <c r="AJ6" s="94"/>
      <c r="AK6" s="95" t="n">
        <f aca="false">IF(AJ6-$C6&lt;&gt;0,AJ6-$C6,"")</f>
        <v>-3.835</v>
      </c>
      <c r="AL6" s="94"/>
      <c r="AM6" s="95" t="n">
        <f aca="false">IF(AL6-$C6&lt;&gt;0,AL6-$C6,"")</f>
        <v>-3.835</v>
      </c>
      <c r="AN6" s="94"/>
      <c r="AO6" s="95" t="n">
        <f aca="false">IF(AN6-$C6&lt;&gt;0,AN6-$C6,"")</f>
        <v>-3.835</v>
      </c>
      <c r="AP6" s="94"/>
      <c r="AQ6" s="95" t="n">
        <f aca="false">IF(AP6-$C6&lt;&gt;0,AP6-$C6,"")</f>
        <v>-3.835</v>
      </c>
      <c r="AR6" s="94"/>
      <c r="AS6" s="95" t="n">
        <f aca="false">IF(AR6-$C6&lt;&gt;0,AR6-$C6,"")</f>
        <v>-3.835</v>
      </c>
      <c r="AT6" s="94"/>
      <c r="AU6" s="95" t="n">
        <f aca="false">IF(AT6-$C6&lt;&gt;0,AT6-$C6,"")</f>
        <v>-3.835</v>
      </c>
    </row>
    <row r="7" customFormat="false" ht="12.75" hidden="false" customHeight="false" outlineLevel="0" collapsed="false">
      <c r="A7" s="92" t="n">
        <v>4</v>
      </c>
      <c r="B7" s="93" t="s">
        <v>85</v>
      </c>
      <c r="C7" s="94" t="n">
        <f aca="false">Summary!$D$2</f>
        <v>3.835</v>
      </c>
      <c r="D7" s="94"/>
      <c r="E7" s="95" t="n">
        <f aca="false">IF(D7-$C7&lt;&gt;0,D7-$C7,"")</f>
        <v>-3.835</v>
      </c>
      <c r="F7" s="94"/>
      <c r="G7" s="95" t="n">
        <f aca="false">IF(F7-$C7&lt;&gt;0,F7-$C7,"")</f>
        <v>-3.835</v>
      </c>
      <c r="H7" s="94"/>
      <c r="I7" s="95" t="n">
        <f aca="false">IF(H7-$C7&lt;&gt;0,H7-$C7,"")</f>
        <v>-3.835</v>
      </c>
      <c r="J7" s="94"/>
      <c r="K7" s="95" t="n">
        <f aca="false">IF(J7-$C7&lt;&gt;0,J7-$C7,"")</f>
        <v>-3.835</v>
      </c>
      <c r="L7" s="94"/>
      <c r="M7" s="95" t="n">
        <f aca="false">IF(L7-$C7&lt;&gt;0,L7-$C7,"")</f>
        <v>-3.835</v>
      </c>
      <c r="N7" s="94"/>
      <c r="O7" s="95" t="n">
        <f aca="false">IF(N7-$C7&lt;&gt;0,N7-$C7,"")</f>
        <v>-3.835</v>
      </c>
      <c r="P7" s="94"/>
      <c r="Q7" s="95" t="n">
        <f aca="false">IF(P7-$C7&lt;&gt;0,P7-$C7,"")</f>
        <v>-3.835</v>
      </c>
      <c r="R7" s="96" t="n">
        <f aca="false">C7+0.01</f>
        <v>3.845</v>
      </c>
      <c r="S7" s="95" t="n">
        <f aca="false">IF(R7-$C7&lt;&gt;0,R7-$C7,"")</f>
        <v>0.00999999999999979</v>
      </c>
      <c r="T7" s="94"/>
      <c r="U7" s="95" t="n">
        <f aca="false">IF(T7-$C7&lt;&gt;0,T7-$C7,"")</f>
        <v>-3.835</v>
      </c>
      <c r="V7" s="88" t="n">
        <f aca="false">C7-0.08</f>
        <v>3.755</v>
      </c>
      <c r="W7" s="95" t="n">
        <f aca="false">IF(V7-$C7&lt;&gt;0,V7-$C7,"")</f>
        <v>-0.0800000000000001</v>
      </c>
      <c r="X7" s="94"/>
      <c r="Y7" s="95" t="n">
        <f aca="false">IF(X7-$C7&lt;&gt;0,X7-$C7,"")</f>
        <v>-3.835</v>
      </c>
      <c r="Z7" s="94"/>
      <c r="AA7" s="95" t="n">
        <f aca="false">IF(Z7-$C7&lt;&gt;0,Z7-$C7,"")</f>
        <v>-3.835</v>
      </c>
      <c r="AB7" s="94"/>
      <c r="AC7" s="95" t="n">
        <f aca="false">IF(AB7-$C7&lt;&gt;0,AB7-$C7,"")</f>
        <v>-3.835</v>
      </c>
      <c r="AD7" s="94"/>
      <c r="AE7" s="95" t="n">
        <f aca="false">IF(AD7-$C7&lt;&gt;0,AD7-$C7,"")</f>
        <v>-3.835</v>
      </c>
      <c r="AF7" s="88" t="n">
        <f aca="false">C7+0.04</f>
        <v>3.875</v>
      </c>
      <c r="AG7" s="95" t="n">
        <f aca="false">IF(AF7-$C7&lt;&gt;0,AF7-$C7,"")</f>
        <v>0.04</v>
      </c>
      <c r="AH7" s="94"/>
      <c r="AI7" s="95" t="n">
        <f aca="false">IF(AH7-$C7&lt;&gt;0,AH7-$C7,"")</f>
        <v>-3.835</v>
      </c>
      <c r="AJ7" s="94"/>
      <c r="AK7" s="95" t="n">
        <f aca="false">IF(AJ7-$C7&lt;&gt;0,AJ7-$C7,"")</f>
        <v>-3.835</v>
      </c>
      <c r="AL7" s="94"/>
      <c r="AM7" s="95" t="n">
        <f aca="false">IF(AL7-$C7&lt;&gt;0,AL7-$C7,"")</f>
        <v>-3.835</v>
      </c>
      <c r="AN7" s="94"/>
      <c r="AO7" s="95" t="n">
        <f aca="false">IF(AN7-$C7&lt;&gt;0,AN7-$C7,"")</f>
        <v>-3.835</v>
      </c>
      <c r="AP7" s="94"/>
      <c r="AQ7" s="95" t="n">
        <f aca="false">IF(AP7-$C7&lt;&gt;0,AP7-$C7,"")</f>
        <v>-3.835</v>
      </c>
      <c r="AR7" s="94"/>
      <c r="AS7" s="95" t="n">
        <f aca="false">IF(AR7-$C7&lt;&gt;0,AR7-$C7,"")</f>
        <v>-3.835</v>
      </c>
      <c r="AT7" s="94"/>
      <c r="AU7" s="95" t="n">
        <f aca="false">IF(AT7-$C7&lt;&gt;0,AT7-$C7,"")</f>
        <v>-3.835</v>
      </c>
    </row>
    <row r="8" customFormat="false" ht="12.75" hidden="false" customHeight="false" outlineLevel="0" collapsed="false">
      <c r="A8" s="92" t="n">
        <v>5</v>
      </c>
      <c r="B8" s="93" t="s">
        <v>85</v>
      </c>
      <c r="C8" s="94" t="n">
        <f aca="false">Summary!$D$2</f>
        <v>3.835</v>
      </c>
      <c r="D8" s="94"/>
      <c r="E8" s="95" t="n">
        <f aca="false">IF(D8-$C8&lt;&gt;0,D8-$C8,"")</f>
        <v>-3.835</v>
      </c>
      <c r="F8" s="94"/>
      <c r="G8" s="95" t="n">
        <f aca="false">IF(F8-$C8&lt;&gt;0,F8-$C8,"")</f>
        <v>-3.835</v>
      </c>
      <c r="H8" s="94"/>
      <c r="I8" s="95" t="n">
        <f aca="false">IF(H8-$C8&lt;&gt;0,H8-$C8,"")</f>
        <v>-3.835</v>
      </c>
      <c r="J8" s="94"/>
      <c r="K8" s="95" t="n">
        <f aca="false">IF(J8-$C8&lt;&gt;0,J8-$C8,"")</f>
        <v>-3.835</v>
      </c>
      <c r="L8" s="94"/>
      <c r="M8" s="95" t="n">
        <f aca="false">IF(L8-$C8&lt;&gt;0,L8-$C8,"")</f>
        <v>-3.835</v>
      </c>
      <c r="N8" s="94"/>
      <c r="O8" s="95" t="n">
        <f aca="false">IF(N8-$C8&lt;&gt;0,N8-$C8,"")</f>
        <v>-3.835</v>
      </c>
      <c r="P8" s="94"/>
      <c r="Q8" s="95" t="n">
        <f aca="false">IF(P8-$C8&lt;&gt;0,P8-$C8,"")</f>
        <v>-3.835</v>
      </c>
      <c r="R8" s="96" t="n">
        <f aca="false">C8+0.01</f>
        <v>3.845</v>
      </c>
      <c r="S8" s="95" t="n">
        <f aca="false">IF(R8-$C8&lt;&gt;0,R8-$C8,"")</f>
        <v>0.00999999999999979</v>
      </c>
      <c r="T8" s="94"/>
      <c r="U8" s="95" t="n">
        <f aca="false">IF(T8-$C8&lt;&gt;0,T8-$C8,"")</f>
        <v>-3.835</v>
      </c>
      <c r="V8" s="88" t="n">
        <f aca="false">C8-0.08</f>
        <v>3.755</v>
      </c>
      <c r="W8" s="95" t="n">
        <f aca="false">IF(V8-$C8&lt;&gt;0,V8-$C8,"")</f>
        <v>-0.0800000000000001</v>
      </c>
      <c r="X8" s="94"/>
      <c r="Y8" s="95" t="n">
        <f aca="false">IF(X8-$C8&lt;&gt;0,X8-$C8,"")</f>
        <v>-3.835</v>
      </c>
      <c r="Z8" s="94"/>
      <c r="AA8" s="95" t="n">
        <f aca="false">IF(Z8-$C8&lt;&gt;0,Z8-$C8,"")</f>
        <v>-3.835</v>
      </c>
      <c r="AB8" s="94"/>
      <c r="AC8" s="95" t="n">
        <f aca="false">IF(AB8-$C8&lt;&gt;0,AB8-$C8,"")</f>
        <v>-3.835</v>
      </c>
      <c r="AD8" s="94"/>
      <c r="AE8" s="95" t="n">
        <f aca="false">IF(AD8-$C8&lt;&gt;0,AD8-$C8,"")</f>
        <v>-3.835</v>
      </c>
      <c r="AF8" s="88" t="n">
        <f aca="false">C8+0.04</f>
        <v>3.875</v>
      </c>
      <c r="AG8" s="95" t="n">
        <f aca="false">IF(AF8-$C8&lt;&gt;0,AF8-$C8,"")</f>
        <v>0.04</v>
      </c>
      <c r="AH8" s="94"/>
      <c r="AI8" s="95" t="n">
        <f aca="false">IF(AH8-$C8&lt;&gt;0,AH8-$C8,"")</f>
        <v>-3.835</v>
      </c>
      <c r="AJ8" s="94"/>
      <c r="AK8" s="95" t="n">
        <f aca="false">IF(AJ8-$C8&lt;&gt;0,AJ8-$C8,"")</f>
        <v>-3.835</v>
      </c>
      <c r="AL8" s="94"/>
      <c r="AM8" s="95" t="n">
        <f aca="false">IF(AL8-$C8&lt;&gt;0,AL8-$C8,"")</f>
        <v>-3.835</v>
      </c>
      <c r="AN8" s="94"/>
      <c r="AO8" s="95" t="n">
        <f aca="false">IF(AN8-$C8&lt;&gt;0,AN8-$C8,"")</f>
        <v>-3.835</v>
      </c>
      <c r="AP8" s="94"/>
      <c r="AQ8" s="95" t="n">
        <f aca="false">IF(AP8-$C8&lt;&gt;0,AP8-$C8,"")</f>
        <v>-3.835</v>
      </c>
      <c r="AR8" s="94"/>
      <c r="AS8" s="95" t="n">
        <f aca="false">IF(AR8-$C8&lt;&gt;0,AR8-$C8,"")</f>
        <v>-3.835</v>
      </c>
      <c r="AT8" s="94"/>
      <c r="AU8" s="95" t="n">
        <f aca="false">IF(AT8-$C8&lt;&gt;0,AT8-$C8,"")</f>
        <v>-3.835</v>
      </c>
    </row>
    <row r="9" customFormat="false" ht="12.75" hidden="false" customHeight="false" outlineLevel="0" collapsed="false">
      <c r="A9" s="92" t="n">
        <v>6</v>
      </c>
      <c r="B9" s="93" t="s">
        <v>85</v>
      </c>
      <c r="C9" s="94" t="n">
        <f aca="false">Summary!$D$2</f>
        <v>3.835</v>
      </c>
      <c r="D9" s="94"/>
      <c r="E9" s="95" t="n">
        <f aca="false">IF(D9-$C9&lt;&gt;0,D9-$C9,"")</f>
        <v>-3.835</v>
      </c>
      <c r="F9" s="94"/>
      <c r="G9" s="95" t="n">
        <f aca="false">IF(F9-$C9&lt;&gt;0,F9-$C9,"")</f>
        <v>-3.835</v>
      </c>
      <c r="H9" s="94"/>
      <c r="I9" s="95" t="n">
        <f aca="false">IF(H9-$C9&lt;&gt;0,H9-$C9,"")</f>
        <v>-3.835</v>
      </c>
      <c r="J9" s="94"/>
      <c r="K9" s="95" t="n">
        <f aca="false">IF(J9-$C9&lt;&gt;0,J9-$C9,"")</f>
        <v>-3.835</v>
      </c>
      <c r="L9" s="94"/>
      <c r="M9" s="95" t="n">
        <f aca="false">IF(L9-$C9&lt;&gt;0,L9-$C9,"")</f>
        <v>-3.835</v>
      </c>
      <c r="N9" s="94"/>
      <c r="O9" s="95" t="n">
        <f aca="false">IF(N9-$C9&lt;&gt;0,N9-$C9,"")</f>
        <v>-3.835</v>
      </c>
      <c r="P9" s="94"/>
      <c r="Q9" s="95" t="n">
        <f aca="false">IF(P9-$C9&lt;&gt;0,P9-$C9,"")</f>
        <v>-3.835</v>
      </c>
      <c r="R9" s="96" t="n">
        <f aca="false">C9+0.01</f>
        <v>3.845</v>
      </c>
      <c r="S9" s="95" t="n">
        <f aca="false">IF(R9-$C9&lt;&gt;0,R9-$C9,"")</f>
        <v>0.00999999999999979</v>
      </c>
      <c r="T9" s="94"/>
      <c r="U9" s="95" t="n">
        <f aca="false">IF(T9-$C9&lt;&gt;0,T9-$C9,"")</f>
        <v>-3.835</v>
      </c>
      <c r="V9" s="88" t="n">
        <f aca="false">C9-0.08</f>
        <v>3.755</v>
      </c>
      <c r="W9" s="95" t="n">
        <f aca="false">IF(V9-$C9&lt;&gt;0,V9-$C9,"")</f>
        <v>-0.0800000000000001</v>
      </c>
      <c r="X9" s="94"/>
      <c r="Y9" s="95" t="n">
        <f aca="false">IF(X9-$C9&lt;&gt;0,X9-$C9,"")</f>
        <v>-3.835</v>
      </c>
      <c r="Z9" s="94"/>
      <c r="AA9" s="95" t="n">
        <f aca="false">IF(Z9-$C9&lt;&gt;0,Z9-$C9,"")</f>
        <v>-3.835</v>
      </c>
      <c r="AB9" s="94"/>
      <c r="AC9" s="95" t="n">
        <f aca="false">IF(AB9-$C9&lt;&gt;0,AB9-$C9,"")</f>
        <v>-3.835</v>
      </c>
      <c r="AD9" s="94"/>
      <c r="AE9" s="95" t="n">
        <f aca="false">IF(AD9-$C9&lt;&gt;0,AD9-$C9,"")</f>
        <v>-3.835</v>
      </c>
      <c r="AF9" s="88" t="n">
        <f aca="false">C9+0.04</f>
        <v>3.875</v>
      </c>
      <c r="AG9" s="95" t="n">
        <f aca="false">IF(AF9-$C9&lt;&gt;0,AF9-$C9,"")</f>
        <v>0.04</v>
      </c>
      <c r="AH9" s="94"/>
      <c r="AI9" s="95" t="n">
        <f aca="false">IF(AH9-$C9&lt;&gt;0,AH9-$C9,"")</f>
        <v>-3.835</v>
      </c>
      <c r="AJ9" s="94"/>
      <c r="AK9" s="95" t="n">
        <f aca="false">IF(AJ9-$C9&lt;&gt;0,AJ9-$C9,"")</f>
        <v>-3.835</v>
      </c>
      <c r="AL9" s="94"/>
      <c r="AM9" s="95" t="n">
        <f aca="false">IF(AL9-$C9&lt;&gt;0,AL9-$C9,"")</f>
        <v>-3.835</v>
      </c>
      <c r="AN9" s="94"/>
      <c r="AO9" s="95" t="n">
        <f aca="false">IF(AN9-$C9&lt;&gt;0,AN9-$C9,"")</f>
        <v>-3.835</v>
      </c>
      <c r="AP9" s="94"/>
      <c r="AQ9" s="95" t="n">
        <f aca="false">IF(AP9-$C9&lt;&gt;0,AP9-$C9,"")</f>
        <v>-3.835</v>
      </c>
      <c r="AR9" s="94"/>
      <c r="AS9" s="95" t="n">
        <f aca="false">IF(AR9-$C9&lt;&gt;0,AR9-$C9,"")</f>
        <v>-3.835</v>
      </c>
      <c r="AT9" s="94"/>
      <c r="AU9" s="95" t="n">
        <f aca="false">IF(AT9-$C9&lt;&gt;0,AT9-$C9,"")</f>
        <v>-3.835</v>
      </c>
    </row>
    <row r="10" customFormat="false" ht="12.75" hidden="false" customHeight="false" outlineLevel="0" collapsed="false">
      <c r="A10" s="92" t="n">
        <v>7</v>
      </c>
      <c r="B10" s="93" t="s">
        <v>85</v>
      </c>
      <c r="C10" s="94" t="n">
        <f aca="false">Summary!$D$2</f>
        <v>3.835</v>
      </c>
      <c r="D10" s="94"/>
      <c r="E10" s="95" t="n">
        <f aca="false">IF(D10-$C10&lt;&gt;0,D10-$C10,"")</f>
        <v>-3.835</v>
      </c>
      <c r="F10" s="94"/>
      <c r="G10" s="95" t="n">
        <f aca="false">IF(F10-$C10&lt;&gt;0,F10-$C10,"")</f>
        <v>-3.835</v>
      </c>
      <c r="H10" s="94"/>
      <c r="I10" s="95" t="n">
        <f aca="false">IF(H10-$C10&lt;&gt;0,H10-$C10,"")</f>
        <v>-3.835</v>
      </c>
      <c r="J10" s="94"/>
      <c r="K10" s="95" t="n">
        <f aca="false">IF(J10-$C10&lt;&gt;0,J10-$C10,"")</f>
        <v>-3.835</v>
      </c>
      <c r="L10" s="94"/>
      <c r="M10" s="95" t="n">
        <f aca="false">IF(L10-$C10&lt;&gt;0,L10-$C10,"")</f>
        <v>-3.835</v>
      </c>
      <c r="N10" s="94"/>
      <c r="O10" s="95" t="n">
        <f aca="false">IF(N10-$C10&lt;&gt;0,N10-$C10,"")</f>
        <v>-3.835</v>
      </c>
      <c r="P10" s="94"/>
      <c r="Q10" s="95" t="n">
        <f aca="false">IF(P10-$C10&lt;&gt;0,P10-$C10,"")</f>
        <v>-3.835</v>
      </c>
      <c r="R10" s="96" t="n">
        <f aca="false">C10+0.01</f>
        <v>3.845</v>
      </c>
      <c r="S10" s="95" t="n">
        <f aca="false">IF(R10-$C10&lt;&gt;0,R10-$C10,"")</f>
        <v>0.00999999999999979</v>
      </c>
      <c r="T10" s="94"/>
      <c r="U10" s="95" t="n">
        <f aca="false">IF(T10-$C10&lt;&gt;0,T10-$C10,"")</f>
        <v>-3.835</v>
      </c>
      <c r="V10" s="88" t="n">
        <f aca="false">C10-0.08</f>
        <v>3.755</v>
      </c>
      <c r="W10" s="95" t="n">
        <f aca="false">IF(V10-$C10&lt;&gt;0,V10-$C10,"")</f>
        <v>-0.0800000000000001</v>
      </c>
      <c r="X10" s="94"/>
      <c r="Y10" s="95" t="n">
        <f aca="false">IF(X10-$C10&lt;&gt;0,X10-$C10,"")</f>
        <v>-3.835</v>
      </c>
      <c r="Z10" s="94"/>
      <c r="AA10" s="95" t="n">
        <f aca="false">IF(Z10-$C10&lt;&gt;0,Z10-$C10,"")</f>
        <v>-3.835</v>
      </c>
      <c r="AB10" s="94"/>
      <c r="AC10" s="95" t="n">
        <f aca="false">IF(AB10-$C10&lt;&gt;0,AB10-$C10,"")</f>
        <v>-3.835</v>
      </c>
      <c r="AD10" s="94"/>
      <c r="AE10" s="95" t="n">
        <f aca="false">IF(AD10-$C10&lt;&gt;0,AD10-$C10,"")</f>
        <v>-3.835</v>
      </c>
      <c r="AF10" s="88" t="n">
        <f aca="false">C10+0.04</f>
        <v>3.875</v>
      </c>
      <c r="AG10" s="95" t="n">
        <f aca="false">IF(AF10-$C10&lt;&gt;0,AF10-$C10,"")</f>
        <v>0.04</v>
      </c>
      <c r="AH10" s="94"/>
      <c r="AI10" s="95" t="n">
        <f aca="false">IF(AH10-$C10&lt;&gt;0,AH10-$C10,"")</f>
        <v>-3.835</v>
      </c>
      <c r="AJ10" s="94"/>
      <c r="AK10" s="95" t="n">
        <f aca="false">IF(AJ10-$C10&lt;&gt;0,AJ10-$C10,"")</f>
        <v>-3.835</v>
      </c>
      <c r="AL10" s="94"/>
      <c r="AM10" s="95" t="n">
        <f aca="false">IF(AL10-$C10&lt;&gt;0,AL10-$C10,"")</f>
        <v>-3.835</v>
      </c>
      <c r="AN10" s="94"/>
      <c r="AO10" s="95" t="n">
        <f aca="false">IF(AN10-$C10&lt;&gt;0,AN10-$C10,"")</f>
        <v>-3.835</v>
      </c>
      <c r="AP10" s="94"/>
      <c r="AQ10" s="95" t="n">
        <f aca="false">IF(AP10-$C10&lt;&gt;0,AP10-$C10,"")</f>
        <v>-3.835</v>
      </c>
      <c r="AR10" s="94"/>
      <c r="AS10" s="95" t="n">
        <f aca="false">IF(AR10-$C10&lt;&gt;0,AR10-$C10,"")</f>
        <v>-3.835</v>
      </c>
      <c r="AT10" s="94"/>
      <c r="AU10" s="95" t="n">
        <f aca="false">IF(AT10-$C10&lt;&gt;0,AT10-$C10,"")</f>
        <v>-3.835</v>
      </c>
    </row>
    <row r="11" customFormat="false" ht="12.75" hidden="false" customHeight="false" outlineLevel="0" collapsed="false">
      <c r="A11" s="92" t="n">
        <v>8</v>
      </c>
      <c r="B11" s="93" t="s">
        <v>85</v>
      </c>
      <c r="C11" s="94" t="n">
        <f aca="false">Summary!$D$2</f>
        <v>3.835</v>
      </c>
      <c r="D11" s="94"/>
      <c r="E11" s="95" t="n">
        <f aca="false">IF(D11-$C11&lt;&gt;0,D11-$C11,"")</f>
        <v>-3.835</v>
      </c>
      <c r="F11" s="94"/>
      <c r="G11" s="95" t="n">
        <f aca="false">IF(F11-$C11&lt;&gt;0,F11-$C11,"")</f>
        <v>-3.835</v>
      </c>
      <c r="H11" s="94"/>
      <c r="I11" s="95" t="n">
        <f aca="false">IF(H11-$C11&lt;&gt;0,H11-$C11,"")</f>
        <v>-3.835</v>
      </c>
      <c r="J11" s="94"/>
      <c r="K11" s="95" t="n">
        <f aca="false">IF(J11-$C11&lt;&gt;0,J11-$C11,"")</f>
        <v>-3.835</v>
      </c>
      <c r="L11" s="94"/>
      <c r="M11" s="95" t="n">
        <f aca="false">IF(L11-$C11&lt;&gt;0,L11-$C11,"")</f>
        <v>-3.835</v>
      </c>
      <c r="N11" s="94"/>
      <c r="O11" s="95" t="n">
        <f aca="false">IF(N11-$C11&lt;&gt;0,N11-$C11,"")</f>
        <v>-3.835</v>
      </c>
      <c r="P11" s="94"/>
      <c r="Q11" s="95" t="n">
        <f aca="false">IF(P11-$C11&lt;&gt;0,P11-$C11,"")</f>
        <v>-3.835</v>
      </c>
      <c r="R11" s="96" t="n">
        <f aca="false">C11+0.01</f>
        <v>3.845</v>
      </c>
      <c r="S11" s="95" t="n">
        <f aca="false">IF(R11-$C11&lt;&gt;0,R11-$C11,"")</f>
        <v>0.00999999999999979</v>
      </c>
      <c r="T11" s="94"/>
      <c r="U11" s="95" t="n">
        <f aca="false">IF(T11-$C11&lt;&gt;0,T11-$C11,"")</f>
        <v>-3.835</v>
      </c>
      <c r="V11" s="88" t="n">
        <f aca="false">C11-0.08</f>
        <v>3.755</v>
      </c>
      <c r="W11" s="95" t="n">
        <f aca="false">IF(V11-$C11&lt;&gt;0,V11-$C11,"")</f>
        <v>-0.0800000000000001</v>
      </c>
      <c r="X11" s="94"/>
      <c r="Y11" s="95" t="n">
        <f aca="false">IF(X11-$C11&lt;&gt;0,X11-$C11,"")</f>
        <v>-3.835</v>
      </c>
      <c r="Z11" s="94"/>
      <c r="AA11" s="95" t="n">
        <f aca="false">IF(Z11-$C11&lt;&gt;0,Z11-$C11,"")</f>
        <v>-3.835</v>
      </c>
      <c r="AB11" s="94"/>
      <c r="AC11" s="95" t="n">
        <f aca="false">IF(AB11-$C11&lt;&gt;0,AB11-$C11,"")</f>
        <v>-3.835</v>
      </c>
      <c r="AD11" s="94"/>
      <c r="AE11" s="95" t="n">
        <f aca="false">IF(AD11-$C11&lt;&gt;0,AD11-$C11,"")</f>
        <v>-3.835</v>
      </c>
      <c r="AF11" s="88" t="n">
        <f aca="false">C11+0.04</f>
        <v>3.875</v>
      </c>
      <c r="AG11" s="95" t="n">
        <f aca="false">IF(AF11-$C11&lt;&gt;0,AF11-$C11,"")</f>
        <v>0.04</v>
      </c>
      <c r="AH11" s="94"/>
      <c r="AI11" s="95" t="n">
        <f aca="false">IF(AH11-$C11&lt;&gt;0,AH11-$C11,"")</f>
        <v>-3.835</v>
      </c>
      <c r="AJ11" s="94"/>
      <c r="AK11" s="95" t="n">
        <f aca="false">IF(AJ11-$C11&lt;&gt;0,AJ11-$C11,"")</f>
        <v>-3.835</v>
      </c>
      <c r="AL11" s="94"/>
      <c r="AM11" s="95" t="n">
        <f aca="false">IF(AL11-$C11&lt;&gt;0,AL11-$C11,"")</f>
        <v>-3.835</v>
      </c>
      <c r="AN11" s="94"/>
      <c r="AO11" s="95" t="n">
        <f aca="false">IF(AN11-$C11&lt;&gt;0,AN11-$C11,"")</f>
        <v>-3.835</v>
      </c>
      <c r="AP11" s="94"/>
      <c r="AQ11" s="95" t="n">
        <f aca="false">IF(AP11-$C11&lt;&gt;0,AP11-$C11,"")</f>
        <v>-3.835</v>
      </c>
      <c r="AR11" s="94"/>
      <c r="AS11" s="95" t="n">
        <f aca="false">IF(AR11-$C11&lt;&gt;0,AR11-$C11,"")</f>
        <v>-3.835</v>
      </c>
      <c r="AT11" s="94"/>
      <c r="AU11" s="95" t="n">
        <f aca="false">IF(AT11-$C11&lt;&gt;0,AT11-$C11,"")</f>
        <v>-3.835</v>
      </c>
    </row>
    <row r="12" customFormat="false" ht="12.75" hidden="false" customHeight="false" outlineLevel="0" collapsed="false">
      <c r="A12" s="92" t="n">
        <v>9</v>
      </c>
      <c r="B12" s="93" t="s">
        <v>85</v>
      </c>
      <c r="C12" s="94" t="n">
        <f aca="false">Summary!$D$2</f>
        <v>3.835</v>
      </c>
      <c r="D12" s="94"/>
      <c r="E12" s="95" t="n">
        <f aca="false">IF(D12-$C12&lt;&gt;0,D12-$C12,"")</f>
        <v>-3.835</v>
      </c>
      <c r="F12" s="94"/>
      <c r="G12" s="95" t="n">
        <f aca="false">IF(F12-$C12&lt;&gt;0,F12-$C12,"")</f>
        <v>-3.835</v>
      </c>
      <c r="H12" s="94"/>
      <c r="I12" s="95" t="n">
        <f aca="false">IF(H12-$C12&lt;&gt;0,H12-$C12,"")</f>
        <v>-3.835</v>
      </c>
      <c r="J12" s="94"/>
      <c r="K12" s="95" t="n">
        <f aca="false">IF(J12-$C12&lt;&gt;0,J12-$C12,"")</f>
        <v>-3.835</v>
      </c>
      <c r="L12" s="94"/>
      <c r="M12" s="95" t="n">
        <f aca="false">IF(L12-$C12&lt;&gt;0,L12-$C12,"")</f>
        <v>-3.835</v>
      </c>
      <c r="N12" s="94"/>
      <c r="O12" s="95" t="n">
        <f aca="false">IF(N12-$C12&lt;&gt;0,N12-$C12,"")</f>
        <v>-3.835</v>
      </c>
      <c r="P12" s="94"/>
      <c r="Q12" s="95" t="n">
        <f aca="false">IF(P12-$C12&lt;&gt;0,P12-$C12,"")</f>
        <v>-3.835</v>
      </c>
      <c r="R12" s="96" t="n">
        <f aca="false">C12+0.01</f>
        <v>3.845</v>
      </c>
      <c r="S12" s="95" t="n">
        <f aca="false">IF(R12-$C12&lt;&gt;0,R12-$C12,"")</f>
        <v>0.00999999999999979</v>
      </c>
      <c r="T12" s="94"/>
      <c r="U12" s="95" t="n">
        <f aca="false">IF(T12-$C12&lt;&gt;0,T12-$C12,"")</f>
        <v>-3.835</v>
      </c>
      <c r="V12" s="88" t="n">
        <f aca="false">C12-0.08</f>
        <v>3.755</v>
      </c>
      <c r="W12" s="95" t="n">
        <f aca="false">IF(V12-$C12&lt;&gt;0,V12-$C12,"")</f>
        <v>-0.0800000000000001</v>
      </c>
      <c r="X12" s="94"/>
      <c r="Y12" s="95" t="n">
        <f aca="false">IF(X12-$C12&lt;&gt;0,X12-$C12,"")</f>
        <v>-3.835</v>
      </c>
      <c r="Z12" s="94"/>
      <c r="AA12" s="95" t="n">
        <f aca="false">IF(Z12-$C12&lt;&gt;0,Z12-$C12,"")</f>
        <v>-3.835</v>
      </c>
      <c r="AB12" s="94"/>
      <c r="AC12" s="95" t="n">
        <f aca="false">IF(AB12-$C12&lt;&gt;0,AB12-$C12,"")</f>
        <v>-3.835</v>
      </c>
      <c r="AD12" s="94"/>
      <c r="AE12" s="95" t="n">
        <f aca="false">IF(AD12-$C12&lt;&gt;0,AD12-$C12,"")</f>
        <v>-3.835</v>
      </c>
      <c r="AF12" s="88" t="n">
        <f aca="false">C12+0.04</f>
        <v>3.875</v>
      </c>
      <c r="AG12" s="95" t="n">
        <f aca="false">IF(AF12-$C12&lt;&gt;0,AF12-$C12,"")</f>
        <v>0.04</v>
      </c>
      <c r="AH12" s="94"/>
      <c r="AI12" s="95" t="n">
        <f aca="false">IF(AH12-$C12&lt;&gt;0,AH12-$C12,"")</f>
        <v>-3.835</v>
      </c>
      <c r="AJ12" s="94"/>
      <c r="AK12" s="95" t="n">
        <f aca="false">IF(AJ12-$C12&lt;&gt;0,AJ12-$C12,"")</f>
        <v>-3.835</v>
      </c>
      <c r="AL12" s="94"/>
      <c r="AM12" s="95" t="n">
        <f aca="false">IF(AL12-$C12&lt;&gt;0,AL12-$C12,"")</f>
        <v>-3.835</v>
      </c>
      <c r="AN12" s="94"/>
      <c r="AO12" s="95" t="n">
        <f aca="false">IF(AN12-$C12&lt;&gt;0,AN12-$C12,"")</f>
        <v>-3.835</v>
      </c>
      <c r="AP12" s="94"/>
      <c r="AQ12" s="95" t="n">
        <f aca="false">IF(AP12-$C12&lt;&gt;0,AP12-$C12,"")</f>
        <v>-3.835</v>
      </c>
      <c r="AR12" s="94"/>
      <c r="AS12" s="95" t="n">
        <f aca="false">IF(AR12-$C12&lt;&gt;0,AR12-$C12,"")</f>
        <v>-3.835</v>
      </c>
      <c r="AT12" s="94"/>
      <c r="AU12" s="95" t="n">
        <f aca="false">IF(AT12-$C12&lt;&gt;0,AT12-$C12,"")</f>
        <v>-3.835</v>
      </c>
    </row>
    <row r="13" customFormat="false" ht="12.75" hidden="false" customHeight="false" outlineLevel="0" collapsed="false">
      <c r="A13" s="92" t="n">
        <v>10</v>
      </c>
      <c r="B13" s="93" t="s">
        <v>85</v>
      </c>
      <c r="C13" s="94" t="n">
        <f aca="false">Summary!$D$2</f>
        <v>3.835</v>
      </c>
      <c r="D13" s="94"/>
      <c r="E13" s="95" t="n">
        <f aca="false">IF(D13-$C13&lt;&gt;0,D13-$C13,"")</f>
        <v>-3.835</v>
      </c>
      <c r="F13" s="94"/>
      <c r="G13" s="95" t="n">
        <f aca="false">IF(F13-$C13&lt;&gt;0,F13-$C13,"")</f>
        <v>-3.835</v>
      </c>
      <c r="H13" s="94"/>
      <c r="I13" s="95" t="n">
        <f aca="false">IF(H13-$C13&lt;&gt;0,H13-$C13,"")</f>
        <v>-3.835</v>
      </c>
      <c r="J13" s="94"/>
      <c r="K13" s="95" t="n">
        <f aca="false">IF(J13-$C13&lt;&gt;0,J13-$C13,"")</f>
        <v>-3.835</v>
      </c>
      <c r="L13" s="94"/>
      <c r="M13" s="95" t="n">
        <f aca="false">IF(L13-$C13&lt;&gt;0,L13-$C13,"")</f>
        <v>-3.835</v>
      </c>
      <c r="N13" s="94"/>
      <c r="O13" s="95" t="n">
        <f aca="false">IF(N13-$C13&lt;&gt;0,N13-$C13,"")</f>
        <v>-3.835</v>
      </c>
      <c r="P13" s="94"/>
      <c r="Q13" s="95" t="n">
        <f aca="false">IF(P13-$C13&lt;&gt;0,P13-$C13,"")</f>
        <v>-3.835</v>
      </c>
      <c r="R13" s="96" t="n">
        <f aca="false">C13+0.01</f>
        <v>3.845</v>
      </c>
      <c r="S13" s="95" t="n">
        <f aca="false">IF(R13-$C13&lt;&gt;0,R13-$C13,"")</f>
        <v>0.00999999999999979</v>
      </c>
      <c r="T13" s="94"/>
      <c r="U13" s="95" t="n">
        <f aca="false">IF(T13-$C13&lt;&gt;0,T13-$C13,"")</f>
        <v>-3.835</v>
      </c>
      <c r="V13" s="88" t="n">
        <f aca="false">C13-0.08</f>
        <v>3.755</v>
      </c>
      <c r="W13" s="95" t="n">
        <f aca="false">IF(V13-$C13&lt;&gt;0,V13-$C13,"")</f>
        <v>-0.0800000000000001</v>
      </c>
      <c r="X13" s="94"/>
      <c r="Y13" s="95" t="n">
        <f aca="false">IF(X13-$C13&lt;&gt;0,X13-$C13,"")</f>
        <v>-3.835</v>
      </c>
      <c r="Z13" s="94"/>
      <c r="AA13" s="95" t="n">
        <f aca="false">IF(Z13-$C13&lt;&gt;0,Z13-$C13,"")</f>
        <v>-3.835</v>
      </c>
      <c r="AB13" s="94"/>
      <c r="AC13" s="95" t="n">
        <f aca="false">IF(AB13-$C13&lt;&gt;0,AB13-$C13,"")</f>
        <v>-3.835</v>
      </c>
      <c r="AD13" s="94"/>
      <c r="AE13" s="95" t="n">
        <f aca="false">IF(AD13-$C13&lt;&gt;0,AD13-$C13,"")</f>
        <v>-3.835</v>
      </c>
      <c r="AF13" s="88" t="n">
        <f aca="false">C13+0.04</f>
        <v>3.875</v>
      </c>
      <c r="AG13" s="95" t="n">
        <f aca="false">IF(AF13-$C13&lt;&gt;0,AF13-$C13,"")</f>
        <v>0.04</v>
      </c>
      <c r="AH13" s="94"/>
      <c r="AI13" s="95" t="n">
        <f aca="false">IF(AH13-$C13&lt;&gt;0,AH13-$C13,"")</f>
        <v>-3.835</v>
      </c>
      <c r="AJ13" s="94"/>
      <c r="AK13" s="95" t="n">
        <f aca="false">IF(AJ13-$C13&lt;&gt;0,AJ13-$C13,"")</f>
        <v>-3.835</v>
      </c>
      <c r="AL13" s="94"/>
      <c r="AM13" s="95" t="n">
        <f aca="false">IF(AL13-$C13&lt;&gt;0,AL13-$C13,"")</f>
        <v>-3.835</v>
      </c>
      <c r="AN13" s="94"/>
      <c r="AO13" s="95" t="n">
        <f aca="false">IF(AN13-$C13&lt;&gt;0,AN13-$C13,"")</f>
        <v>-3.835</v>
      </c>
      <c r="AP13" s="94"/>
      <c r="AQ13" s="95" t="n">
        <f aca="false">IF(AP13-$C13&lt;&gt;0,AP13-$C13,"")</f>
        <v>-3.835</v>
      </c>
      <c r="AR13" s="94"/>
      <c r="AS13" s="95" t="n">
        <f aca="false">IF(AR13-$C13&lt;&gt;0,AR13-$C13,"")</f>
        <v>-3.835</v>
      </c>
      <c r="AT13" s="94"/>
      <c r="AU13" s="95" t="n">
        <f aca="false">IF(AT13-$C13&lt;&gt;0,AT13-$C13,"")</f>
        <v>-3.835</v>
      </c>
    </row>
    <row r="14" customFormat="false" ht="12.75" hidden="false" customHeight="false" outlineLevel="0" collapsed="false">
      <c r="A14" s="92" t="n">
        <v>11</v>
      </c>
      <c r="B14" s="93" t="s">
        <v>85</v>
      </c>
      <c r="C14" s="94" t="n">
        <f aca="false">Summary!$D$2</f>
        <v>3.835</v>
      </c>
      <c r="D14" s="94"/>
      <c r="E14" s="95" t="n">
        <f aca="false">IF(D14-$C14&lt;&gt;0,D14-$C14,"")</f>
        <v>-3.835</v>
      </c>
      <c r="F14" s="94"/>
      <c r="G14" s="95" t="n">
        <f aca="false">IF(F14-$C14&lt;&gt;0,F14-$C14,"")</f>
        <v>-3.835</v>
      </c>
      <c r="H14" s="94"/>
      <c r="I14" s="95" t="n">
        <f aca="false">IF(H14-$C14&lt;&gt;0,H14-$C14,"")</f>
        <v>-3.835</v>
      </c>
      <c r="J14" s="94"/>
      <c r="K14" s="95" t="n">
        <f aca="false">IF(J14-$C14&lt;&gt;0,J14-$C14,"")</f>
        <v>-3.835</v>
      </c>
      <c r="L14" s="94"/>
      <c r="M14" s="95" t="n">
        <f aca="false">IF(L14-$C14&lt;&gt;0,L14-$C14,"")</f>
        <v>-3.835</v>
      </c>
      <c r="N14" s="94"/>
      <c r="O14" s="95" t="n">
        <f aca="false">IF(N14-$C14&lt;&gt;0,N14-$C14,"")</f>
        <v>-3.835</v>
      </c>
      <c r="P14" s="94"/>
      <c r="Q14" s="95" t="n">
        <f aca="false">IF(P14-$C14&lt;&gt;0,P14-$C14,"")</f>
        <v>-3.835</v>
      </c>
      <c r="R14" s="96" t="n">
        <f aca="false">C14+0.01</f>
        <v>3.845</v>
      </c>
      <c r="S14" s="95" t="n">
        <f aca="false">IF(R14-$C14&lt;&gt;0,R14-$C14,"")</f>
        <v>0.00999999999999979</v>
      </c>
      <c r="T14" s="94"/>
      <c r="U14" s="95" t="n">
        <f aca="false">IF(T14-$C14&lt;&gt;0,T14-$C14,"")</f>
        <v>-3.835</v>
      </c>
      <c r="V14" s="88" t="n">
        <f aca="false">C14-0.08</f>
        <v>3.755</v>
      </c>
      <c r="W14" s="95" t="n">
        <f aca="false">IF(V14-$C14&lt;&gt;0,V14-$C14,"")</f>
        <v>-0.0800000000000001</v>
      </c>
      <c r="X14" s="94"/>
      <c r="Y14" s="95" t="n">
        <f aca="false">IF(X14-$C14&lt;&gt;0,X14-$C14,"")</f>
        <v>-3.835</v>
      </c>
      <c r="Z14" s="94"/>
      <c r="AA14" s="95" t="n">
        <f aca="false">IF(Z14-$C14&lt;&gt;0,Z14-$C14,"")</f>
        <v>-3.835</v>
      </c>
      <c r="AB14" s="94"/>
      <c r="AC14" s="95" t="n">
        <f aca="false">IF(AB14-$C14&lt;&gt;0,AB14-$C14,"")</f>
        <v>-3.835</v>
      </c>
      <c r="AD14" s="94"/>
      <c r="AE14" s="95" t="n">
        <f aca="false">IF(AD14-$C14&lt;&gt;0,AD14-$C14,"")</f>
        <v>-3.835</v>
      </c>
      <c r="AF14" s="88" t="n">
        <f aca="false">C14+0.04</f>
        <v>3.875</v>
      </c>
      <c r="AG14" s="95" t="n">
        <f aca="false">IF(AF14-$C14&lt;&gt;0,AF14-$C14,"")</f>
        <v>0.04</v>
      </c>
      <c r="AH14" s="94"/>
      <c r="AI14" s="95" t="n">
        <f aca="false">IF(AH14-$C14&lt;&gt;0,AH14-$C14,"")</f>
        <v>-3.835</v>
      </c>
      <c r="AJ14" s="94"/>
      <c r="AK14" s="95" t="n">
        <f aca="false">IF(AJ14-$C14&lt;&gt;0,AJ14-$C14,"")</f>
        <v>-3.835</v>
      </c>
      <c r="AL14" s="94"/>
      <c r="AM14" s="95" t="n">
        <f aca="false">IF(AL14-$C14&lt;&gt;0,AL14-$C14,"")</f>
        <v>-3.835</v>
      </c>
      <c r="AN14" s="94"/>
      <c r="AO14" s="95" t="n">
        <f aca="false">IF(AN14-$C14&lt;&gt;0,AN14-$C14,"")</f>
        <v>-3.835</v>
      </c>
      <c r="AP14" s="94"/>
      <c r="AQ14" s="95" t="n">
        <f aca="false">IF(AP14-$C14&lt;&gt;0,AP14-$C14,"")</f>
        <v>-3.835</v>
      </c>
      <c r="AR14" s="94"/>
      <c r="AS14" s="95" t="n">
        <f aca="false">IF(AR14-$C14&lt;&gt;0,AR14-$C14,"")</f>
        <v>-3.835</v>
      </c>
      <c r="AT14" s="94"/>
      <c r="AU14" s="95" t="n">
        <f aca="false">IF(AT14-$C14&lt;&gt;0,AT14-$C14,"")</f>
        <v>-3.835</v>
      </c>
    </row>
    <row r="15" customFormat="false" ht="12.75" hidden="false" customHeight="false" outlineLevel="0" collapsed="false">
      <c r="A15" s="92" t="n">
        <v>12</v>
      </c>
      <c r="B15" s="93" t="s">
        <v>85</v>
      </c>
      <c r="C15" s="94" t="n">
        <f aca="false">Summary!$D$2</f>
        <v>3.835</v>
      </c>
      <c r="D15" s="94"/>
      <c r="E15" s="95" t="n">
        <f aca="false">IF(D15-$C15&lt;&gt;0,D15-$C15,"")</f>
        <v>-3.835</v>
      </c>
      <c r="F15" s="94"/>
      <c r="G15" s="95" t="n">
        <f aca="false">IF(F15-$C15&lt;&gt;0,F15-$C15,"")</f>
        <v>-3.835</v>
      </c>
      <c r="H15" s="94"/>
      <c r="I15" s="95" t="n">
        <f aca="false">IF(H15-$C15&lt;&gt;0,H15-$C15,"")</f>
        <v>-3.835</v>
      </c>
      <c r="J15" s="94"/>
      <c r="K15" s="95" t="n">
        <f aca="false">IF(J15-$C15&lt;&gt;0,J15-$C15,"")</f>
        <v>-3.835</v>
      </c>
      <c r="L15" s="94"/>
      <c r="M15" s="95" t="n">
        <f aca="false">IF(L15-$C15&lt;&gt;0,L15-$C15,"")</f>
        <v>-3.835</v>
      </c>
      <c r="N15" s="94"/>
      <c r="O15" s="95" t="n">
        <f aca="false">IF(N15-$C15&lt;&gt;0,N15-$C15,"")</f>
        <v>-3.835</v>
      </c>
      <c r="P15" s="94"/>
      <c r="Q15" s="95" t="n">
        <f aca="false">IF(P15-$C15&lt;&gt;0,P15-$C15,"")</f>
        <v>-3.835</v>
      </c>
      <c r="R15" s="96" t="n">
        <f aca="false">C15+0.01</f>
        <v>3.845</v>
      </c>
      <c r="S15" s="95" t="n">
        <f aca="false">IF(R15-$C15&lt;&gt;0,R15-$C15,"")</f>
        <v>0.00999999999999979</v>
      </c>
      <c r="T15" s="94"/>
      <c r="U15" s="95" t="n">
        <f aca="false">IF(T15-$C15&lt;&gt;0,T15-$C15,"")</f>
        <v>-3.835</v>
      </c>
      <c r="V15" s="88" t="n">
        <f aca="false">C15-0.08</f>
        <v>3.755</v>
      </c>
      <c r="W15" s="95" t="n">
        <f aca="false">IF(V15-$C15&lt;&gt;0,V15-$C15,"")</f>
        <v>-0.0800000000000001</v>
      </c>
      <c r="X15" s="94"/>
      <c r="Y15" s="95" t="n">
        <f aca="false">IF(X15-$C15&lt;&gt;0,X15-$C15,"")</f>
        <v>-3.835</v>
      </c>
      <c r="Z15" s="94"/>
      <c r="AA15" s="95" t="n">
        <f aca="false">IF(Z15-$C15&lt;&gt;0,Z15-$C15,"")</f>
        <v>-3.835</v>
      </c>
      <c r="AB15" s="94"/>
      <c r="AC15" s="95" t="n">
        <f aca="false">IF(AB15-$C15&lt;&gt;0,AB15-$C15,"")</f>
        <v>-3.835</v>
      </c>
      <c r="AD15" s="94"/>
      <c r="AE15" s="95" t="n">
        <f aca="false">IF(AD15-$C15&lt;&gt;0,AD15-$C15,"")</f>
        <v>-3.835</v>
      </c>
      <c r="AF15" s="88" t="n">
        <f aca="false">C15+0.04</f>
        <v>3.875</v>
      </c>
      <c r="AG15" s="95" t="n">
        <f aca="false">IF(AF15-$C15&lt;&gt;0,AF15-$C15,"")</f>
        <v>0.04</v>
      </c>
      <c r="AH15" s="94"/>
      <c r="AI15" s="95" t="n">
        <f aca="false">IF(AH15-$C15&lt;&gt;0,AH15-$C15,"")</f>
        <v>-3.835</v>
      </c>
      <c r="AJ15" s="94"/>
      <c r="AK15" s="95" t="n">
        <f aca="false">IF(AJ15-$C15&lt;&gt;0,AJ15-$C15,"")</f>
        <v>-3.835</v>
      </c>
      <c r="AL15" s="94"/>
      <c r="AM15" s="95" t="n">
        <f aca="false">IF(AL15-$C15&lt;&gt;0,AL15-$C15,"")</f>
        <v>-3.835</v>
      </c>
      <c r="AN15" s="94"/>
      <c r="AO15" s="95" t="n">
        <f aca="false">IF(AN15-$C15&lt;&gt;0,AN15-$C15,"")</f>
        <v>-3.835</v>
      </c>
      <c r="AP15" s="94"/>
      <c r="AQ15" s="95" t="n">
        <f aca="false">IF(AP15-$C15&lt;&gt;0,AP15-$C15,"")</f>
        <v>-3.835</v>
      </c>
      <c r="AR15" s="94"/>
      <c r="AS15" s="95" t="n">
        <f aca="false">IF(AR15-$C15&lt;&gt;0,AR15-$C15,"")</f>
        <v>-3.835</v>
      </c>
      <c r="AT15" s="94"/>
      <c r="AU15" s="95" t="n">
        <f aca="false">IF(AT15-$C15&lt;&gt;0,AT15-$C15,"")</f>
        <v>-3.835</v>
      </c>
    </row>
    <row r="16" customFormat="false" ht="12.75" hidden="false" customHeight="false" outlineLevel="0" collapsed="false">
      <c r="A16" s="92" t="n">
        <v>13</v>
      </c>
      <c r="B16" s="93" t="s">
        <v>85</v>
      </c>
      <c r="C16" s="94" t="n">
        <f aca="false">Summary!$D$2</f>
        <v>3.835</v>
      </c>
      <c r="D16" s="94"/>
      <c r="E16" s="95" t="n">
        <f aca="false">IF(D16-$C16&lt;&gt;0,D16-$C16,"")</f>
        <v>-3.835</v>
      </c>
      <c r="F16" s="94"/>
      <c r="G16" s="95" t="n">
        <f aca="false">IF(F16-$C16&lt;&gt;0,F16-$C16,"")</f>
        <v>-3.835</v>
      </c>
      <c r="H16" s="94"/>
      <c r="I16" s="95" t="n">
        <f aca="false">IF(H16-$C16&lt;&gt;0,H16-$C16,"")</f>
        <v>-3.835</v>
      </c>
      <c r="J16" s="94"/>
      <c r="K16" s="95" t="n">
        <f aca="false">IF(J16-$C16&lt;&gt;0,J16-$C16,"")</f>
        <v>-3.835</v>
      </c>
      <c r="L16" s="94"/>
      <c r="M16" s="95" t="n">
        <f aca="false">IF(L16-$C16&lt;&gt;0,L16-$C16,"")</f>
        <v>-3.835</v>
      </c>
      <c r="N16" s="94"/>
      <c r="O16" s="95" t="n">
        <f aca="false">IF(N16-$C16&lt;&gt;0,N16-$C16,"")</f>
        <v>-3.835</v>
      </c>
      <c r="P16" s="94"/>
      <c r="Q16" s="95" t="n">
        <f aca="false">IF(P16-$C16&lt;&gt;0,P16-$C16,"")</f>
        <v>-3.835</v>
      </c>
      <c r="R16" s="96" t="n">
        <f aca="false">C16+0.01</f>
        <v>3.845</v>
      </c>
      <c r="S16" s="95" t="n">
        <f aca="false">IF(R16-$C16&lt;&gt;0,R16-$C16,"")</f>
        <v>0.00999999999999979</v>
      </c>
      <c r="T16" s="94"/>
      <c r="U16" s="95" t="n">
        <f aca="false">IF(T16-$C16&lt;&gt;0,T16-$C16,"")</f>
        <v>-3.835</v>
      </c>
      <c r="V16" s="88" t="n">
        <f aca="false">C16-0.08</f>
        <v>3.755</v>
      </c>
      <c r="W16" s="95" t="n">
        <f aca="false">IF(V16-$C16&lt;&gt;0,V16-$C16,"")</f>
        <v>-0.0800000000000001</v>
      </c>
      <c r="X16" s="94"/>
      <c r="Y16" s="95" t="n">
        <f aca="false">IF(X16-$C16&lt;&gt;0,X16-$C16,"")</f>
        <v>-3.835</v>
      </c>
      <c r="Z16" s="94"/>
      <c r="AA16" s="95" t="n">
        <f aca="false">IF(Z16-$C16&lt;&gt;0,Z16-$C16,"")</f>
        <v>-3.835</v>
      </c>
      <c r="AB16" s="94"/>
      <c r="AC16" s="95" t="n">
        <f aca="false">IF(AB16-$C16&lt;&gt;0,AB16-$C16,"")</f>
        <v>-3.835</v>
      </c>
      <c r="AD16" s="94"/>
      <c r="AE16" s="95" t="n">
        <f aca="false">IF(AD16-$C16&lt;&gt;0,AD16-$C16,"")</f>
        <v>-3.835</v>
      </c>
      <c r="AF16" s="88" t="n">
        <f aca="false">C16+0.04</f>
        <v>3.875</v>
      </c>
      <c r="AG16" s="95" t="n">
        <f aca="false">IF(AF16-$C16&lt;&gt;0,AF16-$C16,"")</f>
        <v>0.04</v>
      </c>
      <c r="AH16" s="94"/>
      <c r="AI16" s="95" t="n">
        <f aca="false">IF(AH16-$C16&lt;&gt;0,AH16-$C16,"")</f>
        <v>-3.835</v>
      </c>
      <c r="AJ16" s="94"/>
      <c r="AK16" s="95" t="n">
        <f aca="false">IF(AJ16-$C16&lt;&gt;0,AJ16-$C16,"")</f>
        <v>-3.835</v>
      </c>
      <c r="AL16" s="94"/>
      <c r="AM16" s="95" t="n">
        <f aca="false">IF(AL16-$C16&lt;&gt;0,AL16-$C16,"")</f>
        <v>-3.835</v>
      </c>
      <c r="AN16" s="94"/>
      <c r="AO16" s="95" t="n">
        <f aca="false">IF(AN16-$C16&lt;&gt;0,AN16-$C16,"")</f>
        <v>-3.835</v>
      </c>
      <c r="AP16" s="94"/>
      <c r="AQ16" s="95" t="n">
        <f aca="false">IF(AP16-$C16&lt;&gt;0,AP16-$C16,"")</f>
        <v>-3.835</v>
      </c>
      <c r="AR16" s="94"/>
      <c r="AS16" s="95" t="n">
        <f aca="false">IF(AR16-$C16&lt;&gt;0,AR16-$C16,"")</f>
        <v>-3.835</v>
      </c>
      <c r="AT16" s="94"/>
      <c r="AU16" s="95" t="n">
        <f aca="false">IF(AT16-$C16&lt;&gt;0,AT16-$C16,"")</f>
        <v>-3.835</v>
      </c>
    </row>
    <row r="17" customFormat="false" ht="12.75" hidden="false" customHeight="false" outlineLevel="0" collapsed="false">
      <c r="A17" s="92" t="n">
        <v>14</v>
      </c>
      <c r="B17" s="93" t="s">
        <v>85</v>
      </c>
      <c r="C17" s="94" t="n">
        <f aca="false">Summary!$D$2</f>
        <v>3.835</v>
      </c>
      <c r="D17" s="94"/>
      <c r="E17" s="95" t="n">
        <f aca="false">IF(D17-$C17&lt;&gt;0,D17-$C17,"")</f>
        <v>-3.835</v>
      </c>
      <c r="F17" s="94"/>
      <c r="G17" s="95" t="n">
        <f aca="false">IF(F17-$C17&lt;&gt;0,F17-$C17,"")</f>
        <v>-3.835</v>
      </c>
      <c r="H17" s="94"/>
      <c r="I17" s="95" t="n">
        <f aca="false">IF(H17-$C17&lt;&gt;0,H17-$C17,"")</f>
        <v>-3.835</v>
      </c>
      <c r="J17" s="94"/>
      <c r="K17" s="95" t="n">
        <f aca="false">IF(J17-$C17&lt;&gt;0,J17-$C17,"")</f>
        <v>-3.835</v>
      </c>
      <c r="L17" s="94"/>
      <c r="M17" s="95" t="n">
        <f aca="false">IF(L17-$C17&lt;&gt;0,L17-$C17,"")</f>
        <v>-3.835</v>
      </c>
      <c r="N17" s="94"/>
      <c r="O17" s="95" t="n">
        <f aca="false">IF(N17-$C17&lt;&gt;0,N17-$C17,"")</f>
        <v>-3.835</v>
      </c>
      <c r="P17" s="94"/>
      <c r="Q17" s="95" t="n">
        <f aca="false">IF(P17-$C17&lt;&gt;0,P17-$C17,"")</f>
        <v>-3.835</v>
      </c>
      <c r="R17" s="96" t="n">
        <f aca="false">C17+0.01</f>
        <v>3.845</v>
      </c>
      <c r="S17" s="95" t="n">
        <f aca="false">IF(R17-$C17&lt;&gt;0,R17-$C17,"")</f>
        <v>0.00999999999999979</v>
      </c>
      <c r="T17" s="94"/>
      <c r="U17" s="95" t="n">
        <f aca="false">IF(T17-$C17&lt;&gt;0,T17-$C17,"")</f>
        <v>-3.835</v>
      </c>
      <c r="V17" s="88" t="n">
        <f aca="false">C17-0.08</f>
        <v>3.755</v>
      </c>
      <c r="W17" s="95" t="n">
        <f aca="false">IF(V17-$C17&lt;&gt;0,V17-$C17,"")</f>
        <v>-0.0800000000000001</v>
      </c>
      <c r="X17" s="94"/>
      <c r="Y17" s="95" t="n">
        <f aca="false">IF(X17-$C17&lt;&gt;0,X17-$C17,"")</f>
        <v>-3.835</v>
      </c>
      <c r="Z17" s="94"/>
      <c r="AA17" s="95" t="n">
        <f aca="false">IF(Z17-$C17&lt;&gt;0,Z17-$C17,"")</f>
        <v>-3.835</v>
      </c>
      <c r="AB17" s="94"/>
      <c r="AC17" s="95" t="n">
        <f aca="false">IF(AB17-$C17&lt;&gt;0,AB17-$C17,"")</f>
        <v>-3.835</v>
      </c>
      <c r="AD17" s="94"/>
      <c r="AE17" s="95" t="n">
        <f aca="false">IF(AD17-$C17&lt;&gt;0,AD17-$C17,"")</f>
        <v>-3.835</v>
      </c>
      <c r="AF17" s="88" t="n">
        <f aca="false">C17+0.04</f>
        <v>3.875</v>
      </c>
      <c r="AG17" s="95" t="n">
        <f aca="false">IF(AF17-$C17&lt;&gt;0,AF17-$C17,"")</f>
        <v>0.04</v>
      </c>
      <c r="AH17" s="94"/>
      <c r="AI17" s="95" t="n">
        <f aca="false">IF(AH17-$C17&lt;&gt;0,AH17-$C17,"")</f>
        <v>-3.835</v>
      </c>
      <c r="AJ17" s="94"/>
      <c r="AK17" s="95" t="n">
        <f aca="false">IF(AJ17-$C17&lt;&gt;0,AJ17-$C17,"")</f>
        <v>-3.835</v>
      </c>
      <c r="AL17" s="94"/>
      <c r="AM17" s="95" t="n">
        <f aca="false">IF(AL17-$C17&lt;&gt;0,AL17-$C17,"")</f>
        <v>-3.835</v>
      </c>
      <c r="AN17" s="94"/>
      <c r="AO17" s="95" t="n">
        <f aca="false">IF(AN17-$C17&lt;&gt;0,AN17-$C17,"")</f>
        <v>-3.835</v>
      </c>
      <c r="AP17" s="94"/>
      <c r="AQ17" s="95" t="n">
        <f aca="false">IF(AP17-$C17&lt;&gt;0,AP17-$C17,"")</f>
        <v>-3.835</v>
      </c>
      <c r="AR17" s="94"/>
      <c r="AS17" s="95" t="n">
        <f aca="false">IF(AR17-$C17&lt;&gt;0,AR17-$C17,"")</f>
        <v>-3.835</v>
      </c>
      <c r="AT17" s="94"/>
      <c r="AU17" s="95" t="n">
        <f aca="false">IF(AT17-$C17&lt;&gt;0,AT17-$C17,"")</f>
        <v>-3.835</v>
      </c>
    </row>
    <row r="18" customFormat="false" ht="12.75" hidden="false" customHeight="false" outlineLevel="0" collapsed="false">
      <c r="A18" s="92" t="n">
        <v>15</v>
      </c>
      <c r="B18" s="93" t="s">
        <v>85</v>
      </c>
      <c r="C18" s="94" t="n">
        <f aca="false">Summary!$D$2</f>
        <v>3.835</v>
      </c>
      <c r="D18" s="94"/>
      <c r="E18" s="95" t="n">
        <f aca="false">IF(D18-$C18&lt;&gt;0,D18-$C18,"")</f>
        <v>-3.835</v>
      </c>
      <c r="F18" s="94"/>
      <c r="G18" s="95" t="n">
        <f aca="false">IF(F18-$C18&lt;&gt;0,F18-$C18,"")</f>
        <v>-3.835</v>
      </c>
      <c r="H18" s="94"/>
      <c r="I18" s="95" t="n">
        <f aca="false">IF(H18-$C18&lt;&gt;0,H18-$C18,"")</f>
        <v>-3.835</v>
      </c>
      <c r="J18" s="94"/>
      <c r="K18" s="95" t="n">
        <f aca="false">IF(J18-$C18&lt;&gt;0,J18-$C18,"")</f>
        <v>-3.835</v>
      </c>
      <c r="L18" s="94"/>
      <c r="M18" s="95" t="n">
        <f aca="false">IF(L18-$C18&lt;&gt;0,L18-$C18,"")</f>
        <v>-3.835</v>
      </c>
      <c r="N18" s="94"/>
      <c r="O18" s="95" t="n">
        <f aca="false">IF(N18-$C18&lt;&gt;0,N18-$C18,"")</f>
        <v>-3.835</v>
      </c>
      <c r="P18" s="94"/>
      <c r="Q18" s="95" t="n">
        <f aca="false">IF(P18-$C18&lt;&gt;0,P18-$C18,"")</f>
        <v>-3.835</v>
      </c>
      <c r="R18" s="96" t="n">
        <f aca="false">C18+0.01</f>
        <v>3.845</v>
      </c>
      <c r="S18" s="95" t="n">
        <f aca="false">IF(R18-$C18&lt;&gt;0,R18-$C18,"")</f>
        <v>0.00999999999999979</v>
      </c>
      <c r="T18" s="94"/>
      <c r="U18" s="95" t="n">
        <f aca="false">IF(T18-$C18&lt;&gt;0,T18-$C18,"")</f>
        <v>-3.835</v>
      </c>
      <c r="V18" s="88" t="n">
        <f aca="false">C18-0.08</f>
        <v>3.755</v>
      </c>
      <c r="W18" s="95" t="n">
        <f aca="false">IF(V18-$C18&lt;&gt;0,V18-$C18,"")</f>
        <v>-0.0800000000000001</v>
      </c>
      <c r="X18" s="94"/>
      <c r="Y18" s="95" t="n">
        <f aca="false">IF(X18-$C18&lt;&gt;0,X18-$C18,"")</f>
        <v>-3.835</v>
      </c>
      <c r="Z18" s="94"/>
      <c r="AA18" s="95" t="n">
        <f aca="false">IF(Z18-$C18&lt;&gt;0,Z18-$C18,"")</f>
        <v>-3.835</v>
      </c>
      <c r="AB18" s="94"/>
      <c r="AC18" s="95" t="n">
        <f aca="false">IF(AB18-$C18&lt;&gt;0,AB18-$C18,"")</f>
        <v>-3.835</v>
      </c>
      <c r="AD18" s="94"/>
      <c r="AE18" s="95" t="n">
        <f aca="false">IF(AD18-$C18&lt;&gt;0,AD18-$C18,"")</f>
        <v>-3.835</v>
      </c>
      <c r="AF18" s="88" t="n">
        <f aca="false">C18+0.04</f>
        <v>3.875</v>
      </c>
      <c r="AG18" s="95" t="n">
        <f aca="false">IF(AF18-$C18&lt;&gt;0,AF18-$C18,"")</f>
        <v>0.04</v>
      </c>
      <c r="AH18" s="94"/>
      <c r="AI18" s="95" t="n">
        <f aca="false">IF(AH18-$C18&lt;&gt;0,AH18-$C18,"")</f>
        <v>-3.835</v>
      </c>
      <c r="AJ18" s="94"/>
      <c r="AK18" s="95" t="n">
        <f aca="false">IF(AJ18-$C18&lt;&gt;0,AJ18-$C18,"")</f>
        <v>-3.835</v>
      </c>
      <c r="AL18" s="94"/>
      <c r="AM18" s="95" t="n">
        <f aca="false">IF(AL18-$C18&lt;&gt;0,AL18-$C18,"")</f>
        <v>-3.835</v>
      </c>
      <c r="AN18" s="94"/>
      <c r="AO18" s="95" t="n">
        <f aca="false">IF(AN18-$C18&lt;&gt;0,AN18-$C18,"")</f>
        <v>-3.835</v>
      </c>
      <c r="AP18" s="94"/>
      <c r="AQ18" s="95" t="n">
        <f aca="false">IF(AP18-$C18&lt;&gt;0,AP18-$C18,"")</f>
        <v>-3.835</v>
      </c>
      <c r="AR18" s="94"/>
      <c r="AS18" s="95" t="n">
        <f aca="false">IF(AR18-$C18&lt;&gt;0,AR18-$C18,"")</f>
        <v>-3.835</v>
      </c>
      <c r="AT18" s="94"/>
      <c r="AU18" s="95" t="n">
        <f aca="false">IF(AT18-$C18&lt;&gt;0,AT18-$C18,"")</f>
        <v>-3.835</v>
      </c>
    </row>
    <row r="19" customFormat="false" ht="12.75" hidden="false" customHeight="false" outlineLevel="0" collapsed="false">
      <c r="A19" s="92" t="n">
        <v>16</v>
      </c>
      <c r="B19" s="93" t="s">
        <v>85</v>
      </c>
      <c r="C19" s="94" t="n">
        <f aca="false">Summary!$D$2</f>
        <v>3.835</v>
      </c>
      <c r="D19" s="94"/>
      <c r="E19" s="95" t="n">
        <f aca="false">IF(D19-$C19&lt;&gt;0,D19-$C19,"")</f>
        <v>-3.835</v>
      </c>
      <c r="F19" s="94"/>
      <c r="G19" s="95" t="n">
        <f aca="false">IF(F19-$C19&lt;&gt;0,F19-$C19,"")</f>
        <v>-3.835</v>
      </c>
      <c r="H19" s="94"/>
      <c r="I19" s="95" t="n">
        <f aca="false">IF(H19-$C19&lt;&gt;0,H19-$C19,"")</f>
        <v>-3.835</v>
      </c>
      <c r="J19" s="94"/>
      <c r="K19" s="95" t="n">
        <f aca="false">IF(J19-$C19&lt;&gt;0,J19-$C19,"")</f>
        <v>-3.835</v>
      </c>
      <c r="L19" s="94"/>
      <c r="M19" s="95" t="n">
        <f aca="false">IF(L19-$C19&lt;&gt;0,L19-$C19,"")</f>
        <v>-3.835</v>
      </c>
      <c r="N19" s="94"/>
      <c r="O19" s="95" t="n">
        <f aca="false">IF(N19-$C19&lt;&gt;0,N19-$C19,"")</f>
        <v>-3.835</v>
      </c>
      <c r="P19" s="94"/>
      <c r="Q19" s="95" t="n">
        <f aca="false">IF(P19-$C19&lt;&gt;0,P19-$C19,"")</f>
        <v>-3.835</v>
      </c>
      <c r="R19" s="96" t="n">
        <f aca="false">C19+0.01</f>
        <v>3.845</v>
      </c>
      <c r="S19" s="95" t="n">
        <f aca="false">IF(R19-$C19&lt;&gt;0,R19-$C19,"")</f>
        <v>0.00999999999999979</v>
      </c>
      <c r="T19" s="94"/>
      <c r="U19" s="95" t="n">
        <f aca="false">IF(T19-$C19&lt;&gt;0,T19-$C19,"")</f>
        <v>-3.835</v>
      </c>
      <c r="V19" s="88" t="n">
        <f aca="false">C19-0.08</f>
        <v>3.755</v>
      </c>
      <c r="W19" s="95" t="n">
        <f aca="false">IF(V19-$C19&lt;&gt;0,V19-$C19,"")</f>
        <v>-0.0800000000000001</v>
      </c>
      <c r="X19" s="94"/>
      <c r="Y19" s="95" t="n">
        <f aca="false">IF(X19-$C19&lt;&gt;0,X19-$C19,"")</f>
        <v>-3.835</v>
      </c>
      <c r="Z19" s="94"/>
      <c r="AA19" s="95" t="n">
        <f aca="false">IF(Z19-$C19&lt;&gt;0,Z19-$C19,"")</f>
        <v>-3.835</v>
      </c>
      <c r="AB19" s="94"/>
      <c r="AC19" s="95" t="n">
        <f aca="false">IF(AB19-$C19&lt;&gt;0,AB19-$C19,"")</f>
        <v>-3.835</v>
      </c>
      <c r="AD19" s="94"/>
      <c r="AE19" s="95" t="n">
        <f aca="false">IF(AD19-$C19&lt;&gt;0,AD19-$C19,"")</f>
        <v>-3.835</v>
      </c>
      <c r="AF19" s="88" t="n">
        <f aca="false">C19+0.04</f>
        <v>3.875</v>
      </c>
      <c r="AG19" s="95" t="n">
        <f aca="false">IF(AF19-$C19&lt;&gt;0,AF19-$C19,"")</f>
        <v>0.04</v>
      </c>
      <c r="AH19" s="94"/>
      <c r="AI19" s="95" t="n">
        <f aca="false">IF(AH19-$C19&lt;&gt;0,AH19-$C19,"")</f>
        <v>-3.835</v>
      </c>
      <c r="AJ19" s="94"/>
      <c r="AK19" s="95" t="n">
        <f aca="false">IF(AJ19-$C19&lt;&gt;0,AJ19-$C19,"")</f>
        <v>-3.835</v>
      </c>
      <c r="AL19" s="94"/>
      <c r="AM19" s="95" t="n">
        <f aca="false">IF(AL19-$C19&lt;&gt;0,AL19-$C19,"")</f>
        <v>-3.835</v>
      </c>
      <c r="AN19" s="94"/>
      <c r="AO19" s="95" t="n">
        <f aca="false">IF(AN19-$C19&lt;&gt;0,AN19-$C19,"")</f>
        <v>-3.835</v>
      </c>
      <c r="AP19" s="94"/>
      <c r="AQ19" s="95" t="n">
        <f aca="false">IF(AP19-$C19&lt;&gt;0,AP19-$C19,"")</f>
        <v>-3.835</v>
      </c>
      <c r="AR19" s="94"/>
      <c r="AS19" s="95" t="n">
        <f aca="false">IF(AR19-$C19&lt;&gt;0,AR19-$C19,"")</f>
        <v>-3.835</v>
      </c>
      <c r="AT19" s="94"/>
      <c r="AU19" s="95" t="n">
        <f aca="false">IF(AT19-$C19&lt;&gt;0,AT19-$C19,"")</f>
        <v>-3.835</v>
      </c>
    </row>
    <row r="20" customFormat="false" ht="12.75" hidden="false" customHeight="false" outlineLevel="0" collapsed="false">
      <c r="A20" s="86" t="n">
        <v>17</v>
      </c>
      <c r="B20" s="87" t="s">
        <v>85</v>
      </c>
      <c r="C20" s="94" t="n">
        <f aca="false">Summary!$D$2</f>
        <v>3.835</v>
      </c>
      <c r="D20" s="88"/>
      <c r="E20" s="89" t="n">
        <f aca="false">IF(D20-$C20&lt;&gt;0,D20-$C20,"")</f>
        <v>-3.835</v>
      </c>
      <c r="F20" s="88"/>
      <c r="G20" s="89" t="n">
        <f aca="false">IF(F20-$C20&lt;&gt;0,F20-$C20,"")</f>
        <v>-3.835</v>
      </c>
      <c r="H20" s="88"/>
      <c r="I20" s="89" t="n">
        <f aca="false">IF(H20-$C20&lt;&gt;0,H20-$C20,"")</f>
        <v>-3.835</v>
      </c>
      <c r="J20" s="88"/>
      <c r="K20" s="89" t="n">
        <f aca="false">IF(J20-$C20&lt;&gt;0,J20-$C20,"")</f>
        <v>-3.835</v>
      </c>
      <c r="L20" s="88"/>
      <c r="M20" s="89" t="n">
        <f aca="false">IF(L20-$C20&lt;&gt;0,L20-$C20,"")</f>
        <v>-3.835</v>
      </c>
      <c r="N20" s="88"/>
      <c r="O20" s="89" t="n">
        <f aca="false">IF(N20-$C20&lt;&gt;0,N20-$C20,"")</f>
        <v>-3.835</v>
      </c>
      <c r="P20" s="88"/>
      <c r="Q20" s="89" t="n">
        <f aca="false">IF(P20-$C20&lt;&gt;0,P20-$C20,"")</f>
        <v>-3.835</v>
      </c>
      <c r="R20" s="96" t="n">
        <f aca="false">C20+0.01</f>
        <v>3.845</v>
      </c>
      <c r="S20" s="89" t="n">
        <f aca="false">IF(R20-$C20&lt;&gt;0,R20-$C20,"")</f>
        <v>0.00999999999999979</v>
      </c>
      <c r="T20" s="88"/>
      <c r="U20" s="89" t="n">
        <f aca="false">IF(T20-$C20&lt;&gt;0,T20-$C20,"")</f>
        <v>-3.835</v>
      </c>
      <c r="V20" s="88" t="n">
        <f aca="false">C20-0.08</f>
        <v>3.755</v>
      </c>
      <c r="W20" s="89" t="n">
        <f aca="false">IF(V20-$C20&lt;&gt;0,V20-$C20,"")</f>
        <v>-0.0800000000000001</v>
      </c>
      <c r="X20" s="88"/>
      <c r="Y20" s="89" t="n">
        <f aca="false">IF(X20-$C20&lt;&gt;0,X20-$C20,"")</f>
        <v>-3.835</v>
      </c>
      <c r="Z20" s="88"/>
      <c r="AA20" s="89" t="n">
        <f aca="false">IF(Z20-$C20&lt;&gt;0,Z20-$C20,"")</f>
        <v>-3.835</v>
      </c>
      <c r="AB20" s="88"/>
      <c r="AC20" s="89" t="n">
        <f aca="false">IF(AB20-$C20&lt;&gt;0,AB20-$C20,"")</f>
        <v>-3.835</v>
      </c>
      <c r="AD20" s="88"/>
      <c r="AE20" s="89" t="n">
        <f aca="false">IF(AD20-$C20&lt;&gt;0,AD20-$C20,"")</f>
        <v>-3.835</v>
      </c>
      <c r="AF20" s="88" t="n">
        <f aca="false">C20+0.04</f>
        <v>3.875</v>
      </c>
      <c r="AG20" s="89" t="n">
        <f aca="false">IF(AF20-$C20&lt;&gt;0,AF20-$C20,"")</f>
        <v>0.04</v>
      </c>
      <c r="AH20" s="88"/>
      <c r="AI20" s="89" t="n">
        <f aca="false">IF(AH20-$C20&lt;&gt;0,AH20-$C20,"")</f>
        <v>-3.835</v>
      </c>
      <c r="AJ20" s="88"/>
      <c r="AK20" s="89" t="n">
        <f aca="false">IF(AJ20-$C20&lt;&gt;0,AJ20-$C20,"")</f>
        <v>-3.835</v>
      </c>
      <c r="AL20" s="88"/>
      <c r="AM20" s="89" t="n">
        <f aca="false">IF(AL20-$C20&lt;&gt;0,AL20-$C20,"")</f>
        <v>-3.835</v>
      </c>
      <c r="AN20" s="88"/>
      <c r="AO20" s="89" t="n">
        <f aca="false">IF(AN20-$C20&lt;&gt;0,AN20-$C20,"")</f>
        <v>-3.835</v>
      </c>
      <c r="AP20" s="88"/>
      <c r="AQ20" s="89" t="n">
        <f aca="false">IF(AP20-$C20&lt;&gt;0,AP20-$C20,"")</f>
        <v>-3.835</v>
      </c>
      <c r="AR20" s="88"/>
      <c r="AS20" s="89" t="n">
        <f aca="false">IF(AR20-$C20&lt;&gt;0,AR20-$C20,"")</f>
        <v>-3.835</v>
      </c>
      <c r="AT20" s="88"/>
      <c r="AU20" s="89" t="n">
        <f aca="false">IF(AT20-$C20&lt;&gt;0,AT20-$C20,"")</f>
        <v>-3.835</v>
      </c>
    </row>
    <row r="21" customFormat="false" ht="12.75" hidden="false" customHeight="false" outlineLevel="0" collapsed="false">
      <c r="A21" s="92" t="n">
        <v>18</v>
      </c>
      <c r="B21" s="93" t="s">
        <v>85</v>
      </c>
      <c r="C21" s="94" t="n">
        <f aca="false">Summary!$D$2</f>
        <v>3.835</v>
      </c>
      <c r="D21" s="94"/>
      <c r="E21" s="95" t="n">
        <f aca="false">IF(D21-$C21&lt;&gt;0,D21-$C21,"")</f>
        <v>-3.835</v>
      </c>
      <c r="F21" s="94"/>
      <c r="G21" s="95" t="n">
        <f aca="false">IF(F21-$C21&lt;&gt;0,F21-$C21,"")</f>
        <v>-3.835</v>
      </c>
      <c r="H21" s="94"/>
      <c r="I21" s="95" t="n">
        <f aca="false">IF(H21-$C21&lt;&gt;0,H21-$C21,"")</f>
        <v>-3.835</v>
      </c>
      <c r="J21" s="94"/>
      <c r="K21" s="95" t="n">
        <f aca="false">IF(J21-$C21&lt;&gt;0,J21-$C21,"")</f>
        <v>-3.835</v>
      </c>
      <c r="L21" s="94"/>
      <c r="M21" s="95" t="n">
        <f aca="false">IF(L21-$C21&lt;&gt;0,L21-$C21,"")</f>
        <v>-3.835</v>
      </c>
      <c r="N21" s="94"/>
      <c r="O21" s="95" t="n">
        <f aca="false">IF(N21-$C21&lt;&gt;0,N21-$C21,"")</f>
        <v>-3.835</v>
      </c>
      <c r="P21" s="94"/>
      <c r="Q21" s="95" t="n">
        <f aca="false">IF(P21-$C21&lt;&gt;0,P21-$C21,"")</f>
        <v>-3.835</v>
      </c>
      <c r="R21" s="96" t="n">
        <f aca="false">C21+0.01</f>
        <v>3.845</v>
      </c>
      <c r="S21" s="95" t="n">
        <f aca="false">IF(R21-$C21&lt;&gt;0,R21-$C21,"")</f>
        <v>0.00999999999999979</v>
      </c>
      <c r="T21" s="94"/>
      <c r="U21" s="95" t="n">
        <f aca="false">IF(T21-$C21&lt;&gt;0,T21-$C21,"")</f>
        <v>-3.835</v>
      </c>
      <c r="V21" s="88" t="n">
        <f aca="false">C21-0.08</f>
        <v>3.755</v>
      </c>
      <c r="W21" s="95" t="n">
        <f aca="false">IF(V21-$C21&lt;&gt;0,V21-$C21,"")</f>
        <v>-0.0800000000000001</v>
      </c>
      <c r="X21" s="94"/>
      <c r="Y21" s="95" t="n">
        <f aca="false">IF(X21-$C21&lt;&gt;0,X21-$C21,"")</f>
        <v>-3.835</v>
      </c>
      <c r="Z21" s="94"/>
      <c r="AA21" s="95" t="n">
        <f aca="false">IF(Z21-$C21&lt;&gt;0,Z21-$C21,"")</f>
        <v>-3.835</v>
      </c>
      <c r="AB21" s="94"/>
      <c r="AC21" s="95" t="n">
        <f aca="false">IF(AB21-$C21&lt;&gt;0,AB21-$C21,"")</f>
        <v>-3.835</v>
      </c>
      <c r="AD21" s="94"/>
      <c r="AE21" s="95" t="n">
        <f aca="false">IF(AD21-$C21&lt;&gt;0,AD21-$C21,"")</f>
        <v>-3.835</v>
      </c>
      <c r="AF21" s="88" t="n">
        <f aca="false">C21+0.04</f>
        <v>3.875</v>
      </c>
      <c r="AG21" s="95" t="n">
        <f aca="false">IF(AF21-$C21&lt;&gt;0,AF21-$C21,"")</f>
        <v>0.04</v>
      </c>
      <c r="AH21" s="94"/>
      <c r="AI21" s="95" t="n">
        <f aca="false">IF(AH21-$C21&lt;&gt;0,AH21-$C21,"")</f>
        <v>-3.835</v>
      </c>
      <c r="AJ21" s="94"/>
      <c r="AK21" s="95" t="n">
        <f aca="false">IF(AJ21-$C21&lt;&gt;0,AJ21-$C21,"")</f>
        <v>-3.835</v>
      </c>
      <c r="AL21" s="94"/>
      <c r="AM21" s="95" t="n">
        <f aca="false">IF(AL21-$C21&lt;&gt;0,AL21-$C21,"")</f>
        <v>-3.835</v>
      </c>
      <c r="AN21" s="94"/>
      <c r="AO21" s="95" t="n">
        <f aca="false">IF(AN21-$C21&lt;&gt;0,AN21-$C21,"")</f>
        <v>-3.835</v>
      </c>
      <c r="AP21" s="94"/>
      <c r="AQ21" s="95" t="n">
        <f aca="false">IF(AP21-$C21&lt;&gt;0,AP21-$C21,"")</f>
        <v>-3.835</v>
      </c>
      <c r="AR21" s="94"/>
      <c r="AS21" s="95" t="n">
        <f aca="false">IF(AR21-$C21&lt;&gt;0,AR21-$C21,"")</f>
        <v>-3.835</v>
      </c>
      <c r="AT21" s="94"/>
      <c r="AU21" s="95" t="n">
        <f aca="false">IF(AT21-$C21&lt;&gt;0,AT21-$C21,"")</f>
        <v>-3.835</v>
      </c>
    </row>
    <row r="22" customFormat="false" ht="12.75" hidden="false" customHeight="false" outlineLevel="0" collapsed="false">
      <c r="A22" s="92" t="n">
        <v>19</v>
      </c>
      <c r="B22" s="93" t="s">
        <v>85</v>
      </c>
      <c r="C22" s="94" t="n">
        <f aca="false">Summary!$D$2</f>
        <v>3.835</v>
      </c>
      <c r="D22" s="94"/>
      <c r="E22" s="95" t="n">
        <f aca="false">IF(D22-$C22&lt;&gt;0,D22-$C22,"")</f>
        <v>-3.835</v>
      </c>
      <c r="F22" s="94"/>
      <c r="G22" s="95" t="n">
        <f aca="false">IF(F22-$C22&lt;&gt;0,F22-$C22,"")</f>
        <v>-3.835</v>
      </c>
      <c r="H22" s="94"/>
      <c r="I22" s="95" t="n">
        <f aca="false">IF(H22-$C22&lt;&gt;0,H22-$C22,"")</f>
        <v>-3.835</v>
      </c>
      <c r="J22" s="94"/>
      <c r="K22" s="95" t="n">
        <f aca="false">IF(J22-$C22&lt;&gt;0,J22-$C22,"")</f>
        <v>-3.835</v>
      </c>
      <c r="L22" s="94"/>
      <c r="M22" s="95" t="n">
        <f aca="false">IF(L22-$C22&lt;&gt;0,L22-$C22,"")</f>
        <v>-3.835</v>
      </c>
      <c r="N22" s="94"/>
      <c r="O22" s="95" t="n">
        <f aca="false">IF(N22-$C22&lt;&gt;0,N22-$C22,"")</f>
        <v>-3.835</v>
      </c>
      <c r="P22" s="94"/>
      <c r="Q22" s="95" t="n">
        <f aca="false">IF(P22-$C22&lt;&gt;0,P22-$C22,"")</f>
        <v>-3.835</v>
      </c>
      <c r="R22" s="96" t="n">
        <f aca="false">C22+0.01</f>
        <v>3.845</v>
      </c>
      <c r="S22" s="95" t="n">
        <f aca="false">IF(R22-$C22&lt;&gt;0,R22-$C22,"")</f>
        <v>0.00999999999999979</v>
      </c>
      <c r="T22" s="94"/>
      <c r="U22" s="95" t="n">
        <f aca="false">IF(T22-$C22&lt;&gt;0,T22-$C22,"")</f>
        <v>-3.835</v>
      </c>
      <c r="V22" s="88" t="n">
        <f aca="false">C22-0.08</f>
        <v>3.755</v>
      </c>
      <c r="W22" s="95" t="n">
        <f aca="false">IF(V22-$C22&lt;&gt;0,V22-$C22,"")</f>
        <v>-0.0800000000000001</v>
      </c>
      <c r="X22" s="94"/>
      <c r="Y22" s="95" t="n">
        <f aca="false">IF(X22-$C22&lt;&gt;0,X22-$C22,"")</f>
        <v>-3.835</v>
      </c>
      <c r="Z22" s="94"/>
      <c r="AA22" s="95" t="n">
        <f aca="false">IF(Z22-$C22&lt;&gt;0,Z22-$C22,"")</f>
        <v>-3.835</v>
      </c>
      <c r="AB22" s="94"/>
      <c r="AC22" s="95" t="n">
        <f aca="false">IF(AB22-$C22&lt;&gt;0,AB22-$C22,"")</f>
        <v>-3.835</v>
      </c>
      <c r="AD22" s="94"/>
      <c r="AE22" s="95" t="n">
        <f aca="false">IF(AD22-$C22&lt;&gt;0,AD22-$C22,"")</f>
        <v>-3.835</v>
      </c>
      <c r="AF22" s="88" t="n">
        <f aca="false">C22+0.04</f>
        <v>3.875</v>
      </c>
      <c r="AG22" s="95" t="n">
        <f aca="false">IF(AF22-$C22&lt;&gt;0,AF22-$C22,"")</f>
        <v>0.04</v>
      </c>
      <c r="AH22" s="94"/>
      <c r="AI22" s="95" t="n">
        <f aca="false">IF(AH22-$C22&lt;&gt;0,AH22-$C22,"")</f>
        <v>-3.835</v>
      </c>
      <c r="AJ22" s="94"/>
      <c r="AK22" s="95" t="n">
        <f aca="false">IF(AJ22-$C22&lt;&gt;0,AJ22-$C22,"")</f>
        <v>-3.835</v>
      </c>
      <c r="AL22" s="94"/>
      <c r="AM22" s="95" t="n">
        <f aca="false">IF(AL22-$C22&lt;&gt;0,AL22-$C22,"")</f>
        <v>-3.835</v>
      </c>
      <c r="AN22" s="94"/>
      <c r="AO22" s="95" t="n">
        <f aca="false">IF(AN22-$C22&lt;&gt;0,AN22-$C22,"")</f>
        <v>-3.835</v>
      </c>
      <c r="AP22" s="94"/>
      <c r="AQ22" s="95" t="n">
        <f aca="false">IF(AP22-$C22&lt;&gt;0,AP22-$C22,"")</f>
        <v>-3.835</v>
      </c>
      <c r="AR22" s="94"/>
      <c r="AS22" s="95" t="n">
        <f aca="false">IF(AR22-$C22&lt;&gt;0,AR22-$C22,"")</f>
        <v>-3.835</v>
      </c>
      <c r="AT22" s="94"/>
      <c r="AU22" s="95" t="n">
        <f aca="false">IF(AT22-$C22&lt;&gt;0,AT22-$C22,"")</f>
        <v>-3.835</v>
      </c>
    </row>
    <row r="23" customFormat="false" ht="12.75" hidden="false" customHeight="false" outlineLevel="0" collapsed="false">
      <c r="A23" s="92" t="n">
        <v>20</v>
      </c>
      <c r="B23" s="93" t="s">
        <v>85</v>
      </c>
      <c r="C23" s="94" t="n">
        <f aca="false">Summary!$D$2</f>
        <v>3.835</v>
      </c>
      <c r="D23" s="94"/>
      <c r="E23" s="95" t="n">
        <f aca="false">IF(D23-$C23&lt;&gt;0,D23-$C23,"")</f>
        <v>-3.835</v>
      </c>
      <c r="F23" s="94"/>
      <c r="G23" s="95" t="n">
        <f aca="false">IF(F23-$C23&lt;&gt;0,F23-$C23,"")</f>
        <v>-3.835</v>
      </c>
      <c r="H23" s="94"/>
      <c r="I23" s="95" t="n">
        <f aca="false">IF(H23-$C23&lt;&gt;0,H23-$C23,"")</f>
        <v>-3.835</v>
      </c>
      <c r="J23" s="94"/>
      <c r="K23" s="95" t="n">
        <f aca="false">IF(J23-$C23&lt;&gt;0,J23-$C23,"")</f>
        <v>-3.835</v>
      </c>
      <c r="L23" s="94"/>
      <c r="M23" s="95" t="n">
        <f aca="false">IF(L23-$C23&lt;&gt;0,L23-$C23,"")</f>
        <v>-3.835</v>
      </c>
      <c r="N23" s="94"/>
      <c r="O23" s="95" t="n">
        <f aca="false">IF(N23-$C23&lt;&gt;0,N23-$C23,"")</f>
        <v>-3.835</v>
      </c>
      <c r="P23" s="94"/>
      <c r="Q23" s="95" t="n">
        <f aca="false">IF(P23-$C23&lt;&gt;0,P23-$C23,"")</f>
        <v>-3.835</v>
      </c>
      <c r="R23" s="96" t="n">
        <f aca="false">C23+0.01</f>
        <v>3.845</v>
      </c>
      <c r="S23" s="95" t="n">
        <f aca="false">IF(R23-$C23&lt;&gt;0,R23-$C23,"")</f>
        <v>0.00999999999999979</v>
      </c>
      <c r="T23" s="94"/>
      <c r="U23" s="95" t="n">
        <f aca="false">IF(T23-$C23&lt;&gt;0,T23-$C23,"")</f>
        <v>-3.835</v>
      </c>
      <c r="V23" s="88" t="n">
        <f aca="false">C23-0.08</f>
        <v>3.755</v>
      </c>
      <c r="W23" s="95" t="n">
        <f aca="false">IF(V23-$C23&lt;&gt;0,V23-$C23,"")</f>
        <v>-0.0800000000000001</v>
      </c>
      <c r="X23" s="94"/>
      <c r="Y23" s="95" t="n">
        <f aca="false">IF(X23-$C23&lt;&gt;0,X23-$C23,"")</f>
        <v>-3.835</v>
      </c>
      <c r="Z23" s="94"/>
      <c r="AA23" s="95" t="n">
        <f aca="false">IF(Z23-$C23&lt;&gt;0,Z23-$C23,"")</f>
        <v>-3.835</v>
      </c>
      <c r="AB23" s="94"/>
      <c r="AC23" s="95" t="n">
        <f aca="false">IF(AB23-$C23&lt;&gt;0,AB23-$C23,"")</f>
        <v>-3.835</v>
      </c>
      <c r="AD23" s="94"/>
      <c r="AE23" s="95" t="n">
        <f aca="false">IF(AD23-$C23&lt;&gt;0,AD23-$C23,"")</f>
        <v>-3.835</v>
      </c>
      <c r="AF23" s="88" t="n">
        <f aca="false">C23+0.04</f>
        <v>3.875</v>
      </c>
      <c r="AG23" s="95" t="n">
        <f aca="false">IF(AF23-$C23&lt;&gt;0,AF23-$C23,"")</f>
        <v>0.04</v>
      </c>
      <c r="AH23" s="94"/>
      <c r="AI23" s="95" t="n">
        <f aca="false">IF(AH23-$C23&lt;&gt;0,AH23-$C23,"")</f>
        <v>-3.835</v>
      </c>
      <c r="AJ23" s="94"/>
      <c r="AK23" s="95" t="n">
        <f aca="false">IF(AJ23-$C23&lt;&gt;0,AJ23-$C23,"")</f>
        <v>-3.835</v>
      </c>
      <c r="AL23" s="94"/>
      <c r="AM23" s="95" t="n">
        <f aca="false">IF(AL23-$C23&lt;&gt;0,AL23-$C23,"")</f>
        <v>-3.835</v>
      </c>
      <c r="AN23" s="94"/>
      <c r="AO23" s="95" t="n">
        <f aca="false">IF(AN23-$C23&lt;&gt;0,AN23-$C23,"")</f>
        <v>-3.835</v>
      </c>
      <c r="AP23" s="94"/>
      <c r="AQ23" s="95" t="n">
        <f aca="false">IF(AP23-$C23&lt;&gt;0,AP23-$C23,"")</f>
        <v>-3.835</v>
      </c>
      <c r="AR23" s="94"/>
      <c r="AS23" s="95" t="n">
        <f aca="false">IF(AR23-$C23&lt;&gt;0,AR23-$C23,"")</f>
        <v>-3.835</v>
      </c>
      <c r="AT23" s="94"/>
      <c r="AU23" s="95" t="n">
        <f aca="false">IF(AT23-$C23&lt;&gt;0,AT23-$C23,"")</f>
        <v>-3.835</v>
      </c>
    </row>
    <row r="24" customFormat="false" ht="12.75" hidden="false" customHeight="false" outlineLevel="0" collapsed="false">
      <c r="A24" s="92" t="n">
        <v>21</v>
      </c>
      <c r="B24" s="93" t="s">
        <v>85</v>
      </c>
      <c r="C24" s="94" t="n">
        <f aca="false">Summary!$D$2</f>
        <v>3.835</v>
      </c>
      <c r="D24" s="94"/>
      <c r="E24" s="95" t="n">
        <f aca="false">IF(D24-$C24&lt;&gt;0,D24-$C24,"")</f>
        <v>-3.835</v>
      </c>
      <c r="F24" s="94"/>
      <c r="G24" s="95" t="n">
        <f aca="false">IF(F24-$C24&lt;&gt;0,F24-$C24,"")</f>
        <v>-3.835</v>
      </c>
      <c r="H24" s="94"/>
      <c r="I24" s="95" t="n">
        <f aca="false">IF(H24-$C24&lt;&gt;0,H24-$C24,"")</f>
        <v>-3.835</v>
      </c>
      <c r="J24" s="94"/>
      <c r="K24" s="95" t="n">
        <f aca="false">IF(J24-$C24&lt;&gt;0,J24-$C24,"")</f>
        <v>-3.835</v>
      </c>
      <c r="L24" s="94"/>
      <c r="M24" s="95" t="n">
        <f aca="false">IF(L24-$C24&lt;&gt;0,L24-$C24,"")</f>
        <v>-3.835</v>
      </c>
      <c r="N24" s="94"/>
      <c r="O24" s="95" t="n">
        <f aca="false">IF(N24-$C24&lt;&gt;0,N24-$C24,"")</f>
        <v>-3.835</v>
      </c>
      <c r="P24" s="94"/>
      <c r="Q24" s="95" t="n">
        <f aca="false">IF(P24-$C24&lt;&gt;0,P24-$C24,"")</f>
        <v>-3.835</v>
      </c>
      <c r="R24" s="96" t="n">
        <f aca="false">C24+0.01</f>
        <v>3.845</v>
      </c>
      <c r="S24" s="95" t="n">
        <f aca="false">IF(R24-$C24&lt;&gt;0,R24-$C24,"")</f>
        <v>0.00999999999999979</v>
      </c>
      <c r="T24" s="94"/>
      <c r="U24" s="95" t="n">
        <f aca="false">IF(T24-$C24&lt;&gt;0,T24-$C24,"")</f>
        <v>-3.835</v>
      </c>
      <c r="V24" s="88" t="n">
        <f aca="false">C24-0.08</f>
        <v>3.755</v>
      </c>
      <c r="W24" s="95" t="n">
        <f aca="false">IF(V24-$C24&lt;&gt;0,V24-$C24,"")</f>
        <v>-0.0800000000000001</v>
      </c>
      <c r="X24" s="94"/>
      <c r="Y24" s="95" t="n">
        <f aca="false">IF(X24-$C24&lt;&gt;0,X24-$C24,"")</f>
        <v>-3.835</v>
      </c>
      <c r="Z24" s="94"/>
      <c r="AA24" s="95" t="n">
        <f aca="false">IF(Z24-$C24&lt;&gt;0,Z24-$C24,"")</f>
        <v>-3.835</v>
      </c>
      <c r="AB24" s="94"/>
      <c r="AC24" s="95" t="n">
        <f aca="false">IF(AB24-$C24&lt;&gt;0,AB24-$C24,"")</f>
        <v>-3.835</v>
      </c>
      <c r="AD24" s="94"/>
      <c r="AE24" s="95" t="n">
        <f aca="false">IF(AD24-$C24&lt;&gt;0,AD24-$C24,"")</f>
        <v>-3.835</v>
      </c>
      <c r="AF24" s="88" t="n">
        <f aca="false">C24+0.04</f>
        <v>3.875</v>
      </c>
      <c r="AG24" s="95" t="n">
        <f aca="false">IF(AF24-$C24&lt;&gt;0,AF24-$C24,"")</f>
        <v>0.04</v>
      </c>
      <c r="AH24" s="94"/>
      <c r="AI24" s="95" t="n">
        <f aca="false">IF(AH24-$C24&lt;&gt;0,AH24-$C24,"")</f>
        <v>-3.835</v>
      </c>
      <c r="AJ24" s="94"/>
      <c r="AK24" s="95" t="n">
        <f aca="false">IF(AJ24-$C24&lt;&gt;0,AJ24-$C24,"")</f>
        <v>-3.835</v>
      </c>
      <c r="AL24" s="94"/>
      <c r="AM24" s="95" t="n">
        <f aca="false">IF(AL24-$C24&lt;&gt;0,AL24-$C24,"")</f>
        <v>-3.835</v>
      </c>
      <c r="AN24" s="94"/>
      <c r="AO24" s="95" t="n">
        <f aca="false">IF(AN24-$C24&lt;&gt;0,AN24-$C24,"")</f>
        <v>-3.835</v>
      </c>
      <c r="AP24" s="94"/>
      <c r="AQ24" s="95" t="n">
        <f aca="false">IF(AP24-$C24&lt;&gt;0,AP24-$C24,"")</f>
        <v>-3.835</v>
      </c>
      <c r="AR24" s="94"/>
      <c r="AS24" s="95" t="n">
        <f aca="false">IF(AR24-$C24&lt;&gt;0,AR24-$C24,"")</f>
        <v>-3.835</v>
      </c>
      <c r="AT24" s="94"/>
      <c r="AU24" s="95" t="n">
        <f aca="false">IF(AT24-$C24&lt;&gt;0,AT24-$C24,"")</f>
        <v>-3.835</v>
      </c>
    </row>
    <row r="25" customFormat="false" ht="12.75" hidden="false" customHeight="false" outlineLevel="0" collapsed="false">
      <c r="A25" s="92" t="n">
        <v>22</v>
      </c>
      <c r="B25" s="93" t="s">
        <v>85</v>
      </c>
      <c r="C25" s="94" t="n">
        <f aca="false">Summary!$D$2</f>
        <v>3.835</v>
      </c>
      <c r="D25" s="94"/>
      <c r="E25" s="95" t="n">
        <f aca="false">IF(D25-$C25&lt;&gt;0,D25-$C25,"")</f>
        <v>-3.835</v>
      </c>
      <c r="F25" s="94"/>
      <c r="G25" s="95" t="n">
        <f aca="false">IF(F25-$C25&lt;&gt;0,F25-$C25,"")</f>
        <v>-3.835</v>
      </c>
      <c r="H25" s="94"/>
      <c r="I25" s="95" t="n">
        <f aca="false">IF(H25-$C25&lt;&gt;0,H25-$C25,"")</f>
        <v>-3.835</v>
      </c>
      <c r="J25" s="94"/>
      <c r="K25" s="95" t="n">
        <f aca="false">IF(J25-$C25&lt;&gt;0,J25-$C25,"")</f>
        <v>-3.835</v>
      </c>
      <c r="L25" s="94"/>
      <c r="M25" s="95" t="n">
        <f aca="false">IF(L25-$C25&lt;&gt;0,L25-$C25,"")</f>
        <v>-3.835</v>
      </c>
      <c r="N25" s="94"/>
      <c r="O25" s="95" t="n">
        <f aca="false">IF(N25-$C25&lt;&gt;0,N25-$C25,"")</f>
        <v>-3.835</v>
      </c>
      <c r="P25" s="94"/>
      <c r="Q25" s="95" t="n">
        <f aca="false">IF(P25-$C25&lt;&gt;0,P25-$C25,"")</f>
        <v>-3.835</v>
      </c>
      <c r="R25" s="96" t="n">
        <f aca="false">C25+0.01</f>
        <v>3.845</v>
      </c>
      <c r="S25" s="95" t="n">
        <f aca="false">IF(R25-$C25&lt;&gt;0,R25-$C25,"")</f>
        <v>0.00999999999999979</v>
      </c>
      <c r="T25" s="94"/>
      <c r="U25" s="95" t="n">
        <f aca="false">IF(T25-$C25&lt;&gt;0,T25-$C25,"")</f>
        <v>-3.835</v>
      </c>
      <c r="V25" s="88" t="n">
        <f aca="false">C25-0.08</f>
        <v>3.755</v>
      </c>
      <c r="W25" s="95" t="n">
        <f aca="false">IF(V25-$C25&lt;&gt;0,V25-$C25,"")</f>
        <v>-0.0800000000000001</v>
      </c>
      <c r="X25" s="94"/>
      <c r="Y25" s="95" t="n">
        <f aca="false">IF(X25-$C25&lt;&gt;0,X25-$C25,"")</f>
        <v>-3.835</v>
      </c>
      <c r="Z25" s="94"/>
      <c r="AA25" s="95" t="n">
        <f aca="false">IF(Z25-$C25&lt;&gt;0,Z25-$C25,"")</f>
        <v>-3.835</v>
      </c>
      <c r="AB25" s="94"/>
      <c r="AC25" s="95" t="n">
        <f aca="false">IF(AB25-$C25&lt;&gt;0,AB25-$C25,"")</f>
        <v>-3.835</v>
      </c>
      <c r="AD25" s="94"/>
      <c r="AE25" s="95" t="n">
        <f aca="false">IF(AD25-$C25&lt;&gt;0,AD25-$C25,"")</f>
        <v>-3.835</v>
      </c>
      <c r="AF25" s="88" t="n">
        <f aca="false">C25+0.04</f>
        <v>3.875</v>
      </c>
      <c r="AG25" s="95" t="n">
        <f aca="false">IF(AF25-$C25&lt;&gt;0,AF25-$C25,"")</f>
        <v>0.04</v>
      </c>
      <c r="AH25" s="94"/>
      <c r="AI25" s="95" t="n">
        <f aca="false">IF(AH25-$C25&lt;&gt;0,AH25-$C25,"")</f>
        <v>-3.835</v>
      </c>
      <c r="AJ25" s="94"/>
      <c r="AK25" s="95" t="n">
        <f aca="false">IF(AJ25-$C25&lt;&gt;0,AJ25-$C25,"")</f>
        <v>-3.835</v>
      </c>
      <c r="AL25" s="94"/>
      <c r="AM25" s="95" t="n">
        <f aca="false">IF(AL25-$C25&lt;&gt;0,AL25-$C25,"")</f>
        <v>-3.835</v>
      </c>
      <c r="AN25" s="94"/>
      <c r="AO25" s="95" t="n">
        <f aca="false">IF(AN25-$C25&lt;&gt;0,AN25-$C25,"")</f>
        <v>-3.835</v>
      </c>
      <c r="AP25" s="94"/>
      <c r="AQ25" s="95" t="n">
        <f aca="false">IF(AP25-$C25&lt;&gt;0,AP25-$C25,"")</f>
        <v>-3.835</v>
      </c>
      <c r="AR25" s="94"/>
      <c r="AS25" s="95" t="n">
        <f aca="false">IF(AR25-$C25&lt;&gt;0,AR25-$C25,"")</f>
        <v>-3.835</v>
      </c>
      <c r="AT25" s="94"/>
      <c r="AU25" s="95" t="n">
        <f aca="false">IF(AT25-$C25&lt;&gt;0,AT25-$C25,"")</f>
        <v>-3.835</v>
      </c>
    </row>
    <row r="26" customFormat="false" ht="12.75" hidden="false" customHeight="false" outlineLevel="0" collapsed="false">
      <c r="A26" s="92" t="n">
        <v>23</v>
      </c>
      <c r="B26" s="93" t="s">
        <v>85</v>
      </c>
      <c r="C26" s="94" t="n">
        <f aca="false">Summary!$D$2</f>
        <v>3.835</v>
      </c>
      <c r="D26" s="94"/>
      <c r="E26" s="95" t="n">
        <f aca="false">IF(D26-$C26&lt;&gt;0,D26-$C26,"")</f>
        <v>-3.835</v>
      </c>
      <c r="F26" s="94"/>
      <c r="G26" s="95" t="n">
        <f aca="false">IF(F26-$C26&lt;&gt;0,F26-$C26,"")</f>
        <v>-3.835</v>
      </c>
      <c r="H26" s="94"/>
      <c r="I26" s="95" t="n">
        <f aca="false">IF(H26-$C26&lt;&gt;0,H26-$C26,"")</f>
        <v>-3.835</v>
      </c>
      <c r="J26" s="94"/>
      <c r="K26" s="95" t="n">
        <f aca="false">IF(J26-$C26&lt;&gt;0,J26-$C26,"")</f>
        <v>-3.835</v>
      </c>
      <c r="L26" s="94"/>
      <c r="M26" s="95" t="n">
        <f aca="false">IF(L26-$C26&lt;&gt;0,L26-$C26,"")</f>
        <v>-3.835</v>
      </c>
      <c r="N26" s="94"/>
      <c r="O26" s="95" t="n">
        <f aca="false">IF(N26-$C26&lt;&gt;0,N26-$C26,"")</f>
        <v>-3.835</v>
      </c>
      <c r="P26" s="94"/>
      <c r="Q26" s="95" t="n">
        <f aca="false">IF(P26-$C26&lt;&gt;0,P26-$C26,"")</f>
        <v>-3.835</v>
      </c>
      <c r="R26" s="96" t="n">
        <f aca="false">C26+0.01</f>
        <v>3.845</v>
      </c>
      <c r="S26" s="95" t="n">
        <f aca="false">IF(R26-$C26&lt;&gt;0,R26-$C26,"")</f>
        <v>0.00999999999999979</v>
      </c>
      <c r="T26" s="94"/>
      <c r="U26" s="95" t="n">
        <f aca="false">IF(T26-$C26&lt;&gt;0,T26-$C26,"")</f>
        <v>-3.835</v>
      </c>
      <c r="V26" s="88" t="n">
        <f aca="false">C26-0.08</f>
        <v>3.755</v>
      </c>
      <c r="W26" s="95" t="n">
        <f aca="false">IF(V26-$C26&lt;&gt;0,V26-$C26,"")</f>
        <v>-0.0800000000000001</v>
      </c>
      <c r="X26" s="94"/>
      <c r="Y26" s="95" t="n">
        <f aca="false">IF(X26-$C26&lt;&gt;0,X26-$C26,"")</f>
        <v>-3.835</v>
      </c>
      <c r="Z26" s="94"/>
      <c r="AA26" s="95" t="n">
        <f aca="false">IF(Z26-$C26&lt;&gt;0,Z26-$C26,"")</f>
        <v>-3.835</v>
      </c>
      <c r="AB26" s="94"/>
      <c r="AC26" s="95" t="n">
        <f aca="false">IF(AB26-$C26&lt;&gt;0,AB26-$C26,"")</f>
        <v>-3.835</v>
      </c>
      <c r="AD26" s="94"/>
      <c r="AE26" s="95" t="n">
        <f aca="false">IF(AD26-$C26&lt;&gt;0,AD26-$C26,"")</f>
        <v>-3.835</v>
      </c>
      <c r="AF26" s="88" t="n">
        <f aca="false">C26+0.04</f>
        <v>3.875</v>
      </c>
      <c r="AG26" s="95" t="n">
        <f aca="false">IF(AF26-$C26&lt;&gt;0,AF26-$C26,"")</f>
        <v>0.04</v>
      </c>
      <c r="AH26" s="94"/>
      <c r="AI26" s="95" t="n">
        <f aca="false">IF(AH26-$C26&lt;&gt;0,AH26-$C26,"")</f>
        <v>-3.835</v>
      </c>
      <c r="AJ26" s="94"/>
      <c r="AK26" s="95" t="n">
        <f aca="false">IF(AJ26-$C26&lt;&gt;0,AJ26-$C26,"")</f>
        <v>-3.835</v>
      </c>
      <c r="AL26" s="94"/>
      <c r="AM26" s="95" t="n">
        <f aca="false">IF(AL26-$C26&lt;&gt;0,AL26-$C26,"")</f>
        <v>-3.835</v>
      </c>
      <c r="AN26" s="94"/>
      <c r="AO26" s="95" t="n">
        <f aca="false">IF(AN26-$C26&lt;&gt;0,AN26-$C26,"")</f>
        <v>-3.835</v>
      </c>
      <c r="AP26" s="94"/>
      <c r="AQ26" s="95" t="n">
        <f aca="false">IF(AP26-$C26&lt;&gt;0,AP26-$C26,"")</f>
        <v>-3.835</v>
      </c>
      <c r="AR26" s="94"/>
      <c r="AS26" s="95" t="n">
        <f aca="false">IF(AR26-$C26&lt;&gt;0,AR26-$C26,"")</f>
        <v>-3.835</v>
      </c>
      <c r="AT26" s="94"/>
      <c r="AU26" s="95" t="n">
        <f aca="false">IF(AT26-$C26&lt;&gt;0,AT26-$C26,"")</f>
        <v>-3.835</v>
      </c>
    </row>
    <row r="27" customFormat="false" ht="12.75" hidden="false" customHeight="false" outlineLevel="0" collapsed="false">
      <c r="A27" s="92" t="n">
        <v>24</v>
      </c>
      <c r="B27" s="93" t="s">
        <v>85</v>
      </c>
      <c r="C27" s="94" t="n">
        <f aca="false">Summary!$D$2</f>
        <v>3.835</v>
      </c>
      <c r="D27" s="94"/>
      <c r="E27" s="95" t="n">
        <f aca="false">IF(D27-$C27&lt;&gt;0,D27-$C27,"")</f>
        <v>-3.835</v>
      </c>
      <c r="F27" s="94"/>
      <c r="G27" s="95" t="n">
        <f aca="false">IF(F27-$C27&lt;&gt;0,F27-$C27,"")</f>
        <v>-3.835</v>
      </c>
      <c r="H27" s="94"/>
      <c r="I27" s="95" t="n">
        <f aca="false">IF(H27-$C27&lt;&gt;0,H27-$C27,"")</f>
        <v>-3.835</v>
      </c>
      <c r="J27" s="94"/>
      <c r="K27" s="95" t="n">
        <f aca="false">IF(J27-$C27&lt;&gt;0,J27-$C27,"")</f>
        <v>-3.835</v>
      </c>
      <c r="L27" s="94"/>
      <c r="M27" s="95" t="n">
        <f aca="false">IF(L27-$C27&lt;&gt;0,L27-$C27,"")</f>
        <v>-3.835</v>
      </c>
      <c r="N27" s="94"/>
      <c r="O27" s="95" t="n">
        <f aca="false">IF(N27-$C27&lt;&gt;0,N27-$C27,"")</f>
        <v>-3.835</v>
      </c>
      <c r="P27" s="94"/>
      <c r="Q27" s="95" t="n">
        <f aca="false">IF(P27-$C27&lt;&gt;0,P27-$C27,"")</f>
        <v>-3.835</v>
      </c>
      <c r="R27" s="96" t="n">
        <f aca="false">C27+0.01</f>
        <v>3.845</v>
      </c>
      <c r="S27" s="95" t="n">
        <f aca="false">IF(R27-$C27&lt;&gt;0,R27-$C27,"")</f>
        <v>0.00999999999999979</v>
      </c>
      <c r="T27" s="94"/>
      <c r="U27" s="95" t="n">
        <f aca="false">IF(T27-$C27&lt;&gt;0,T27-$C27,"")</f>
        <v>-3.835</v>
      </c>
      <c r="V27" s="88" t="n">
        <f aca="false">C27-0.08</f>
        <v>3.755</v>
      </c>
      <c r="W27" s="95" t="n">
        <f aca="false">IF(V27-$C27&lt;&gt;0,V27-$C27,"")</f>
        <v>-0.0800000000000001</v>
      </c>
      <c r="X27" s="94"/>
      <c r="Y27" s="95" t="n">
        <f aca="false">IF(X27-$C27&lt;&gt;0,X27-$C27,"")</f>
        <v>-3.835</v>
      </c>
      <c r="Z27" s="94"/>
      <c r="AA27" s="95" t="n">
        <f aca="false">IF(Z27-$C27&lt;&gt;0,Z27-$C27,"")</f>
        <v>-3.835</v>
      </c>
      <c r="AB27" s="94"/>
      <c r="AC27" s="95" t="n">
        <f aca="false">IF(AB27-$C27&lt;&gt;0,AB27-$C27,"")</f>
        <v>-3.835</v>
      </c>
      <c r="AD27" s="94"/>
      <c r="AE27" s="95" t="n">
        <f aca="false">IF(AD27-$C27&lt;&gt;0,AD27-$C27,"")</f>
        <v>-3.835</v>
      </c>
      <c r="AF27" s="88" t="n">
        <f aca="false">C27+0.04</f>
        <v>3.875</v>
      </c>
      <c r="AG27" s="95" t="n">
        <f aca="false">IF(AF27-$C27&lt;&gt;0,AF27-$C27,"")</f>
        <v>0.04</v>
      </c>
      <c r="AH27" s="94"/>
      <c r="AI27" s="95" t="n">
        <f aca="false">IF(AH27-$C27&lt;&gt;0,AH27-$C27,"")</f>
        <v>-3.835</v>
      </c>
      <c r="AJ27" s="94"/>
      <c r="AK27" s="95" t="n">
        <f aca="false">IF(AJ27-$C27&lt;&gt;0,AJ27-$C27,"")</f>
        <v>-3.835</v>
      </c>
      <c r="AL27" s="94"/>
      <c r="AM27" s="95" t="n">
        <f aca="false">IF(AL27-$C27&lt;&gt;0,AL27-$C27,"")</f>
        <v>-3.835</v>
      </c>
      <c r="AN27" s="94"/>
      <c r="AO27" s="95" t="n">
        <f aca="false">IF(AN27-$C27&lt;&gt;0,AN27-$C27,"")</f>
        <v>-3.835</v>
      </c>
      <c r="AP27" s="94"/>
      <c r="AQ27" s="95" t="n">
        <f aca="false">IF(AP27-$C27&lt;&gt;0,AP27-$C27,"")</f>
        <v>-3.835</v>
      </c>
      <c r="AR27" s="94"/>
      <c r="AS27" s="95" t="n">
        <f aca="false">IF(AR27-$C27&lt;&gt;0,AR27-$C27,"")</f>
        <v>-3.835</v>
      </c>
      <c r="AT27" s="94"/>
      <c r="AU27" s="95" t="n">
        <f aca="false">IF(AT27-$C27&lt;&gt;0,AT27-$C27,"")</f>
        <v>-3.835</v>
      </c>
    </row>
    <row r="28" customFormat="false" ht="12.75" hidden="false" customHeight="false" outlineLevel="0" collapsed="false">
      <c r="A28" s="92" t="n">
        <v>25</v>
      </c>
      <c r="B28" s="93" t="s">
        <v>85</v>
      </c>
      <c r="C28" s="94" t="n">
        <f aca="false">Summary!$D$2</f>
        <v>3.835</v>
      </c>
      <c r="D28" s="94"/>
      <c r="E28" s="95" t="n">
        <f aca="false">IF(D28-$C28&lt;&gt;0,D28-$C28,"")</f>
        <v>-3.835</v>
      </c>
      <c r="F28" s="94"/>
      <c r="G28" s="95" t="n">
        <f aca="false">IF(F28-$C28&lt;&gt;0,F28-$C28,"")</f>
        <v>-3.835</v>
      </c>
      <c r="H28" s="94"/>
      <c r="I28" s="95" t="n">
        <f aca="false">IF(H28-$C28&lt;&gt;0,H28-$C28,"")</f>
        <v>-3.835</v>
      </c>
      <c r="J28" s="94"/>
      <c r="K28" s="95" t="n">
        <f aca="false">IF(J28-$C28&lt;&gt;0,J28-$C28,"")</f>
        <v>-3.835</v>
      </c>
      <c r="L28" s="94"/>
      <c r="M28" s="95" t="n">
        <f aca="false">IF(L28-$C28&lt;&gt;0,L28-$C28,"")</f>
        <v>-3.835</v>
      </c>
      <c r="N28" s="94"/>
      <c r="O28" s="95" t="n">
        <f aca="false">IF(N28-$C28&lt;&gt;0,N28-$C28,"")</f>
        <v>-3.835</v>
      </c>
      <c r="P28" s="94"/>
      <c r="Q28" s="95" t="n">
        <f aca="false">IF(P28-$C28&lt;&gt;0,P28-$C28,"")</f>
        <v>-3.835</v>
      </c>
      <c r="R28" s="96" t="n">
        <f aca="false">C28+0.01</f>
        <v>3.845</v>
      </c>
      <c r="S28" s="95" t="n">
        <f aca="false">IF(R28-$C28&lt;&gt;0,R28-$C28,"")</f>
        <v>0.00999999999999979</v>
      </c>
      <c r="T28" s="94"/>
      <c r="U28" s="95" t="n">
        <f aca="false">IF(T28-$C28&lt;&gt;0,T28-$C28,"")</f>
        <v>-3.835</v>
      </c>
      <c r="V28" s="88" t="n">
        <f aca="false">C28-0.08</f>
        <v>3.755</v>
      </c>
      <c r="W28" s="95" t="n">
        <f aca="false">IF(V28-$C28&lt;&gt;0,V28-$C28,"")</f>
        <v>-0.0800000000000001</v>
      </c>
      <c r="X28" s="94"/>
      <c r="Y28" s="95" t="n">
        <f aca="false">IF(X28-$C28&lt;&gt;0,X28-$C28,"")</f>
        <v>-3.835</v>
      </c>
      <c r="Z28" s="94"/>
      <c r="AA28" s="95" t="n">
        <f aca="false">IF(Z28-$C28&lt;&gt;0,Z28-$C28,"")</f>
        <v>-3.835</v>
      </c>
      <c r="AB28" s="94"/>
      <c r="AC28" s="95" t="n">
        <f aca="false">IF(AB28-$C28&lt;&gt;0,AB28-$C28,"")</f>
        <v>-3.835</v>
      </c>
      <c r="AD28" s="94"/>
      <c r="AE28" s="95" t="n">
        <f aca="false">IF(AD28-$C28&lt;&gt;0,AD28-$C28,"")</f>
        <v>-3.835</v>
      </c>
      <c r="AF28" s="88" t="n">
        <f aca="false">C28+0.04</f>
        <v>3.875</v>
      </c>
      <c r="AG28" s="95" t="n">
        <f aca="false">IF(AF28-$C28&lt;&gt;0,AF28-$C28,"")</f>
        <v>0.04</v>
      </c>
      <c r="AH28" s="94"/>
      <c r="AI28" s="95" t="n">
        <f aca="false">IF(AH28-$C28&lt;&gt;0,AH28-$C28,"")</f>
        <v>-3.835</v>
      </c>
      <c r="AJ28" s="94"/>
      <c r="AK28" s="95" t="n">
        <f aca="false">IF(AJ28-$C28&lt;&gt;0,AJ28-$C28,"")</f>
        <v>-3.835</v>
      </c>
      <c r="AL28" s="94"/>
      <c r="AM28" s="95" t="n">
        <f aca="false">IF(AL28-$C28&lt;&gt;0,AL28-$C28,"")</f>
        <v>-3.835</v>
      </c>
      <c r="AN28" s="94"/>
      <c r="AO28" s="95" t="n">
        <f aca="false">IF(AN28-$C28&lt;&gt;0,AN28-$C28,"")</f>
        <v>-3.835</v>
      </c>
      <c r="AP28" s="94"/>
      <c r="AQ28" s="95" t="n">
        <f aca="false">IF(AP28-$C28&lt;&gt;0,AP28-$C28,"")</f>
        <v>-3.835</v>
      </c>
      <c r="AR28" s="94"/>
      <c r="AS28" s="95" t="n">
        <f aca="false">IF(AR28-$C28&lt;&gt;0,AR28-$C28,"")</f>
        <v>-3.835</v>
      </c>
      <c r="AT28" s="94"/>
      <c r="AU28" s="95" t="n">
        <f aca="false">IF(AT28-$C28&lt;&gt;0,AT28-$C28,"")</f>
        <v>-3.835</v>
      </c>
    </row>
    <row r="29" customFormat="false" ht="12.75" hidden="false" customHeight="false" outlineLevel="0" collapsed="false">
      <c r="A29" s="86" t="n">
        <v>26</v>
      </c>
      <c r="B29" s="87" t="s">
        <v>85</v>
      </c>
      <c r="C29" s="94" t="n">
        <f aca="false">Summary!$D$2</f>
        <v>3.835</v>
      </c>
      <c r="D29" s="88"/>
      <c r="E29" s="89" t="n">
        <f aca="false">IF(D29-$C29&lt;&gt;0,D29-$C29,"")</f>
        <v>-3.835</v>
      </c>
      <c r="F29" s="88"/>
      <c r="G29" s="89" t="n">
        <f aca="false">IF(F29-$C29&lt;&gt;0,F29-$C29,"")</f>
        <v>-3.835</v>
      </c>
      <c r="H29" s="88"/>
      <c r="I29" s="89" t="n">
        <f aca="false">IF(H29-$C29&lt;&gt;0,H29-$C29,"")</f>
        <v>-3.835</v>
      </c>
      <c r="J29" s="88"/>
      <c r="K29" s="89" t="n">
        <f aca="false">IF(J29-$C29&lt;&gt;0,J29-$C29,"")</f>
        <v>-3.835</v>
      </c>
      <c r="L29" s="88"/>
      <c r="M29" s="89" t="n">
        <f aca="false">IF(L29-$C29&lt;&gt;0,L29-$C29,"")</f>
        <v>-3.835</v>
      </c>
      <c r="N29" s="88"/>
      <c r="O29" s="89" t="n">
        <f aca="false">IF(N29-$C29&lt;&gt;0,N29-$C29,"")</f>
        <v>-3.835</v>
      </c>
      <c r="P29" s="88"/>
      <c r="Q29" s="89" t="n">
        <f aca="false">IF(P29-$C29&lt;&gt;0,P29-$C29,"")</f>
        <v>-3.835</v>
      </c>
      <c r="R29" s="96" t="n">
        <f aca="false">C29+0.01</f>
        <v>3.845</v>
      </c>
      <c r="S29" s="89" t="n">
        <f aca="false">IF(R29-$C29&lt;&gt;0,R29-$C29,"")</f>
        <v>0.00999999999999979</v>
      </c>
      <c r="T29" s="88"/>
      <c r="U29" s="89" t="n">
        <f aca="false">IF(T29-$C29&lt;&gt;0,T29-$C29,"")</f>
        <v>-3.835</v>
      </c>
      <c r="V29" s="88" t="n">
        <f aca="false">C29-0.08</f>
        <v>3.755</v>
      </c>
      <c r="W29" s="89" t="n">
        <f aca="false">IF(V29-$C29&lt;&gt;0,V29-$C29,"")</f>
        <v>-0.0800000000000001</v>
      </c>
      <c r="X29" s="88"/>
      <c r="Y29" s="89" t="n">
        <f aca="false">IF(X29-$C29&lt;&gt;0,X29-$C29,"")</f>
        <v>-3.835</v>
      </c>
      <c r="Z29" s="88"/>
      <c r="AA29" s="89" t="n">
        <f aca="false">IF(Z29-$C29&lt;&gt;0,Z29-$C29,"")</f>
        <v>-3.835</v>
      </c>
      <c r="AB29" s="88"/>
      <c r="AC29" s="89" t="n">
        <f aca="false">IF(AB29-$C29&lt;&gt;0,AB29-$C29,"")</f>
        <v>-3.835</v>
      </c>
      <c r="AD29" s="88"/>
      <c r="AE29" s="89" t="n">
        <f aca="false">IF(AD29-$C29&lt;&gt;0,AD29-$C29,"")</f>
        <v>-3.835</v>
      </c>
      <c r="AF29" s="88" t="n">
        <f aca="false">C29+0.04</f>
        <v>3.875</v>
      </c>
      <c r="AG29" s="89" t="n">
        <f aca="false">IF(AF29-$C29&lt;&gt;0,AF29-$C29,"")</f>
        <v>0.04</v>
      </c>
      <c r="AH29" s="88"/>
      <c r="AI29" s="89" t="n">
        <f aca="false">IF(AH29-$C29&lt;&gt;0,AH29-$C29,"")</f>
        <v>-3.835</v>
      </c>
      <c r="AJ29" s="88"/>
      <c r="AK29" s="89" t="n">
        <f aca="false">IF(AJ29-$C29&lt;&gt;0,AJ29-$C29,"")</f>
        <v>-3.835</v>
      </c>
      <c r="AL29" s="88"/>
      <c r="AM29" s="89" t="n">
        <f aca="false">IF(AL29-$C29&lt;&gt;0,AL29-$C29,"")</f>
        <v>-3.835</v>
      </c>
      <c r="AN29" s="88"/>
      <c r="AO29" s="89" t="n">
        <f aca="false">IF(AN29-$C29&lt;&gt;0,AN29-$C29,"")</f>
        <v>-3.835</v>
      </c>
      <c r="AP29" s="88"/>
      <c r="AQ29" s="89" t="n">
        <f aca="false">IF(AP29-$C29&lt;&gt;0,AP29-$C29,"")</f>
        <v>-3.835</v>
      </c>
      <c r="AR29" s="88"/>
      <c r="AS29" s="89" t="n">
        <f aca="false">IF(AR29-$C29&lt;&gt;0,AR29-$C29,"")</f>
        <v>-3.835</v>
      </c>
      <c r="AT29" s="88"/>
      <c r="AU29" s="89" t="n">
        <f aca="false">IF(AT29-$C29&lt;&gt;0,AT29-$C29,"")</f>
        <v>-3.835</v>
      </c>
    </row>
    <row r="30" customFormat="false" ht="12.75" hidden="false" customHeight="false" outlineLevel="0" collapsed="false">
      <c r="A30" s="86" t="n">
        <v>27</v>
      </c>
      <c r="B30" s="87" t="s">
        <v>85</v>
      </c>
      <c r="C30" s="94" t="n">
        <f aca="false">Summary!$D$2</f>
        <v>3.835</v>
      </c>
      <c r="D30" s="88"/>
      <c r="E30" s="89" t="n">
        <f aca="false">IF(D30-$C30&lt;&gt;0,D30-$C30,"")</f>
        <v>-3.835</v>
      </c>
      <c r="F30" s="88"/>
      <c r="G30" s="89" t="n">
        <f aca="false">IF(F30-$C30&lt;&gt;0,F30-$C30,"")</f>
        <v>-3.835</v>
      </c>
      <c r="H30" s="88"/>
      <c r="I30" s="89" t="n">
        <f aca="false">IF(H30-$C30&lt;&gt;0,H30-$C30,"")</f>
        <v>-3.835</v>
      </c>
      <c r="J30" s="88"/>
      <c r="K30" s="89" t="n">
        <f aca="false">IF(J30-$C30&lt;&gt;0,J30-$C30,"")</f>
        <v>-3.835</v>
      </c>
      <c r="L30" s="88"/>
      <c r="M30" s="89" t="n">
        <f aca="false">IF(L30-$C30&lt;&gt;0,L30-$C30,"")</f>
        <v>-3.835</v>
      </c>
      <c r="N30" s="88"/>
      <c r="O30" s="89" t="n">
        <f aca="false">IF(N30-$C30&lt;&gt;0,N30-$C30,"")</f>
        <v>-3.835</v>
      </c>
      <c r="P30" s="88"/>
      <c r="Q30" s="89" t="n">
        <f aca="false">IF(P30-$C30&lt;&gt;0,P30-$C30,"")</f>
        <v>-3.835</v>
      </c>
      <c r="R30" s="96" t="n">
        <f aca="false">C30+0.01</f>
        <v>3.845</v>
      </c>
      <c r="S30" s="89" t="n">
        <f aca="false">IF(R30-$C30&lt;&gt;0,R30-$C30,"")</f>
        <v>0.00999999999999979</v>
      </c>
      <c r="T30" s="88"/>
      <c r="U30" s="89" t="n">
        <f aca="false">IF(T30-$C30&lt;&gt;0,T30-$C30,"")</f>
        <v>-3.835</v>
      </c>
      <c r="V30" s="88" t="n">
        <f aca="false">C30-0.08</f>
        <v>3.755</v>
      </c>
      <c r="W30" s="89" t="n">
        <f aca="false">IF(V30-$C30&lt;&gt;0,V30-$C30,"")</f>
        <v>-0.0800000000000001</v>
      </c>
      <c r="X30" s="88"/>
      <c r="Y30" s="89" t="n">
        <f aca="false">IF(X30-$C30&lt;&gt;0,X30-$C30,"")</f>
        <v>-3.835</v>
      </c>
      <c r="Z30" s="88"/>
      <c r="AA30" s="89" t="n">
        <f aca="false">IF(Z30-$C30&lt;&gt;0,Z30-$C30,"")</f>
        <v>-3.835</v>
      </c>
      <c r="AB30" s="88"/>
      <c r="AC30" s="89" t="n">
        <f aca="false">IF(AB30-$C30&lt;&gt;0,AB30-$C30,"")</f>
        <v>-3.835</v>
      </c>
      <c r="AD30" s="88"/>
      <c r="AE30" s="89" t="n">
        <f aca="false">IF(AD30-$C30&lt;&gt;0,AD30-$C30,"")</f>
        <v>-3.835</v>
      </c>
      <c r="AF30" s="88" t="n">
        <f aca="false">C30+0.04</f>
        <v>3.875</v>
      </c>
      <c r="AG30" s="89" t="n">
        <f aca="false">IF(AF30-$C30&lt;&gt;0,AF30-$C30,"")</f>
        <v>0.04</v>
      </c>
      <c r="AH30" s="88"/>
      <c r="AI30" s="89" t="n">
        <f aca="false">IF(AH30-$C30&lt;&gt;0,AH30-$C30,"")</f>
        <v>-3.835</v>
      </c>
      <c r="AJ30" s="88"/>
      <c r="AK30" s="89" t="n">
        <f aca="false">IF(AJ30-$C30&lt;&gt;0,AJ30-$C30,"")</f>
        <v>-3.835</v>
      </c>
      <c r="AL30" s="88"/>
      <c r="AM30" s="89" t="n">
        <f aca="false">IF(AL30-$C30&lt;&gt;0,AL30-$C30,"")</f>
        <v>-3.835</v>
      </c>
      <c r="AN30" s="88"/>
      <c r="AO30" s="89" t="n">
        <f aca="false">IF(AN30-$C30&lt;&gt;0,AN30-$C30,"")</f>
        <v>-3.835</v>
      </c>
      <c r="AP30" s="88"/>
      <c r="AQ30" s="89" t="n">
        <f aca="false">IF(AP30-$C30&lt;&gt;0,AP30-$C30,"")</f>
        <v>-3.835</v>
      </c>
      <c r="AR30" s="88"/>
      <c r="AS30" s="89" t="n">
        <f aca="false">IF(AR30-$C30&lt;&gt;0,AR30-$C30,"")</f>
        <v>-3.835</v>
      </c>
      <c r="AT30" s="88"/>
      <c r="AU30" s="89" t="n">
        <f aca="false">IF(AT30-$C30&lt;&gt;0,AT30-$C30,"")</f>
        <v>-3.835</v>
      </c>
    </row>
    <row r="31" customFormat="false" ht="12.75" hidden="false" customHeight="false" outlineLevel="0" collapsed="false">
      <c r="A31" s="86" t="n">
        <v>28</v>
      </c>
      <c r="B31" s="87" t="s">
        <v>86</v>
      </c>
      <c r="C31" s="94" t="n">
        <f aca="false">Summary!$D$2</f>
        <v>3.835</v>
      </c>
      <c r="D31" s="88"/>
      <c r="E31" s="89" t="n">
        <f aca="false">IF(D31-$C31&lt;&gt;0,D31-$C31,"")</f>
        <v>-3.835</v>
      </c>
      <c r="F31" s="88"/>
      <c r="G31" s="89" t="n">
        <f aca="false">IF(F31-$C31&lt;&gt;0,F31-$C31,"")</f>
        <v>-3.835</v>
      </c>
      <c r="H31" s="88"/>
      <c r="I31" s="89" t="n">
        <f aca="false">IF(H31-$C31&lt;&gt;0,H31-$C31,"")</f>
        <v>-3.835</v>
      </c>
      <c r="J31" s="88"/>
      <c r="K31" s="89" t="n">
        <f aca="false">IF(J31-$C31&lt;&gt;0,J31-$C31,"")</f>
        <v>-3.835</v>
      </c>
      <c r="L31" s="88"/>
      <c r="M31" s="89" t="n">
        <f aca="false">IF(L31-$C31&lt;&gt;0,L31-$C31,"")</f>
        <v>-3.835</v>
      </c>
      <c r="N31" s="88"/>
      <c r="O31" s="89" t="n">
        <f aca="false">IF(N31-$C31&lt;&gt;0,N31-$C31,"")</f>
        <v>-3.835</v>
      </c>
      <c r="P31" s="88"/>
      <c r="Q31" s="89" t="n">
        <f aca="false">IF(P31-$C31&lt;&gt;0,P31-$C31,"")</f>
        <v>-3.835</v>
      </c>
      <c r="R31" s="96" t="n">
        <f aca="false">C31+0.01</f>
        <v>3.845</v>
      </c>
      <c r="S31" s="89" t="n">
        <f aca="false">IF(R31-$C31&lt;&gt;0,R31-$C31,"")</f>
        <v>0.00999999999999979</v>
      </c>
      <c r="T31" s="88"/>
      <c r="U31" s="89" t="n">
        <f aca="false">IF(T31-$C31&lt;&gt;0,T31-$C31,"")</f>
        <v>-3.835</v>
      </c>
      <c r="V31" s="88" t="n">
        <f aca="false">C31-0.08</f>
        <v>3.755</v>
      </c>
      <c r="W31" s="89" t="n">
        <f aca="false">IF(V31-$C31&lt;&gt;0,V31-$C31,"")</f>
        <v>-0.0800000000000001</v>
      </c>
      <c r="X31" s="88"/>
      <c r="Y31" s="89" t="n">
        <f aca="false">IF(X31-$C31&lt;&gt;0,X31-$C31,"")</f>
        <v>-3.835</v>
      </c>
      <c r="Z31" s="88"/>
      <c r="AA31" s="89" t="n">
        <f aca="false">IF(Z31-$C31&lt;&gt;0,Z31-$C31,"")</f>
        <v>-3.835</v>
      </c>
      <c r="AB31" s="88"/>
      <c r="AC31" s="89" t="n">
        <f aca="false">IF(AB31-$C31&lt;&gt;0,AB31-$C31,"")</f>
        <v>-3.835</v>
      </c>
      <c r="AD31" s="88"/>
      <c r="AE31" s="89" t="n">
        <f aca="false">IF(AD31-$C31&lt;&gt;0,AD31-$C31,"")</f>
        <v>-3.835</v>
      </c>
      <c r="AF31" s="88" t="n">
        <f aca="false">C31+0.04</f>
        <v>3.875</v>
      </c>
      <c r="AG31" s="89" t="n">
        <f aca="false">IF(AF31-$C31&lt;&gt;0,AF31-$C31,"")</f>
        <v>0.04</v>
      </c>
      <c r="AH31" s="88"/>
      <c r="AI31" s="89" t="n">
        <f aca="false">IF(AH31-$C31&lt;&gt;0,AH31-$C31,"")</f>
        <v>-3.835</v>
      </c>
      <c r="AJ31" s="88"/>
      <c r="AK31" s="89" t="n">
        <f aca="false">IF(AJ31-$C31&lt;&gt;0,AJ31-$C31,"")</f>
        <v>-3.835</v>
      </c>
      <c r="AL31" s="88"/>
      <c r="AM31" s="89" t="n">
        <f aca="false">IF(AL31-$C31&lt;&gt;0,AL31-$C31,"")</f>
        <v>-3.835</v>
      </c>
      <c r="AN31" s="88"/>
      <c r="AO31" s="89" t="n">
        <f aca="false">IF(AN31-$C31&lt;&gt;0,AN31-$C31,"")</f>
        <v>-3.835</v>
      </c>
      <c r="AP31" s="88"/>
      <c r="AQ31" s="89" t="n">
        <f aca="false">IF(AP31-$C31&lt;&gt;0,AP31-$C31,"")</f>
        <v>-3.835</v>
      </c>
      <c r="AR31" s="88"/>
      <c r="AS31" s="89" t="n">
        <f aca="false">IF(AR31-$C31&lt;&gt;0,AR31-$C31,"")</f>
        <v>-3.835</v>
      </c>
      <c r="AT31" s="88"/>
      <c r="AU31" s="89" t="n">
        <f aca="false">IF(AT31-$C31&lt;&gt;0,AT31-$C31,"")</f>
        <v>-3.835</v>
      </c>
    </row>
    <row r="32" customFormat="false" ht="12.75" hidden="false" customHeight="false" outlineLevel="0" collapsed="false">
      <c r="A32" s="86" t="n">
        <v>29</v>
      </c>
      <c r="B32" s="87" t="s">
        <v>85</v>
      </c>
      <c r="C32" s="94" t="n">
        <f aca="false">Summary!$D$2</f>
        <v>3.835</v>
      </c>
      <c r="D32" s="88"/>
      <c r="E32" s="89" t="n">
        <f aca="false">IF(D32-$C32&lt;&gt;0,D32-$C32,"")</f>
        <v>-3.835</v>
      </c>
      <c r="F32" s="88"/>
      <c r="G32" s="89" t="n">
        <f aca="false">IF(F32-$C32&lt;&gt;0,F32-$C32,"")</f>
        <v>-3.835</v>
      </c>
      <c r="H32" s="88"/>
      <c r="I32" s="89" t="n">
        <f aca="false">IF(H32-$C32&lt;&gt;0,H32-$C32,"")</f>
        <v>-3.835</v>
      </c>
      <c r="J32" s="88"/>
      <c r="K32" s="89" t="n">
        <f aca="false">IF(J32-$C32&lt;&gt;0,J32-$C32,"")</f>
        <v>-3.835</v>
      </c>
      <c r="L32" s="88"/>
      <c r="M32" s="89" t="n">
        <f aca="false">IF(L32-$C32&lt;&gt;0,L32-$C32,"")</f>
        <v>-3.835</v>
      </c>
      <c r="N32" s="88"/>
      <c r="O32" s="89" t="n">
        <f aca="false">IF(N32-$C32&lt;&gt;0,N32-$C32,"")</f>
        <v>-3.835</v>
      </c>
      <c r="P32" s="88"/>
      <c r="Q32" s="89" t="n">
        <f aca="false">IF(P32-$C32&lt;&gt;0,P32-$C32,"")</f>
        <v>-3.835</v>
      </c>
      <c r="R32" s="96" t="n">
        <f aca="false">C32+0.01</f>
        <v>3.845</v>
      </c>
      <c r="S32" s="89" t="n">
        <f aca="false">IF(R32-$C32&lt;&gt;0,R32-$C32,"")</f>
        <v>0.00999999999999979</v>
      </c>
      <c r="T32" s="88"/>
      <c r="U32" s="89" t="n">
        <f aca="false">IF(T32-$C32&lt;&gt;0,T32-$C32,"")</f>
        <v>-3.835</v>
      </c>
      <c r="V32" s="88" t="n">
        <f aca="false">C32-0.08</f>
        <v>3.755</v>
      </c>
      <c r="W32" s="89" t="n">
        <f aca="false">IF(V32-$C32&lt;&gt;0,V32-$C32,"")</f>
        <v>-0.0800000000000001</v>
      </c>
      <c r="X32" s="88"/>
      <c r="Y32" s="89" t="n">
        <f aca="false">IF(X32-$C32&lt;&gt;0,X32-$C32,"")</f>
        <v>-3.835</v>
      </c>
      <c r="Z32" s="88"/>
      <c r="AA32" s="89" t="n">
        <f aca="false">IF(Z32-$C32&lt;&gt;0,Z32-$C32,"")</f>
        <v>-3.835</v>
      </c>
      <c r="AB32" s="88"/>
      <c r="AC32" s="89" t="n">
        <f aca="false">IF(AB32-$C32&lt;&gt;0,AB32-$C32,"")</f>
        <v>-3.835</v>
      </c>
      <c r="AD32" s="88"/>
      <c r="AE32" s="89" t="n">
        <f aca="false">IF(AD32-$C32&lt;&gt;0,AD32-$C32,"")</f>
        <v>-3.835</v>
      </c>
      <c r="AF32" s="88" t="n">
        <f aca="false">C32+0.04</f>
        <v>3.875</v>
      </c>
      <c r="AG32" s="89" t="n">
        <f aca="false">IF(AF32-$C32&lt;&gt;0,AF32-$C32,"")</f>
        <v>0.04</v>
      </c>
      <c r="AH32" s="88"/>
      <c r="AI32" s="89" t="n">
        <f aca="false">IF(AH32-$C32&lt;&gt;0,AH32-$C32,"")</f>
        <v>-3.835</v>
      </c>
      <c r="AJ32" s="88"/>
      <c r="AK32" s="89" t="n">
        <f aca="false">IF(AJ32-$C32&lt;&gt;0,AJ32-$C32,"")</f>
        <v>-3.835</v>
      </c>
      <c r="AL32" s="88"/>
      <c r="AM32" s="89" t="n">
        <f aca="false">IF(AL32-$C32&lt;&gt;0,AL32-$C32,"")</f>
        <v>-3.835</v>
      </c>
      <c r="AN32" s="88"/>
      <c r="AO32" s="89" t="n">
        <f aca="false">IF(AN32-$C32&lt;&gt;0,AN32-$C32,"")</f>
        <v>-3.835</v>
      </c>
      <c r="AP32" s="88"/>
      <c r="AQ32" s="89" t="n">
        <f aca="false">IF(AP32-$C32&lt;&gt;0,AP32-$C32,"")</f>
        <v>-3.835</v>
      </c>
      <c r="AR32" s="88"/>
      <c r="AS32" s="89" t="n">
        <f aca="false">IF(AR32-$C32&lt;&gt;0,AR32-$C32,"")</f>
        <v>-3.835</v>
      </c>
      <c r="AT32" s="88"/>
      <c r="AU32" s="89" t="n">
        <f aca="false">IF(AT32-$C32&lt;&gt;0,AT32-$C32,"")</f>
        <v>-3.835</v>
      </c>
    </row>
    <row r="33" customFormat="false" ht="12.75" hidden="false" customHeight="false" outlineLevel="0" collapsed="false">
      <c r="A33" s="86" t="n">
        <v>30</v>
      </c>
      <c r="B33" s="87" t="s">
        <v>87</v>
      </c>
      <c r="C33" s="94" t="n">
        <f aca="false">Summary!$D$2</f>
        <v>3.835</v>
      </c>
      <c r="D33" s="88"/>
      <c r="E33" s="89" t="n">
        <f aca="false">IF(D33-$C33&lt;&gt;0,D33-$C33,"")</f>
        <v>-3.835</v>
      </c>
      <c r="F33" s="88"/>
      <c r="G33" s="89" t="n">
        <f aca="false">IF(F33-$C33&lt;&gt;0,F33-$C33,"")</f>
        <v>-3.835</v>
      </c>
      <c r="H33" s="88" t="n">
        <v>0</v>
      </c>
      <c r="I33" s="89" t="n">
        <f aca="false">IF(H33-$C33&lt;&gt;0,H33-$C33,"")</f>
        <v>-3.835</v>
      </c>
      <c r="J33" s="88"/>
      <c r="K33" s="89" t="n">
        <f aca="false">IF(J33-$C33&lt;&gt;0,J33-$C33,"")</f>
        <v>-3.835</v>
      </c>
      <c r="L33" s="88"/>
      <c r="M33" s="89" t="n">
        <f aca="false">IF(L33-$C33&lt;&gt;0,L33-$C33,"")</f>
        <v>-3.835</v>
      </c>
      <c r="N33" s="88" t="n">
        <f aca="false">C33-0.15</f>
        <v>3.685</v>
      </c>
      <c r="O33" s="89" t="n">
        <f aca="false">IF(N33-$C33&lt;&gt;0,N33-$C33,"")</f>
        <v>-0.15</v>
      </c>
      <c r="P33" s="88"/>
      <c r="Q33" s="89" t="n">
        <f aca="false">IF(P33-$C33&lt;&gt;0,P33-$C33,"")</f>
        <v>-3.835</v>
      </c>
      <c r="R33" s="96" t="n">
        <f aca="false">C33+0.01</f>
        <v>3.845</v>
      </c>
      <c r="S33" s="89" t="n">
        <f aca="false">IF(R33-$C33&lt;&gt;0,R33-$C33,"")</f>
        <v>0.00999999999999979</v>
      </c>
      <c r="T33" s="88"/>
      <c r="U33" s="89" t="n">
        <f aca="false">IF(T33-$C33&lt;&gt;0,T33-$C33,"")</f>
        <v>-3.835</v>
      </c>
      <c r="V33" s="88" t="n">
        <f aca="false">C33-0.08</f>
        <v>3.755</v>
      </c>
      <c r="W33" s="89" t="n">
        <f aca="false">IF(V33-$C33&lt;&gt;0,V33-$C33,"")</f>
        <v>-0.0800000000000001</v>
      </c>
      <c r="X33" s="88"/>
      <c r="Y33" s="89" t="n">
        <f aca="false">IF(X33-$C33&lt;&gt;0,X33-$C33,"")</f>
        <v>-3.835</v>
      </c>
      <c r="Z33" s="88" t="n">
        <v>0</v>
      </c>
      <c r="AA33" s="89" t="n">
        <f aca="false">IF(Z33-$C33&lt;&gt;0,Z33-$C33,"")</f>
        <v>-3.835</v>
      </c>
      <c r="AB33" s="88"/>
      <c r="AC33" s="89" t="n">
        <f aca="false">IF(AB33-$C33&lt;&gt;0,AB33-$C33,"")</f>
        <v>-3.835</v>
      </c>
      <c r="AD33" s="88"/>
      <c r="AE33" s="89" t="n">
        <f aca="false">IF(AD33-$C33&lt;&gt;0,AD33-$C33,"")</f>
        <v>-3.835</v>
      </c>
      <c r="AF33" s="88" t="n">
        <f aca="false">C33+0.04</f>
        <v>3.875</v>
      </c>
      <c r="AG33" s="89" t="n">
        <f aca="false">IF(AF33-$C33&lt;&gt;0,AF33-$C33,"")</f>
        <v>0.04</v>
      </c>
      <c r="AH33" s="88"/>
      <c r="AI33" s="89" t="n">
        <f aca="false">IF(AH33-$C33&lt;&gt;0,AH33-$C33,"")</f>
        <v>-3.835</v>
      </c>
      <c r="AJ33" s="88"/>
      <c r="AK33" s="89" t="n">
        <f aca="false">IF(AJ33-$C33&lt;&gt;0,AJ33-$C33,"")</f>
        <v>-3.835</v>
      </c>
      <c r="AL33" s="88" t="n">
        <v>0</v>
      </c>
      <c r="AM33" s="89" t="n">
        <f aca="false">IF(AL33-$C33&lt;&gt;0,AL33-$C33,"")</f>
        <v>-3.835</v>
      </c>
      <c r="AN33" s="88"/>
      <c r="AO33" s="89" t="n">
        <f aca="false">IF(AN33-$C33&lt;&gt;0,AN33-$C33,"")</f>
        <v>-3.835</v>
      </c>
      <c r="AP33" s="88"/>
      <c r="AQ33" s="89" t="n">
        <f aca="false">IF(AP33-$C33&lt;&gt;0,AP33-$C33,"")</f>
        <v>-3.835</v>
      </c>
      <c r="AR33" s="88"/>
      <c r="AS33" s="89" t="n">
        <f aca="false">IF(AR33-$C33&lt;&gt;0,AR33-$C33,"")</f>
        <v>-3.835</v>
      </c>
      <c r="AT33" s="88"/>
      <c r="AU33" s="89" t="n">
        <f aca="false">IF(AT33-$C33&lt;&gt;0,AT33-$C33,"")</f>
        <v>-3.835</v>
      </c>
    </row>
    <row r="34" customFormat="false" ht="12.75" hidden="false" customHeight="false" outlineLevel="0" collapsed="false">
      <c r="A34" s="86" t="n">
        <v>31</v>
      </c>
      <c r="B34" s="97" t="s">
        <v>88</v>
      </c>
      <c r="C34" s="88"/>
      <c r="D34" s="88"/>
      <c r="E34" s="89" t="str">
        <f aca="false">IF(D34-$C34&lt;&gt;0,D34-$C34,"")</f>
        <v/>
      </c>
      <c r="F34" s="88"/>
      <c r="G34" s="89" t="str">
        <f aca="false">IF(F34-$C34&lt;&gt;0,F34-$C34,"")</f>
        <v/>
      </c>
      <c r="H34" s="88" t="n">
        <v>0</v>
      </c>
      <c r="I34" s="89" t="str">
        <f aca="false">IF(H34-$C34&lt;&gt;0,H34-$C34,"")</f>
        <v/>
      </c>
      <c r="J34" s="88" t="n">
        <f aca="false">C34-0.06</f>
        <v>-0.06</v>
      </c>
      <c r="K34" s="89" t="n">
        <f aca="false">IF(J34-$C34&lt;&gt;0,J34-$C34,"")</f>
        <v>-0.06</v>
      </c>
      <c r="L34" s="88" t="n">
        <v>0</v>
      </c>
      <c r="M34" s="89" t="str">
        <f aca="false">IF(L34-$C34&lt;&gt;0,L34-$C34,"")</f>
        <v/>
      </c>
      <c r="N34" s="88" t="n">
        <f aca="false">C34-0.06</f>
        <v>-0.06</v>
      </c>
      <c r="O34" s="89" t="n">
        <f aca="false">IF(N34-$C34&lt;&gt;0,N34-$C34,"")</f>
        <v>-0.06</v>
      </c>
      <c r="P34" s="88"/>
      <c r="Q34" s="89" t="str">
        <f aca="false">IF(P34-$C34&lt;&gt;0,P34-$C34,"")</f>
        <v/>
      </c>
      <c r="R34" s="96" t="n">
        <f aca="false">C34+0</f>
        <v>0</v>
      </c>
      <c r="S34" s="89" t="str">
        <f aca="false">IF(R34-$C34&lt;&gt;0,R34-$C34,"")</f>
        <v/>
      </c>
      <c r="T34" s="88" t="n">
        <v>0</v>
      </c>
      <c r="U34" s="89" t="str">
        <f aca="false">IF(T34-$C34&lt;&gt;0,T34-$C34,"")</f>
        <v/>
      </c>
      <c r="V34" s="88" t="n">
        <f aca="false">C34+0.03</f>
        <v>0.03</v>
      </c>
      <c r="W34" s="89" t="n">
        <f aca="false">IF(V34-$C34&lt;&gt;0,V34-$C34,"")</f>
        <v>0.03</v>
      </c>
      <c r="X34" s="88" t="n">
        <f aca="false">C34-0.125</f>
        <v>-0.125</v>
      </c>
      <c r="Y34" s="89" t="n">
        <f aca="false">IF(X34-$C34&lt;&gt;0,X34-$C34,"")</f>
        <v>-0.125</v>
      </c>
      <c r="Z34" s="88" t="n">
        <v>0</v>
      </c>
      <c r="AA34" s="89" t="str">
        <f aca="false">IF(Z34-$C34&lt;&gt;0,Z34-$C34,"")</f>
        <v/>
      </c>
      <c r="AB34" s="88" t="n">
        <v>0</v>
      </c>
      <c r="AC34" s="89" t="str">
        <f aca="false">IF(AB34-$C34&lt;&gt;0,AB34-$C34,"")</f>
        <v/>
      </c>
      <c r="AD34" s="88" t="n">
        <v>0</v>
      </c>
      <c r="AE34" s="89" t="str">
        <f aca="false">IF(AD34-$C34&lt;&gt;0,AD34-$C34,"")</f>
        <v/>
      </c>
      <c r="AF34" s="88" t="n">
        <f aca="false">C34+0.04</f>
        <v>0.04</v>
      </c>
      <c r="AG34" s="89" t="n">
        <f aca="false">IF(AF34-$C34&lt;&gt;0,AF34-$C34,"")</f>
        <v>0.04</v>
      </c>
      <c r="AH34" s="88" t="n">
        <v>0</v>
      </c>
      <c r="AI34" s="89" t="str">
        <f aca="false">IF(AH34-$C34&lt;&gt;0,AH34-$C34,"")</f>
        <v/>
      </c>
      <c r="AJ34" s="88" t="n">
        <v>0</v>
      </c>
      <c r="AK34" s="89" t="str">
        <f aca="false">IF(AJ34-$C34&lt;&gt;0,AJ34-$C34,"")</f>
        <v/>
      </c>
      <c r="AL34" s="88" t="n">
        <v>0</v>
      </c>
      <c r="AM34" s="89" t="str">
        <f aca="false">IF(AL34-$C34&lt;&gt;0,AL34-$C34,"")</f>
        <v/>
      </c>
      <c r="AN34" s="88"/>
      <c r="AO34" s="89" t="str">
        <f aca="false">IF(AN34-$C34&lt;&gt;0,AN34-$C34,"")</f>
        <v/>
      </c>
      <c r="AP34" s="88"/>
      <c r="AQ34" s="89" t="str">
        <f aca="false">IF(AP34-$C34&lt;&gt;0,AP34-$C34,"")</f>
        <v/>
      </c>
      <c r="AR34" s="88"/>
      <c r="AS34" s="89" t="str">
        <f aca="false">IF(AR34-$C34&lt;&gt;0,AR34-$C34,"")</f>
        <v/>
      </c>
      <c r="AT34" s="88" t="n">
        <v>0</v>
      </c>
      <c r="AU34" s="89" t="str">
        <f aca="false">IF(AT34-$C34&lt;&gt;0,AT34-$C34,"")</f>
        <v/>
      </c>
    </row>
    <row r="35" customFormat="false" ht="12.75" hidden="false" customHeight="false" outlineLevel="0" collapsed="false">
      <c r="D35" s="98"/>
      <c r="E35" s="99"/>
      <c r="F35" s="100"/>
      <c r="G35" s="99"/>
      <c r="H35" s="98"/>
      <c r="I35" s="99"/>
      <c r="J35" s="98"/>
      <c r="K35" s="99"/>
      <c r="L35" s="98"/>
      <c r="M35" s="99"/>
      <c r="N35" s="98"/>
      <c r="O35" s="99"/>
      <c r="P35" s="101"/>
      <c r="Q35" s="99"/>
      <c r="R35" s="101"/>
      <c r="S35" s="99"/>
      <c r="T35" s="102"/>
      <c r="U35" s="99"/>
      <c r="V35" s="102"/>
      <c r="W35" s="99"/>
      <c r="X35" s="98"/>
      <c r="Y35" s="99"/>
      <c r="Z35" s="98"/>
      <c r="AA35" s="99"/>
      <c r="AB35" s="98"/>
      <c r="AC35" s="99"/>
      <c r="AD35" s="98"/>
      <c r="AE35" s="99"/>
      <c r="AF35" s="98"/>
      <c r="AG35" s="99"/>
      <c r="AH35" s="98"/>
      <c r="AI35" s="99"/>
      <c r="AJ35" s="98"/>
      <c r="AK35" s="99"/>
      <c r="AL35" s="98"/>
      <c r="AM35" s="99"/>
      <c r="AN35" s="98"/>
      <c r="AO35" s="99"/>
      <c r="AP35" s="98"/>
      <c r="AQ35" s="99"/>
      <c r="AR35" s="98"/>
      <c r="AS35" s="99"/>
      <c r="AT35" s="98"/>
      <c r="AU35" s="99"/>
    </row>
    <row r="36" customFormat="false" ht="12.75" hidden="false" customHeight="false" outlineLevel="0" collapsed="false">
      <c r="A36" s="103" t="s">
        <v>89</v>
      </c>
      <c r="C36" s="104" t="n">
        <f aca="false">AVERAGE(C4:C34)</f>
        <v>3.8315</v>
      </c>
      <c r="D36" s="104" t="e">
        <f aca="false">AVERAGE(D4:D34)</f>
        <v>#DIV/0!</v>
      </c>
      <c r="E36" s="105"/>
      <c r="F36" s="104" t="e">
        <f aca="false">AVERAGE(F4:F34)</f>
        <v>#DIV/0!</v>
      </c>
      <c r="G36" s="105"/>
      <c r="H36" s="104" t="n">
        <f aca="false">AVERAGE(H4:H34)</f>
        <v>0</v>
      </c>
      <c r="I36" s="105"/>
      <c r="J36" s="104" t="n">
        <f aca="false">AVERAGE(J4:J34)</f>
        <v>-0.06</v>
      </c>
      <c r="K36" s="105"/>
      <c r="L36" s="104" t="n">
        <f aca="false">AVERAGE(L4:L34)</f>
        <v>0</v>
      </c>
      <c r="M36" s="105"/>
      <c r="N36" s="104" t="n">
        <f aca="false">AVERAGE(N4:N34)</f>
        <v>1.8125</v>
      </c>
      <c r="O36" s="105"/>
      <c r="P36" s="104" t="e">
        <f aca="false">AVERAGE(P4:P34)</f>
        <v>#DIV/0!</v>
      </c>
      <c r="Q36" s="105"/>
      <c r="R36" s="104" t="n">
        <f aca="false">AVERAGE(R4:R34)</f>
        <v>3.72048387096774</v>
      </c>
      <c r="S36" s="105"/>
      <c r="T36" s="104" t="n">
        <f aca="false">AVERAGE(T4:T34)</f>
        <v>0</v>
      </c>
      <c r="U36" s="105"/>
      <c r="V36" s="104" t="n">
        <f aca="false">AVERAGE(V4:V34)</f>
        <v>3.6308064516129</v>
      </c>
      <c r="W36" s="105"/>
      <c r="X36" s="104" t="n">
        <f aca="false">AVERAGE(X4:X34)</f>
        <v>-0.125</v>
      </c>
      <c r="Y36" s="105"/>
      <c r="Z36" s="104" t="n">
        <f aca="false">AVERAGE(Z4:Z34)</f>
        <v>0</v>
      </c>
      <c r="AA36" s="105"/>
      <c r="AB36" s="104" t="n">
        <f aca="false">AVERAGE(AB4:AB34)</f>
        <v>0</v>
      </c>
      <c r="AC36" s="105"/>
      <c r="AD36" s="104" t="n">
        <f aca="false">AVERAGE(AD4:AD34)</f>
        <v>0</v>
      </c>
      <c r="AE36" s="105"/>
      <c r="AF36" s="104" t="n">
        <f aca="false">AVERAGE(AF4:AF34)</f>
        <v>3.74983870967742</v>
      </c>
      <c r="AG36" s="105"/>
      <c r="AH36" s="104" t="n">
        <f aca="false">AVERAGE(AH4:AH34)</f>
        <v>0</v>
      </c>
      <c r="AI36" s="105"/>
      <c r="AJ36" s="104" t="n">
        <f aca="false">AVERAGE(AJ4:AJ34)</f>
        <v>0</v>
      </c>
      <c r="AK36" s="105"/>
      <c r="AL36" s="104" t="n">
        <f aca="false">AVERAGE(AL4:AL34)</f>
        <v>0</v>
      </c>
      <c r="AM36" s="105"/>
      <c r="AN36" s="104" t="e">
        <f aca="false">AVERAGE(AN4:AN34)</f>
        <v>#DIV/0!</v>
      </c>
      <c r="AO36" s="105"/>
      <c r="AP36" s="104" t="e">
        <f aca="false">AVERAGE(AP4:AP34)</f>
        <v>#DIV/0!</v>
      </c>
      <c r="AQ36" s="105"/>
      <c r="AR36" s="104" t="e">
        <f aca="false">AVERAGE(AR4:AR34)</f>
        <v>#DIV/0!</v>
      </c>
      <c r="AS36" s="105"/>
      <c r="AT36" s="104" t="n">
        <f aca="false">AVERAGE(AT4:AT34)</f>
        <v>0</v>
      </c>
      <c r="AU36" s="105"/>
    </row>
    <row r="37" customFormat="false" ht="12.75" hidden="false" customHeight="false" outlineLevel="0" collapsed="false">
      <c r="A37" s="106" t="s">
        <v>90</v>
      </c>
      <c r="C37" s="104" t="n">
        <f aca="false">+C36-(+$C$36)</f>
        <v>0</v>
      </c>
      <c r="D37" s="104" t="e">
        <f aca="false">+D36-(+$C$36)</f>
        <v>#DIV/0!</v>
      </c>
      <c r="E37" s="105"/>
      <c r="F37" s="104" t="e">
        <f aca="false">+F36-(+$C$36)</f>
        <v>#DIV/0!</v>
      </c>
      <c r="G37" s="105"/>
      <c r="H37" s="104" t="n">
        <f aca="false">+H36-(+$C$36)</f>
        <v>-3.8315</v>
      </c>
      <c r="I37" s="105"/>
      <c r="J37" s="104" t="n">
        <f aca="false">+J36-(+$C$36)</f>
        <v>-3.8915</v>
      </c>
      <c r="K37" s="105"/>
      <c r="L37" s="104" t="n">
        <f aca="false">+L36-(+$C$36)</f>
        <v>-3.8315</v>
      </c>
      <c r="M37" s="105"/>
      <c r="N37" s="104" t="n">
        <f aca="false">+N36-(+$C$36)</f>
        <v>-2.019</v>
      </c>
      <c r="O37" s="105"/>
      <c r="P37" s="104" t="e">
        <f aca="false">+P36-(+$C$36)</f>
        <v>#DIV/0!</v>
      </c>
      <c r="Q37" s="105"/>
      <c r="R37" s="104" t="n">
        <f aca="false">+R36-(+$C$36)</f>
        <v>-0.111016129032258</v>
      </c>
      <c r="S37" s="105"/>
      <c r="T37" s="104" t="n">
        <f aca="false">+T36-(+$C$36)</f>
        <v>-3.8315</v>
      </c>
      <c r="U37" s="105"/>
      <c r="V37" s="104" t="n">
        <f aca="false">+V36-(+$C$36)</f>
        <v>-0.200693548387097</v>
      </c>
      <c r="W37" s="105"/>
      <c r="X37" s="104" t="n">
        <f aca="false">+X36-(+$C$36)</f>
        <v>-3.9565</v>
      </c>
      <c r="Y37" s="105"/>
      <c r="Z37" s="104" t="n">
        <f aca="false">+Z36-(+$C$36)</f>
        <v>-3.8315</v>
      </c>
      <c r="AA37" s="105"/>
      <c r="AB37" s="104" t="n">
        <f aca="false">+AB36-(+$C$36)</f>
        <v>-3.8315</v>
      </c>
      <c r="AC37" s="105"/>
      <c r="AD37" s="104" t="n">
        <f aca="false">+AD36-(+$C$36)</f>
        <v>-3.8315</v>
      </c>
      <c r="AE37" s="105"/>
      <c r="AF37" s="104" t="n">
        <f aca="false">+AF36-(+$C$36)</f>
        <v>-0.0816612903225802</v>
      </c>
      <c r="AG37" s="105"/>
      <c r="AH37" s="104" t="n">
        <f aca="false">+AH36-(+$C$36)</f>
        <v>-3.8315</v>
      </c>
      <c r="AI37" s="105"/>
      <c r="AJ37" s="104" t="n">
        <f aca="false">+AJ36-(+$C$36)</f>
        <v>-3.8315</v>
      </c>
      <c r="AK37" s="105"/>
      <c r="AL37" s="104" t="n">
        <f aca="false">+AL36-(+$C$36)</f>
        <v>-3.8315</v>
      </c>
      <c r="AM37" s="105"/>
      <c r="AN37" s="104" t="e">
        <f aca="false">+AN36-(+$C$36)</f>
        <v>#DIV/0!</v>
      </c>
      <c r="AO37" s="105"/>
      <c r="AP37" s="104" t="e">
        <f aca="false">+AP36-(+$C$36)</f>
        <v>#DIV/0!</v>
      </c>
      <c r="AQ37" s="105"/>
      <c r="AR37" s="104" t="e">
        <f aca="false">+AR36-(+$C$36)</f>
        <v>#DIV/0!</v>
      </c>
      <c r="AS37" s="105"/>
      <c r="AT37" s="104" t="n">
        <f aca="false">+AT36-(+$C$36)</f>
        <v>-3.8315</v>
      </c>
      <c r="AU37" s="105"/>
    </row>
    <row r="38" customFormat="false" ht="12.75" hidden="false" customHeight="false" outlineLevel="0" collapsed="false">
      <c r="A38" s="106" t="s">
        <v>91</v>
      </c>
      <c r="C38" s="104" t="n">
        <f aca="false">-C4+C36</f>
        <v>0.1015</v>
      </c>
      <c r="D38" s="104" t="e">
        <f aca="false">-D4+D36</f>
        <v>#DIV/0!</v>
      </c>
      <c r="E38" s="105"/>
      <c r="F38" s="104" t="e">
        <f aca="false">-F4+F36</f>
        <v>#DIV/0!</v>
      </c>
      <c r="G38" s="105"/>
      <c r="H38" s="104" t="n">
        <f aca="false">-H4+H36</f>
        <v>0</v>
      </c>
      <c r="I38" s="105"/>
      <c r="J38" s="104" t="n">
        <f aca="false">-J4+J36</f>
        <v>-0.06</v>
      </c>
      <c r="K38" s="105"/>
      <c r="L38" s="104" t="n">
        <f aca="false">-L4+L36</f>
        <v>0</v>
      </c>
      <c r="M38" s="105"/>
      <c r="N38" s="104" t="n">
        <f aca="false">-N4+N36</f>
        <v>1.8125</v>
      </c>
      <c r="O38" s="105"/>
      <c r="P38" s="104" t="e">
        <f aca="false">-P4+P36</f>
        <v>#DIV/0!</v>
      </c>
      <c r="Q38" s="105"/>
      <c r="R38" s="104" t="n">
        <f aca="false">-R4+R36</f>
        <v>-0.109516129032258</v>
      </c>
      <c r="S38" s="105"/>
      <c r="T38" s="104" t="n">
        <f aca="false">-T4+T36</f>
        <v>0</v>
      </c>
      <c r="U38" s="105"/>
      <c r="V38" s="104" t="n">
        <f aca="false">-V4+V36</f>
        <v>0.000806451612902936</v>
      </c>
      <c r="W38" s="105"/>
      <c r="X38" s="104" t="n">
        <f aca="false">-X4+X36</f>
        <v>-0.125</v>
      </c>
      <c r="Y38" s="105"/>
      <c r="Z38" s="104" t="n">
        <f aca="false">-Z4+Z36</f>
        <v>0</v>
      </c>
      <c r="AA38" s="105"/>
      <c r="AB38" s="104" t="n">
        <f aca="false">-AB4+AB36</f>
        <v>0</v>
      </c>
      <c r="AC38" s="105"/>
      <c r="AD38" s="104" t="n">
        <f aca="false">-AD4+AD36</f>
        <v>0</v>
      </c>
      <c r="AE38" s="105"/>
      <c r="AF38" s="104" t="n">
        <f aca="false">-AF4+AF36</f>
        <v>-0.0801612903225806</v>
      </c>
      <c r="AG38" s="105"/>
      <c r="AH38" s="104" t="n">
        <f aca="false">-AH4+AH36</f>
        <v>0</v>
      </c>
      <c r="AI38" s="105"/>
      <c r="AJ38" s="104" t="n">
        <f aca="false">-AJ4+AJ36</f>
        <v>0</v>
      </c>
      <c r="AK38" s="105"/>
      <c r="AL38" s="104" t="n">
        <f aca="false">-AL4+AL36</f>
        <v>0</v>
      </c>
      <c r="AM38" s="105"/>
      <c r="AN38" s="104" t="e">
        <f aca="false">-AN4+AN36</f>
        <v>#DIV/0!</v>
      </c>
      <c r="AO38" s="105"/>
      <c r="AP38" s="104" t="e">
        <f aca="false">-AP4+AP36</f>
        <v>#DIV/0!</v>
      </c>
      <c r="AQ38" s="105"/>
      <c r="AR38" s="104" t="e">
        <f aca="false">-AR4+AR36</f>
        <v>#DIV/0!</v>
      </c>
      <c r="AS38" s="105"/>
      <c r="AT38" s="104" t="n">
        <f aca="false">-AT4+AT36</f>
        <v>0</v>
      </c>
      <c r="AU38" s="105"/>
    </row>
    <row r="39" customFormat="false" ht="12.75" hidden="false" customHeight="false" outlineLevel="0" collapsed="false">
      <c r="A39" s="107" t="s">
        <v>92</v>
      </c>
      <c r="C39" s="108" t="n">
        <f aca="true">((INDIRECT(C$56&amp;ROW(C$4)-1+COUNTA(C$4:C$34)))+(INDIRECT(C$56&amp;ROW(C$4)-2+COUNTA(C$4:C$34)))+(INDIRECT(C$56&amp;ROW(C$4)-3+COUNTA(C$4:C$34))))/3</f>
        <v>3.835</v>
      </c>
      <c r="D39" s="108" t="e">
        <f aca="true">((INDIRECT(D$56&amp;ROW(D$4)-1+COUNTA(D$4:D$34)))+(INDIRECT(D$56&amp;ROW(D$4)-2+COUNTA(D$4:D$34)))+(INDIRECT(D$56&amp;ROW(D$4)-3+COUNTA(D$4:D$34))))/3</f>
        <v>#VALUE!</v>
      </c>
      <c r="E39" s="105"/>
      <c r="F39" s="108" t="e">
        <f aca="true">((INDIRECT(F$56&amp;ROW(F$4)-1+COUNTA(F$4:F$34)))+(INDIRECT(F$56&amp;ROW(F$4)-2+COUNTA(F$4:F$34)))+(INDIRECT(F$56&amp;ROW(F$4)-3+COUNTA(F$4:F$34))))/3</f>
        <v>#VALUE!</v>
      </c>
      <c r="G39" s="105"/>
      <c r="H39" s="108" t="n">
        <f aca="true">((INDIRECT(F$56&amp;ROW(H$4)-1+COUNTA(H$4:H$34)))+(INDIRECT(F$56&amp;ROW(H$4)-2+COUNTA(H$4:H$34)))+(INDIRECT(F$56&amp;ROW(H$4)-3+COUNTA(H$4:H$34))))/3</f>
        <v>0</v>
      </c>
      <c r="I39" s="105"/>
      <c r="J39" s="108" t="e">
        <f aca="true">((INDIRECT(J$56&amp;ROW(J$4)-1+COUNTA(J$4:J$34)))+(INDIRECT(J$56&amp;ROW(J$4)-2+COUNTA(J$4:J$34)))+(INDIRECT(J$56&amp;ROW(J$4)-3+COUNTA(J$4:J$34))))/3</f>
        <v>#VALUE!</v>
      </c>
      <c r="K39" s="105"/>
      <c r="L39" s="108" t="e">
        <f aca="true">((INDIRECT(J$56&amp;ROW(N$4)-1+COUNTA(L$4:L$34)))+(INDIRECT(J$56&amp;ROW(N$4)-2+COUNTA(L$4:L$34)))+(INDIRECT(J$56&amp;ROW(N$4)-3+COUNTA(L$4:L$34))))/3</f>
        <v>#VALUE!</v>
      </c>
      <c r="M39" s="105"/>
      <c r="N39" s="108" t="n">
        <f aca="true">((INDIRECT(J$56&amp;ROW(N$4)-1+COUNTA(N$4:N$34)))+(INDIRECT(J$56&amp;ROW(N$4)-2+COUNTA(N$4:N$34)))+(INDIRECT(J$56&amp;ROW(N$4)-3+COUNTA(N$4:N$34))))/3</f>
        <v>0</v>
      </c>
      <c r="O39" s="105"/>
      <c r="P39" s="108" t="e">
        <f aca="true">((INDIRECT(N$56&amp;ROW(R$4)-1+COUNTA(P$4:P$34)))+(INDIRECT(N$56&amp;ROW(R$4)-2+COUNTA(P$4:P$34)))+(INDIRECT(N$56&amp;ROW(R$4)-3+COUNTA(P$4:P$34))))/3</f>
        <v>#VALUE!</v>
      </c>
      <c r="Q39" s="105"/>
      <c r="R39" s="108" t="n">
        <f aca="true">((INDIRECT(R$56&amp;ROW(R$4)-1+COUNTA(R$4:R$34)))+(INDIRECT(R$56&amp;ROW(R$4)-2+COUNTA(R$4:R$34)))+(INDIRECT(R$56&amp;ROW(R$4)-3+COUNTA(R$4:R$34))))/3</f>
        <v>0</v>
      </c>
      <c r="S39" s="105"/>
      <c r="T39" s="108" t="e">
        <f aca="true">((INDIRECT(R$56&amp;ROW(V$4)-1+COUNTA(T$4:T$34)))+(INDIRECT(R$56&amp;ROW(V$4)-2+COUNTA(T$4:T$34)))+(INDIRECT(R$56&amp;ROW(V$4)-3+COUNTA(T$4:T$34))))/3</f>
        <v>#VALUE!</v>
      </c>
      <c r="U39" s="105"/>
      <c r="V39" s="108" t="n">
        <f aca="true">((INDIRECT(V$56&amp;ROW(V$4)-1+COUNTA(V$4:V$34)))+(INDIRECT(V$56&amp;ROW(V$4)-2+COUNTA(V$4:V$34)))+(INDIRECT(V$56&amp;ROW(V$4)-3+COUNTA(V$4:V$34))))/3</f>
        <v>1.20833333333333</v>
      </c>
      <c r="W39" s="105"/>
      <c r="X39" s="108" t="e">
        <f aca="true">((INDIRECT(V$56&amp;ROW(Z$4)-1+COUNTA(X$4:X$34)))+(INDIRECT(V$56&amp;ROW(Z$4)-2+COUNTA(X$4:X$34)))+(INDIRECT(V$56&amp;ROW(Z$4)-3+COUNTA(X$4:X$34))))/3</f>
        <v>#VALUE!</v>
      </c>
      <c r="Y39" s="105"/>
      <c r="Z39" s="108" t="n">
        <f aca="true">((INDIRECT(Z$56&amp;ROW(Z$4)-1+COUNTA(Z$4:Z$34)))+(INDIRECT(Z$56&amp;ROW(Z$4)-2+COUNTA(Z$4:Z$34)))+(INDIRECT(Z$56&amp;ROW(Z$4)-3+COUNTA(Z$4:Z$34))))/3</f>
        <v>0</v>
      </c>
      <c r="AA39" s="105"/>
      <c r="AB39" s="108" t="e">
        <f aca="true">((INDIRECT(Z$56&amp;ROW(AD$4)-1+COUNTA(AB$4:AB$34)))+(INDIRECT(Z$56&amp;ROW(AD$4)-2+COUNTA(AB$4:AB$34)))+(INDIRECT(Z$56&amp;ROW(AD$4)-3+COUNTA(AB$4:AB$34))))/3</f>
        <v>#VALUE!</v>
      </c>
      <c r="AC39" s="105"/>
      <c r="AD39" s="108" t="n">
        <f aca="true">((INDIRECT(AD$56&amp;ROW(AD$4)-1+COUNTA(AD$4:AD$34)))+(INDIRECT(AD$56&amp;ROW(AD$4)-2+COUNTA(AD$4:AD$34)))+(INDIRECT(AD$56&amp;ROW(AD$4)-3+COUNTA(AD$4:AD$34))))/3</f>
        <v>2.52333333333333</v>
      </c>
      <c r="AE39" s="105"/>
      <c r="AF39" s="108" t="n">
        <f aca="true">((INDIRECT(AD$56&amp;ROW(AH$4)-1+COUNTA(AF$4:AF$34)))+(INDIRECT(AD$56&amp;ROW(AH$4)-2+COUNTA(AF$4:AF$34)))+(INDIRECT(AD$56&amp;ROW(AH$4)-3+COUNTA(AF$4:AF$34))))/3</f>
        <v>2.56333333333333</v>
      </c>
      <c r="AG39" s="105"/>
      <c r="AH39" s="108" t="n">
        <f aca="true">((INDIRECT(AH$56&amp;ROW(AH$4)-1+COUNTA(AH$4:AH$34)))+(INDIRECT(AH$56&amp;ROW(AH$4)-2+COUNTA(AH$4:AH$34)))+(INDIRECT(AH$56&amp;ROW(AH$4)-3+COUNTA(AH$4:AH$34))))/3</f>
        <v>0</v>
      </c>
      <c r="AI39" s="105"/>
      <c r="AJ39" s="108" t="n">
        <f aca="true">((INDIRECT(AH$56&amp;ROW(AL$4)-1+COUNTA(AJ$4:AJ$34)))+(INDIRECT(AH$56&amp;ROW(AL$4)-2+COUNTA(AJ$4:AJ$34)))+(INDIRECT(AH$56&amp;ROW(AL$4)-3+COUNTA(AJ$4:AJ$34))))/3</f>
        <v>0</v>
      </c>
      <c r="AK39" s="105"/>
      <c r="AL39" s="108" t="n">
        <f aca="true">((INDIRECT(AL$56&amp;ROW(AL$4)-1+COUNTA(AL$4:AL$34)))+(INDIRECT(AL$56&amp;ROW(AL$4)-2+COUNTA(AL$4:AL$34)))+(INDIRECT(AL$56&amp;ROW(AL$4)-3+COUNTA(AL$4:AL$34))))/3</f>
        <v>3.71833333333333</v>
      </c>
      <c r="AM39" s="105"/>
      <c r="AN39" s="108" t="e">
        <f aca="true">((INDIRECT(AN$56&amp;ROW(AN$4)-1+COUNTA(AN$4:AN$34)))+(INDIRECT(AN$56&amp;ROW(AN$4)-2+COUNTA(AN$4:AN$34)))+(INDIRECT(AN$56&amp;ROW(AN$4)-3+COUNTA(AN$4:AN$34))))/3</f>
        <v>#VALUE!</v>
      </c>
      <c r="AO39" s="105"/>
      <c r="AP39" s="108" t="e">
        <f aca="true">((INDIRECT(AP$56&amp;ROW(AP$4)-1+COUNTA(AP$4:AP$34)))+(INDIRECT(AP$56&amp;ROW(AP$4)-2+COUNTA(AP$4:AP$34)))+(INDIRECT(AP$56&amp;ROW(AP$4)-3+COUNTA(AP$4:AP$34))))/3</f>
        <v>#VALUE!</v>
      </c>
      <c r="AQ39" s="105"/>
      <c r="AR39" s="108" t="e">
        <f aca="true">((INDIRECT(AR$56&amp;ROW(AR$4)-1+COUNTA(AR$4:AR$34)))+(INDIRECT(AR$56&amp;ROW(AR$4)-2+COUNTA(AR$4:AR$34)))+(INDIRECT(AR$56&amp;ROW(AR$4)-3+COUNTA(AR$4:AR$34))))/3</f>
        <v>#VALUE!</v>
      </c>
      <c r="AS39" s="105"/>
      <c r="AT39" s="108" t="n">
        <f aca="true">((INDIRECT(AT$56&amp;ROW(AT$4)-1+COUNTA(AT$4:AT$34)))+(INDIRECT(AT$56&amp;ROW(AT$4)-2+COUNTA(AT$4:AT$34)))+(INDIRECT(AT$56&amp;ROW(AT$4)-3+COUNTA(AT$4:AT$34))))/3</f>
        <v>2.46666666666667</v>
      </c>
      <c r="AU39" s="105"/>
    </row>
    <row r="40" customFormat="false" ht="12.75" hidden="false" customHeight="false" outlineLevel="0" collapsed="false">
      <c r="A40" s="107" t="s">
        <v>93</v>
      </c>
      <c r="C40" s="108" t="n">
        <f aca="true">((INDIRECT(C$56&amp;ROW(C$4)-1+COUNTA(C$4:C$34)))+(INDIRECT(C$56&amp;ROW(C$4)-2+COUNTA(C$4:C$34)))+(INDIRECT(C$56&amp;ROW(C$4)-3+COUNTA(C$4:C$34)))+(INDIRECT(C$56&amp;ROW(C$4)-4+COUNTA(C$4:C$34)))+(INDIRECT(C$56&amp;ROW(C$4)-5+COUNTA(C$4:C$34))))/5</f>
        <v>3.835</v>
      </c>
      <c r="D40" s="108" t="e">
        <f aca="true">((INDIRECT(D$56&amp;ROW(D$4)-1+COUNTA(D$4:D$34)))+(INDIRECT(D$56&amp;ROW(D$4)-2+COUNTA(D$4:D$34)))+(INDIRECT(D$56&amp;ROW(D$4)-3+COUNTA(D$4:D$34)))+(INDIRECT(D$56&amp;ROW(D$4)-4+COUNTA(D$4:D$34)))+(INDIRECT(D$56&amp;ROW(D$4)-5+COUNTA(D$4:D$34))))/5</f>
        <v>#REF!</v>
      </c>
      <c r="E40" s="105"/>
      <c r="F40" s="108" t="e">
        <f aca="true">((INDIRECT(F$56&amp;ROW(F$4)-1+COUNTA(F$4:F$34)))+(INDIRECT(F$56&amp;ROW(F$4)-2+COUNTA(F$4:F$34)))+(INDIRECT(F$56&amp;ROW(F$4)-3+COUNTA(F$4:F$34)))+(INDIRECT(F$56&amp;ROW(F$4)-4+COUNTA(F$4:F$34)))+(INDIRECT(F$56&amp;ROW(F$4)-5+COUNTA(F$4:F$34))))/5</f>
        <v>#REF!</v>
      </c>
      <c r="G40" s="105"/>
      <c r="H40" s="108" t="e">
        <f aca="true">((INDIRECT(F$56&amp;ROW(H$4)-1+COUNTA(H$4:H$34)))+(INDIRECT(F$56&amp;ROW(H$4)-2+COUNTA(H$4:H$34)))+(INDIRECT(F$56&amp;ROW(H$4)-3+COUNTA(H$4:H$34)))+(INDIRECT(F$56&amp;ROW(H$4)-4+COUNTA(H$4:H$34)))+(INDIRECT(F$56&amp;ROW(H$4)-5+COUNTA(H$4:H$34))))/5</f>
        <v>#VALUE!</v>
      </c>
      <c r="I40" s="105"/>
      <c r="J40" s="108" t="e">
        <f aca="true">((INDIRECT(J$56&amp;ROW(J$4)-1+COUNTA(J$4:J$34)))+(INDIRECT(J$56&amp;ROW(J$4)-2+COUNTA(J$4:J$34)))+(INDIRECT(J$56&amp;ROW(J$4)-3+COUNTA(J$4:J$34)))+(INDIRECT(J$56&amp;ROW(J$4)-4+COUNTA(J$4:J$34)))+(INDIRECT(J$56&amp;ROW(J$4)-5+COUNTA(J$4:J$34))))/5</f>
        <v>#REF!</v>
      </c>
      <c r="K40" s="105"/>
      <c r="L40" s="108" t="e">
        <f aca="true">((INDIRECT(J$56&amp;ROW(N$4)-1+COUNTA(L$4:L$34)))+(INDIRECT(J$56&amp;ROW(N$4)-2+COUNTA(L$4:L$34)))+(INDIRECT(J$56&amp;ROW(N$4)-3+COUNTA(L$4:L$34)))+(INDIRECT(J$56&amp;ROW(N$4)-4+COUNTA(L$4:L$34)))+(INDIRECT(J$56&amp;ROW(N$4)-5+COUNTA(L$4:L$34))))/5</f>
        <v>#REF!</v>
      </c>
      <c r="M40" s="105"/>
      <c r="N40" s="108" t="e">
        <f aca="true">((INDIRECT(J$56&amp;ROW(N$4)-1+COUNTA(N$4:N$34)))+(INDIRECT(J$56&amp;ROW(N$4)-2+COUNTA(N$4:N$34)))+(INDIRECT(J$56&amp;ROW(N$4)-3+COUNTA(N$4:N$34)))+(INDIRECT(J$56&amp;ROW(N$4)-4+COUNTA(N$4:N$34)))+(INDIRECT(J$56&amp;ROW(N$4)-5+COUNTA(N$4:N$34))))/5</f>
        <v>#VALUE!</v>
      </c>
      <c r="O40" s="105"/>
      <c r="P40" s="108" t="e">
        <f aca="true">((INDIRECT(N$56&amp;ROW(R$4)-1+COUNTA(P$4:P$34)))+(INDIRECT(N$56&amp;ROW(R$4)-2+COUNTA(P$4:P$34)))+(INDIRECT(N$56&amp;ROW(R$4)-3+COUNTA(P$4:P$34)))+(INDIRECT(N$56&amp;ROW(R$4)-4+COUNTA(P$4:P$34)))+(INDIRECT(N$56&amp;ROW(R$4)-5+COUNTA(P$4:P$34))))/5</f>
        <v>#REF!</v>
      </c>
      <c r="Q40" s="105"/>
      <c r="R40" s="108" t="n">
        <f aca="true">((INDIRECT(R$56&amp;ROW(R$4)-1+COUNTA(R$4:R$34)))+(INDIRECT(R$56&amp;ROW(R$4)-2+COUNTA(R$4:R$34)))+(INDIRECT(R$56&amp;ROW(R$4)-3+COUNTA(R$4:R$34)))+(INDIRECT(R$56&amp;ROW(R$4)-4+COUNTA(R$4:R$34)))+(INDIRECT(R$56&amp;ROW(R$4)-5+COUNTA(R$4:R$34))))/5</f>
        <v>0</v>
      </c>
      <c r="S40" s="105"/>
      <c r="T40" s="108" t="e">
        <f aca="true">((INDIRECT(R$56&amp;ROW(V$4)-1+COUNTA(T$4:T$34)))+(INDIRECT(R$56&amp;ROW(V$4)-2+COUNTA(T$4:T$34)))+(INDIRECT(R$56&amp;ROW(V$4)-3+COUNTA(T$4:T$34)))+(INDIRECT(R$56&amp;ROW(V$4)-4+COUNTA(T$4:T$34)))+(INDIRECT(R$56&amp;ROW(V$4)-5+COUNTA(T$4:T$34))))/5</f>
        <v>#REF!</v>
      </c>
      <c r="U40" s="105"/>
      <c r="V40" s="108" t="n">
        <f aca="true">((INDIRECT(V$56&amp;ROW(V$4)-1+COUNTA(V$4:V$34)))+(INDIRECT(V$56&amp;ROW(V$4)-2+COUNTA(V$4:V$34)))+(INDIRECT(V$56&amp;ROW(V$4)-3+COUNTA(V$4:V$34)))+(INDIRECT(V$56&amp;ROW(V$4)-4+COUNTA(V$4:V$34)))+(INDIRECT(V$56&amp;ROW(V$4)-5+COUNTA(V$4:V$34))))/5</f>
        <v>0.725</v>
      </c>
      <c r="W40" s="105"/>
      <c r="X40" s="108" t="e">
        <f aca="true">((INDIRECT(V$56&amp;ROW(Z$4)-1+COUNTA(X$4:X$34)))+(INDIRECT(V$56&amp;ROW(Z$4)-2+COUNTA(X$4:X$34)))+(INDIRECT(V$56&amp;ROW(Z$4)-3+COUNTA(X$4:X$34)))+(INDIRECT(V$56&amp;ROW(Z$4)-4+COUNTA(X$4:X$34)))+(INDIRECT(V$56&amp;ROW(Z$4)-5+COUNTA(X$4:X$34))))/5</f>
        <v>#REF!</v>
      </c>
      <c r="Y40" s="105"/>
      <c r="Z40" s="108" t="e">
        <f aca="true">((INDIRECT(Z$56&amp;ROW(Z$4)-1+COUNTA(Z$4:Z$34)))+(INDIRECT(Z$56&amp;ROW(Z$4)-2+COUNTA(Z$4:Z$34)))+(INDIRECT(Z$56&amp;ROW(Z$4)-3+COUNTA(Z$4:Z$34)))+(INDIRECT(Z$56&amp;ROW(Z$4)-4+COUNTA(Z$4:Z$34)))+(INDIRECT(Z$56&amp;ROW(Z$4)-5+COUNTA(Z$4:Z$34))))/5</f>
        <v>#VALUE!</v>
      </c>
      <c r="AA40" s="105"/>
      <c r="AB40" s="108" t="e">
        <f aca="true">((INDIRECT(Z$56&amp;ROW(AD$4)-1+COUNTA(AB$4:AB$34)))+(INDIRECT(Z$56&amp;ROW(AD$4)-2+COUNTA(AB$4:AB$34)))+(INDIRECT(Z$56&amp;ROW(AD$4)-3+COUNTA(AB$4:AB$34)))+(INDIRECT(Z$56&amp;ROW(AD$4)-4+COUNTA(AB$4:AB$34)))+(INDIRECT(Z$56&amp;ROW(AD$4)-5+COUNTA(AB$4:AB$34))))/5</f>
        <v>#REF!</v>
      </c>
      <c r="AC40" s="105"/>
      <c r="AD40" s="108" t="e">
        <f aca="true">((INDIRECT(AD$56&amp;ROW(AD$4)-1+COUNTA(AD$4:AD$34)))+(INDIRECT(AD$56&amp;ROW(AD$4)-2+COUNTA(AD$4:AD$34)))+(INDIRECT(AD$56&amp;ROW(AD$4)-3+COUNTA(AD$4:AD$34)))+(INDIRECT(AD$56&amp;ROW(AD$4)-4+COUNTA(AD$4:AD$34)))+(INDIRECT(AD$56&amp;ROW(AD$4)-5+COUNTA(AD$4:AD$34))))/5</f>
        <v>#REF!</v>
      </c>
      <c r="AE40" s="105"/>
      <c r="AF40" s="108" t="n">
        <f aca="true">((INDIRECT(AD$56&amp;ROW(AH$4)-1+COUNTA(AF$4:AF$34)))+(INDIRECT(AD$56&amp;ROW(AH$4)-2+COUNTA(AF$4:AF$34)))+(INDIRECT(AD$56&amp;ROW(AH$4)-3+COUNTA(AF$4:AF$34)))+(INDIRECT(AD$56&amp;ROW(AH$4)-4+COUNTA(AF$4:AF$34)))+(INDIRECT(AD$56&amp;ROW(AH$4)-5+COUNTA(AF$4:AF$34))))/5</f>
        <v>3.076</v>
      </c>
      <c r="AG40" s="105"/>
      <c r="AH40" s="108" t="e">
        <f aca="true">((INDIRECT(AH$56&amp;ROW(AH$4)-1+COUNTA(AH$4:AH$34)))+(INDIRECT(AH$56&amp;ROW(AH$4)-2+COUNTA(AH$4:AH$34)))+(INDIRECT(AH$56&amp;ROW(AH$4)-3+COUNTA(AH$4:AH$34)))+(INDIRECT(AH$56&amp;ROW(AH$4)-4+COUNTA(AH$4:AH$34)))+(INDIRECT(AH$56&amp;ROW(AH$4)-5+COUNTA(AH$4:AH$34))))/5</f>
        <v>#REF!</v>
      </c>
      <c r="AI40" s="105"/>
      <c r="AJ40" s="108" t="e">
        <f aca="true">((INDIRECT(AH$56&amp;ROW(AL$4)-1+COUNTA(AJ$4:AJ$34)))+(INDIRECT(AH$56&amp;ROW(AL$4)-2+COUNTA(AJ$4:AJ$34)))+(INDIRECT(AH$56&amp;ROW(AL$4)-3+COUNTA(AJ$4:AJ$34)))+(INDIRECT(AH$56&amp;ROW(AL$4)-4+COUNTA(AJ$4:AJ$34)))+(INDIRECT(AH$56&amp;ROW(AL$4)-5+COUNTA(AJ$4:AJ$34))))/5</f>
        <v>#REF!</v>
      </c>
      <c r="AK40" s="105"/>
      <c r="AL40" s="108" t="e">
        <f aca="true">((INDIRECT(AL$56&amp;ROW(AL$4)-1+COUNTA(AL$4:AL$34)))+(INDIRECT(AL$56&amp;ROW(AL$4)-2+COUNTA(AL$4:AL$34)))+(INDIRECT(AL$56&amp;ROW(AL$4)-3+COUNTA(AL$4:AL$34)))+(INDIRECT(AL$56&amp;ROW(AL$4)-4+COUNTA(AL$4:AL$34)))+(INDIRECT(AL$56&amp;ROW(AL$4)-5+COUNTA(AL$4:AL$34))))/5</f>
        <v>#VALUE!</v>
      </c>
      <c r="AM40" s="105"/>
      <c r="AN40" s="108" t="e">
        <f aca="true">((INDIRECT(AN$56&amp;ROW(AN$4)-1+COUNTA(AN$4:AN$34)))+(INDIRECT(AN$56&amp;ROW(AN$4)-2+COUNTA(AN$4:AN$34)))+(INDIRECT(AN$56&amp;ROW(AN$4)-3+COUNTA(AN$4:AN$34)))+(INDIRECT(AN$56&amp;ROW(AN$4)-4+COUNTA(AN$4:AN$34)))+(INDIRECT(AN$56&amp;ROW(AN$4)-5+COUNTA(AN$4:AN$34))))/5</f>
        <v>#REF!</v>
      </c>
      <c r="AO40" s="105"/>
      <c r="AP40" s="108" t="e">
        <f aca="true">((INDIRECT(AP$56&amp;ROW(AP$4)-1+COUNTA(AP$4:AP$34)))+(INDIRECT(AP$56&amp;ROW(AP$4)-2+COUNTA(AP$4:AP$34)))+(INDIRECT(AP$56&amp;ROW(AP$4)-3+COUNTA(AP$4:AP$34)))+(INDIRECT(AP$56&amp;ROW(AP$4)-4+COUNTA(AP$4:AP$34)))+(INDIRECT(AP$56&amp;ROW(AP$4)-5+COUNTA(AP$4:AP$34))))/5</f>
        <v>#REF!</v>
      </c>
      <c r="AQ40" s="105"/>
      <c r="AR40" s="108" t="e">
        <f aca="true">((INDIRECT(AR$56&amp;ROW(AR$4)-1+COUNTA(AR$4:AR$34)))+(INDIRECT(AR$56&amp;ROW(AR$4)-2+COUNTA(AR$4:AR$34)))+(INDIRECT(AR$56&amp;ROW(AR$4)-3+COUNTA(AR$4:AR$34)))+(INDIRECT(AR$56&amp;ROW(AR$4)-4+COUNTA(AR$4:AR$34)))+(INDIRECT(AR$56&amp;ROW(AR$4)-5+COUNTA(AR$4:AR$34))))/5</f>
        <v>#REF!</v>
      </c>
      <c r="AS40" s="105"/>
      <c r="AT40" s="108" t="e">
        <f aca="true">((INDIRECT(AT$56&amp;ROW(AT$4)-1+COUNTA(AT$4:AT$34)))+(INDIRECT(AT$56&amp;ROW(AT$4)-2+COUNTA(AT$4:AT$34)))+(INDIRECT(AT$56&amp;ROW(AT$4)-3+COUNTA(AT$4:AT$34)))+(INDIRECT(AT$56&amp;ROW(AT$4)-4+COUNTA(AT$4:AT$34)))+(INDIRECT(AT$56&amp;ROW(AT$4)-5+COUNTA(AT$4:AT$34))))/5</f>
        <v>#REF!</v>
      </c>
      <c r="AU40" s="105"/>
    </row>
    <row r="41" customFormat="false" ht="12.75" hidden="false" customHeight="false" outlineLevel="0" collapsed="false">
      <c r="A41" s="107" t="s">
        <v>94</v>
      </c>
      <c r="C41" s="108" t="n">
        <f aca="true">((INDIRECT(C$56&amp;ROW(C$4)-1+COUNTA(C$4:C$34)))+(INDIRECT(C$56&amp;ROW(C$4)-2+COUNTA(C$4:C$34)))+(INDIRECT(C$56&amp;ROW(C$4)-3+COUNTA(C$4:C$34)))+(INDIRECT(C$56&amp;ROW(C$4)-4+COUNTA(C$4:C$34)))+(INDIRECT(C$56&amp;ROW(C$4)-5+COUNTA(C$4:C$34)))+(INDIRECT(C$56&amp;ROW(C$4)-6+COUNTA(C$4:C$34)))+(INDIRECT(C$56&amp;ROW(C$4)-7+COUNTA(C$4:C$34))))/7</f>
        <v>3.835</v>
      </c>
      <c r="D41" s="108" t="e">
        <f aca="true">((INDIRECT(D$56&amp;ROW(D$4)-1+COUNTA(D$4:D$34)))+(INDIRECT(D$56&amp;ROW(D$4)-2+COUNTA(D$4:D$34)))+(INDIRECT(D$56&amp;ROW(D$4)-3+COUNTA(D$4:D$34)))+(INDIRECT(D$56&amp;ROW(D$4)-4+COUNTA(D$4:D$34)))+(INDIRECT(D$56&amp;ROW(D$4)-5+COUNTA(D$4:D$34)))+(INDIRECT(D$56&amp;ROW(D$4)-6+COUNTA(D$4:D$34)))+(INDIRECT(D$56&amp;ROW(D$4)-7+COUNTA(D$4:D$34))))/7</f>
        <v>#REF!</v>
      </c>
      <c r="E41" s="105"/>
      <c r="F41" s="108" t="e">
        <f aca="true">((INDIRECT(F$56&amp;ROW(F$4)-1+COUNTA(F$4:F$34)))+(INDIRECT(F$56&amp;ROW(F$4)-2+COUNTA(F$4:F$34)))+(INDIRECT(F$56&amp;ROW(F$4)-3+COUNTA(F$4:F$34)))+(INDIRECT(F$56&amp;ROW(F$4)-4+COUNTA(F$4:F$34)))+(INDIRECT(F$56&amp;ROW(F$4)-5+COUNTA(F$4:F$34)))+(INDIRECT(F$56&amp;ROW(F$4)-6+COUNTA(F$4:F$34)))+(INDIRECT(F$56&amp;ROW(F$4)-7+COUNTA(F$4:F$34))))/7</f>
        <v>#REF!</v>
      </c>
      <c r="G41" s="105"/>
      <c r="H41" s="108" t="e">
        <f aca="true">((INDIRECT(F$56&amp;ROW(H$4)-1+COUNTA(H$4:H$34)))+(INDIRECT(F$56&amp;ROW(H$4)-2+COUNTA(H$4:H$34)))+(INDIRECT(F$56&amp;ROW(H$4)-3+COUNTA(H$4:H$34)))+(INDIRECT(F$56&amp;ROW(H$4)-4+COUNTA(H$4:H$34)))+(INDIRECT(F$56&amp;ROW(H$4)-5+COUNTA(H$4:H$34)))+(INDIRECT(F$56&amp;ROW(H$4)-6+COUNTA(H$4:H$34)))+(INDIRECT(F$56&amp;ROW(H$4)-7+COUNTA(H$4:H$34))))/7</f>
        <v>#REF!</v>
      </c>
      <c r="I41" s="105"/>
      <c r="J41" s="108" t="e">
        <f aca="true">((INDIRECT(J$56&amp;ROW(J$4)-1+COUNTA(J$4:J$34)))+(INDIRECT(J$56&amp;ROW(J$4)-2+COUNTA(J$4:J$34)))+(INDIRECT(J$56&amp;ROW(J$4)-3+COUNTA(J$4:J$34)))+(INDIRECT(J$56&amp;ROW(J$4)-4+COUNTA(J$4:J$34)))+(INDIRECT(J$56&amp;ROW(J$4)-5+COUNTA(J$4:J$34)))+(INDIRECT(J$56&amp;ROW(J$4)-6+COUNTA(J$4:J$34)))+(INDIRECT(J$56&amp;ROW(J$4)-7+COUNTA(J$4:J$34))))/7</f>
        <v>#REF!</v>
      </c>
      <c r="K41" s="105"/>
      <c r="L41" s="108" t="e">
        <f aca="true">((INDIRECT(J$56&amp;ROW(N$4)-1+COUNTA(L$4:L$34)))+(INDIRECT(J$56&amp;ROW(N$4)-2+COUNTA(L$4:L$34)))+(INDIRECT(J$56&amp;ROW(N$4)-3+COUNTA(L$4:L$34)))+(INDIRECT(J$56&amp;ROW(N$4)-4+COUNTA(L$4:L$34)))+(INDIRECT(J$56&amp;ROW(N$4)-5+COUNTA(L$4:L$34)))+(INDIRECT(J$56&amp;ROW(N$4)-6+COUNTA(L$4:L$34)))+(INDIRECT(J$56&amp;ROW(N$4)-7+COUNTA(L$4:L$34))))/7</f>
        <v>#REF!</v>
      </c>
      <c r="M41" s="105"/>
      <c r="N41" s="108" t="e">
        <f aca="true">((INDIRECT(J$56&amp;ROW(N$4)-1+COUNTA(N$4:N$34)))+(INDIRECT(J$56&amp;ROW(N$4)-2+COUNTA(N$4:N$34)))+(INDIRECT(J$56&amp;ROW(N$4)-3+COUNTA(N$4:N$34)))+(INDIRECT(J$56&amp;ROW(N$4)-4+COUNTA(N$4:N$34)))+(INDIRECT(J$56&amp;ROW(N$4)-5+COUNTA(N$4:N$34)))+(INDIRECT(J$56&amp;ROW(N$4)-6+COUNTA(N$4:N$34)))+(INDIRECT(J$56&amp;ROW(N$4)-7+COUNTA(N$4:N$34))))/7</f>
        <v>#REF!</v>
      </c>
      <c r="O41" s="105"/>
      <c r="P41" s="108" t="e">
        <f aca="true">((INDIRECT(N$56&amp;ROW(R$4)-1+COUNTA(P$4:P$34)))+(INDIRECT(N$56&amp;ROW(R$4)-2+COUNTA(P$4:P$34)))+(INDIRECT(N$56&amp;ROW(R$4)-3+COUNTA(P$4:P$34)))+(INDIRECT(N$56&amp;ROW(R$4)-4+COUNTA(P$4:P$34)))+(INDIRECT(N$56&amp;ROW(R$4)-5+COUNTA(P$4:P$34)))+(INDIRECT(N$56&amp;ROW(R$4)-6+COUNTA(P$4:P$34)))+(INDIRECT(N$56&amp;ROW(R$4)-7+COUNTA(P$4:P$34))))/7</f>
        <v>#REF!</v>
      </c>
      <c r="Q41" s="105"/>
      <c r="R41" s="108" t="n">
        <f aca="true">((INDIRECT(R$56&amp;ROW(R$4)-1+COUNTA(R$4:R$34)))+(INDIRECT(R$56&amp;ROW(R$4)-2+COUNTA(R$4:R$34)))+(INDIRECT(R$56&amp;ROW(R$4)-3+COUNTA(R$4:R$34)))+(INDIRECT(R$56&amp;ROW(R$4)-4+COUNTA(R$4:R$34)))+(INDIRECT(R$56&amp;ROW(R$4)-5+COUNTA(R$4:R$34)))+(INDIRECT(R$56&amp;ROW(R$4)-6+COUNTA(R$4:R$34)))+(INDIRECT(R$56&amp;ROW(R$4)-7+COUNTA(R$4:R$34))))/7</f>
        <v>0</v>
      </c>
      <c r="S41" s="105"/>
      <c r="T41" s="108" t="e">
        <f aca="true">((INDIRECT(R$56&amp;ROW(V$4)-1+COUNTA(T$4:T$34)))+(INDIRECT(R$56&amp;ROW(V$4)-2+COUNTA(T$4:T$34)))+(INDIRECT(R$56&amp;ROW(V$4)-3+COUNTA(T$4:T$34)))+(INDIRECT(R$56&amp;ROW(V$4)-4+COUNTA(T$4:T$34)))+(INDIRECT(R$56&amp;ROW(V$4)-5+COUNTA(T$4:T$34)))+(INDIRECT(R$56&amp;ROW(V$4)-6+COUNTA(T$4:T$34)))+(INDIRECT(R$56&amp;ROW(V$4)-7+COUNTA(T$4:T$34))))/7</f>
        <v>#REF!</v>
      </c>
      <c r="U41" s="105"/>
      <c r="V41" s="108" t="n">
        <f aca="true">((INDIRECT(V$56&amp;ROW(V$4)-1+COUNTA(V$4:V$34)))+(INDIRECT(V$56&amp;ROW(V$4)-2+COUNTA(V$4:V$34)))+(INDIRECT(V$56&amp;ROW(V$4)-3+COUNTA(V$4:V$34)))+(INDIRECT(V$56&amp;ROW(V$4)-4+COUNTA(V$4:V$34)))+(INDIRECT(V$56&amp;ROW(V$4)-5+COUNTA(V$4:V$34)))+(INDIRECT(V$56&amp;ROW(V$4)-6+COUNTA(V$4:V$34)))+(INDIRECT(V$56&amp;ROW(V$4)-7+COUNTA(V$4:V$34))))/7</f>
        <v>0.517857142857143</v>
      </c>
      <c r="W41" s="105"/>
      <c r="X41" s="108" t="e">
        <f aca="true">((INDIRECT(V$56&amp;ROW(Z$4)-1+COUNTA(X$4:X$34)))+(INDIRECT(V$56&amp;ROW(Z$4)-2+COUNTA(X$4:X$34)))+(INDIRECT(V$56&amp;ROW(Z$4)-3+COUNTA(X$4:X$34)))+(INDIRECT(V$56&amp;ROW(Z$4)-4+COUNTA(X$4:X$34)))+(INDIRECT(V$56&amp;ROW(Z$4)-5+COUNTA(X$4:X$34)))+(INDIRECT(V$56&amp;ROW(Z$4)-6+COUNTA(X$4:X$34)))+(INDIRECT(V$56&amp;ROW(Z$4)-7+COUNTA(X$4:X$34))))/7</f>
        <v>#REF!</v>
      </c>
      <c r="Y41" s="105"/>
      <c r="Z41" s="108" t="e">
        <f aca="true">((INDIRECT(Z$56&amp;ROW(Z$4)-1+COUNTA(Z$4:Z$34)))+(INDIRECT(Z$56&amp;ROW(Z$4)-2+COUNTA(Z$4:Z$34)))+(INDIRECT(Z$56&amp;ROW(Z$4)-3+COUNTA(Z$4:Z$34)))+(INDIRECT(Z$56&amp;ROW(Z$4)-4+COUNTA(Z$4:Z$34)))+(INDIRECT(Z$56&amp;ROW(Z$4)-5+COUNTA(Z$4:Z$34)))+(INDIRECT(Z$56&amp;ROW(Z$4)-6+COUNTA(Z$4:Z$34)))+(INDIRECT(Z$56&amp;ROW(Z$4)-7+COUNTA(Z$4:Z$34))))/7</f>
        <v>#REF!</v>
      </c>
      <c r="AA41" s="105"/>
      <c r="AB41" s="108" t="e">
        <f aca="true">((INDIRECT(Z$56&amp;ROW(AD$4)-1+COUNTA(AB$4:AB$34)))+(INDIRECT(Z$56&amp;ROW(AD$4)-2+COUNTA(AB$4:AB$34)))+(INDIRECT(Z$56&amp;ROW(AD$4)-3+COUNTA(AB$4:AB$34)))+(INDIRECT(Z$56&amp;ROW(AD$4)-4+COUNTA(AB$4:AB$34)))+(INDIRECT(Z$56&amp;ROW(AD$4)-5+COUNTA(AB$4:AB$34)))+(INDIRECT(Z$56&amp;ROW(AD$4)-6+COUNTA(AB$4:AB$34)))+(INDIRECT(Z$56&amp;ROW(AD$4)-7+COUNTA(AB$4:AB$34))))/7</f>
        <v>#REF!</v>
      </c>
      <c r="AC41" s="105"/>
      <c r="AD41" s="108" t="e">
        <f aca="true">((INDIRECT(AD$56&amp;ROW(AD$4)-1+COUNTA(AD$4:AD$34)))+(INDIRECT(AD$56&amp;ROW(AD$4)-2+COUNTA(AD$4:AD$34)))+(INDIRECT(AD$56&amp;ROW(AD$4)-3+COUNTA(AD$4:AD$34)))+(INDIRECT(AD$56&amp;ROW(AD$4)-4+COUNTA(AD$4:AD$34)))+(INDIRECT(AD$56&amp;ROW(AD$4)-5+COUNTA(AD$4:AD$34)))+(INDIRECT(AD$56&amp;ROW(AD$4)-6+COUNTA(AD$4:AD$34)))+(INDIRECT(AD$56&amp;ROW(AD$4)-7+COUNTA(AD$4:AD$34))))/7</f>
        <v>#REF!</v>
      </c>
      <c r="AE41" s="105"/>
      <c r="AF41" s="108" t="n">
        <f aca="true">((INDIRECT(AD$56&amp;ROW(AH$4)-1+COUNTA(AF$4:AF$34)))+(INDIRECT(AD$56&amp;ROW(AH$4)-2+COUNTA(AF$4:AF$34)))+(INDIRECT(AD$56&amp;ROW(AH$4)-3+COUNTA(AF$4:AF$34)))+(INDIRECT(AD$56&amp;ROW(AH$4)-4+COUNTA(AF$4:AF$34)))+(INDIRECT(AD$56&amp;ROW(AH$4)-5+COUNTA(AF$4:AF$34)))+(INDIRECT(AD$56&amp;ROW(AH$4)-6+COUNTA(AF$4:AF$34)))+(INDIRECT(AD$56&amp;ROW(AH$4)-7+COUNTA(AF$4:AF$34))))/7</f>
        <v>3.29571428571429</v>
      </c>
      <c r="AG41" s="105"/>
      <c r="AH41" s="108" t="e">
        <f aca="true">((INDIRECT(AH$56&amp;ROW(AH$4)-1+COUNTA(AH$4:AH$34)))+(INDIRECT(AH$56&amp;ROW(AH$4)-2+COUNTA(AH$4:AH$34)))+(INDIRECT(AH$56&amp;ROW(AH$4)-3+COUNTA(AH$4:AH$34)))+(INDIRECT(AH$56&amp;ROW(AH$4)-4+COUNTA(AH$4:AH$34)))+(INDIRECT(AH$56&amp;ROW(AH$4)-5+COUNTA(AH$4:AH$34)))+(INDIRECT(AH$56&amp;ROW(AH$4)-6+COUNTA(AH$4:AH$34)))+(INDIRECT(AH$56&amp;ROW(AH$4)-7+COUNTA(AH$4:AH$34))))/7</f>
        <v>#REF!</v>
      </c>
      <c r="AI41" s="105"/>
      <c r="AJ41" s="108" t="e">
        <f aca="true">((INDIRECT(AH$56&amp;ROW(AL$4)-1+COUNTA(AJ$4:AJ$34)))+(INDIRECT(AH$56&amp;ROW(AL$4)-2+COUNTA(AJ$4:AJ$34)))+(INDIRECT(AH$56&amp;ROW(AL$4)-3+COUNTA(AJ$4:AJ$34)))+(INDIRECT(AH$56&amp;ROW(AL$4)-4+COUNTA(AJ$4:AJ$34)))+(INDIRECT(AH$56&amp;ROW(AL$4)-5+COUNTA(AJ$4:AJ$34)))+(INDIRECT(AH$56&amp;ROW(AL$4)-6+COUNTA(AJ$4:AJ$34)))+(INDIRECT(AH$56&amp;ROW(AL$4)-7+COUNTA(AJ$4:AJ$34))))/7</f>
        <v>#REF!</v>
      </c>
      <c r="AK41" s="105"/>
      <c r="AL41" s="108" t="e">
        <f aca="true">((INDIRECT(AL$56&amp;ROW(AL$4)-1+COUNTA(AL$4:AL$34)))+(INDIRECT(AL$56&amp;ROW(AL$4)-2+COUNTA(AL$4:AL$34)))+(INDIRECT(AL$56&amp;ROW(AL$4)-3+COUNTA(AL$4:AL$34)))+(INDIRECT(AL$56&amp;ROW(AL$4)-4+COUNTA(AL$4:AL$34)))+(INDIRECT(AL$56&amp;ROW(AL$4)-5+COUNTA(AL$4:AL$34)))+(INDIRECT(AL$56&amp;ROW(AL$4)-6+COUNTA(AL$4:AL$34)))+(INDIRECT(AL$56&amp;ROW(AL$4)-7+COUNTA(AL$4:AL$34))))/7</f>
        <v>#REF!</v>
      </c>
      <c r="AM41" s="105"/>
      <c r="AN41" s="108" t="e">
        <f aca="true">((INDIRECT(AN$56&amp;ROW(AN$4)-1+COUNTA(AN$4:AN$34)))+(INDIRECT(AN$56&amp;ROW(AN$4)-2+COUNTA(AN$4:AN$34)))+(INDIRECT(AN$56&amp;ROW(AN$4)-3+COUNTA(AN$4:AN$34)))+(INDIRECT(AN$56&amp;ROW(AN$4)-4+COUNTA(AN$4:AN$34)))+(INDIRECT(AN$56&amp;ROW(AN$4)-5+COUNTA(AN$4:AN$34)))+(INDIRECT(AN$56&amp;ROW(AN$4)-6+COUNTA(AN$4:AN$34)))+(INDIRECT(AN$56&amp;ROW(AN$4)-7+COUNTA(AN$4:AN$34))))/7</f>
        <v>#REF!</v>
      </c>
      <c r="AO41" s="105"/>
      <c r="AP41" s="108" t="e">
        <f aca="true">((INDIRECT(AP$56&amp;ROW(AP$4)-1+COUNTA(AP$4:AP$34)))+(INDIRECT(AP$56&amp;ROW(AP$4)-2+COUNTA(AP$4:AP$34)))+(INDIRECT(AP$56&amp;ROW(AP$4)-3+COUNTA(AP$4:AP$34)))+(INDIRECT(AP$56&amp;ROW(AP$4)-4+COUNTA(AP$4:AP$34)))+(INDIRECT(AP$56&amp;ROW(AP$4)-5+COUNTA(AP$4:AP$34)))+(INDIRECT(AP$56&amp;ROW(AP$4)-6+COUNTA(AP$4:AP$34)))+(INDIRECT(AP$56&amp;ROW(AP$4)-7+COUNTA(AP$4:AP$34))))/7</f>
        <v>#REF!</v>
      </c>
      <c r="AQ41" s="105"/>
      <c r="AR41" s="108" t="e">
        <f aca="true">((INDIRECT(AR$56&amp;ROW(AR$4)-1+COUNTA(AR$4:AR$34)))+(INDIRECT(AR$56&amp;ROW(AR$4)-2+COUNTA(AR$4:AR$34)))+(INDIRECT(AR$56&amp;ROW(AR$4)-3+COUNTA(AR$4:AR$34)))+(INDIRECT(AR$56&amp;ROW(AR$4)-4+COUNTA(AR$4:AR$34)))+(INDIRECT(AR$56&amp;ROW(AR$4)-5+COUNTA(AR$4:AR$34)))+(INDIRECT(AR$56&amp;ROW(AR$4)-6+COUNTA(AR$4:AR$34)))+(INDIRECT(AR$56&amp;ROW(AR$4)-7+COUNTA(AR$4:AR$34))))/7</f>
        <v>#REF!</v>
      </c>
      <c r="AS41" s="105"/>
      <c r="AT41" s="108" t="e">
        <f aca="true">((INDIRECT(AT$56&amp;ROW(AT$4)-1+COUNTA(AT$4:AT$34)))+(INDIRECT(AT$56&amp;ROW(AT$4)-2+COUNTA(AT$4:AT$34)))+(INDIRECT(AT$56&amp;ROW(AT$4)-3+COUNTA(AT$4:AT$34)))+(INDIRECT(AT$56&amp;ROW(AT$4)-4+COUNTA(AT$4:AT$34)))+(INDIRECT(AT$56&amp;ROW(AT$4)-5+COUNTA(AT$4:AT$34)))+(INDIRECT(AT$56&amp;ROW(AT$4)-6+COUNTA(AT$4:AT$34)))+(INDIRECT(AT$56&amp;ROW(AT$4)-7+COUNTA(AT$4:AT$34))))/7</f>
        <v>#REF!</v>
      </c>
      <c r="AU41" s="105"/>
    </row>
    <row r="42" customFormat="false" ht="12.75" hidden="false" customHeight="false" outlineLevel="0" collapsed="false">
      <c r="A42" s="107" t="s">
        <v>95</v>
      </c>
      <c r="C42" s="109" t="n">
        <f aca="false">+C36-C3</f>
        <v>0.0914999999999995</v>
      </c>
      <c r="D42" s="109" t="e">
        <f aca="false">+D36-D3</f>
        <v>#DIV/0!</v>
      </c>
      <c r="E42" s="105"/>
      <c r="F42" s="109" t="e">
        <f aca="false">+F36-F3</f>
        <v>#DIV/0!</v>
      </c>
      <c r="G42" s="105"/>
      <c r="H42" s="109" t="n">
        <f aca="false">+H36-H3</f>
        <v>0</v>
      </c>
      <c r="I42" s="105"/>
      <c r="J42" s="109" t="n">
        <f aca="false">+J36-J3</f>
        <v>-0.06</v>
      </c>
      <c r="K42" s="105"/>
      <c r="L42" s="109" t="n">
        <f aca="false">+L36-L3</f>
        <v>0</v>
      </c>
      <c r="M42" s="105"/>
      <c r="N42" s="109" t="n">
        <f aca="false">+N36-N3</f>
        <v>1.8125</v>
      </c>
      <c r="O42" s="105"/>
      <c r="P42" s="109" t="e">
        <f aca="false">+P36-P3</f>
        <v>#DIV/0!</v>
      </c>
      <c r="Q42" s="105"/>
      <c r="R42" s="109" t="n">
        <f aca="false">+R36-R3</f>
        <v>-0.0195161290322585</v>
      </c>
      <c r="S42" s="105"/>
      <c r="T42" s="109" t="n">
        <f aca="false">+T36-T3</f>
        <v>0</v>
      </c>
      <c r="U42" s="105"/>
      <c r="V42" s="109" t="n">
        <f aca="false">+V36-V3</f>
        <v>-0.139193548387097</v>
      </c>
      <c r="W42" s="105"/>
      <c r="X42" s="109" t="n">
        <f aca="false">+X36-X3</f>
        <v>-0.125</v>
      </c>
      <c r="Y42" s="105"/>
      <c r="Z42" s="109" t="n">
        <f aca="false">+Z36-Z3</f>
        <v>0</v>
      </c>
      <c r="AA42" s="105"/>
      <c r="AB42" s="109" t="n">
        <f aca="false">+AB36-AB3</f>
        <v>0</v>
      </c>
      <c r="AC42" s="105"/>
      <c r="AD42" s="109" t="n">
        <f aca="false">+AD36-AD3</f>
        <v>0</v>
      </c>
      <c r="AE42" s="105"/>
      <c r="AF42" s="109" t="n">
        <f aca="false">+AF36-AF3</f>
        <v>-0.0201612903225805</v>
      </c>
      <c r="AG42" s="105"/>
      <c r="AH42" s="109" t="n">
        <f aca="false">+AH36-AH3</f>
        <v>0</v>
      </c>
      <c r="AI42" s="105"/>
      <c r="AJ42" s="109" t="n">
        <f aca="false">+AJ36-AJ3</f>
        <v>0</v>
      </c>
      <c r="AK42" s="105"/>
      <c r="AL42" s="109" t="n">
        <f aca="false">+AL36-AL3</f>
        <v>0</v>
      </c>
      <c r="AM42" s="105"/>
      <c r="AN42" s="109" t="e">
        <f aca="false">+AN36-AN3</f>
        <v>#DIV/0!</v>
      </c>
      <c r="AO42" s="105"/>
      <c r="AP42" s="109" t="e">
        <f aca="false">+AP36-AP3</f>
        <v>#DIV/0!</v>
      </c>
      <c r="AQ42" s="105"/>
      <c r="AR42" s="109" t="e">
        <f aca="false">+AR36-AR3</f>
        <v>#DIV/0!</v>
      </c>
      <c r="AS42" s="105"/>
      <c r="AT42" s="109" t="n">
        <f aca="false">+AT36-AT3</f>
        <v>0</v>
      </c>
      <c r="AU42" s="105"/>
    </row>
    <row r="56" customFormat="false" ht="12.75" hidden="false" customHeight="false" outlineLevel="0" collapsed="false">
      <c r="C56" s="110" t="s">
        <v>96</v>
      </c>
      <c r="D56" s="110" t="s">
        <v>97</v>
      </c>
      <c r="E56" s="110" t="s">
        <v>98</v>
      </c>
      <c r="F56" s="110" t="s">
        <v>99</v>
      </c>
      <c r="G56" s="110" t="s">
        <v>98</v>
      </c>
      <c r="H56" s="110" t="s">
        <v>100</v>
      </c>
      <c r="I56" s="110" t="s">
        <v>98</v>
      </c>
      <c r="J56" s="110" t="s">
        <v>101</v>
      </c>
      <c r="K56" s="110" t="s">
        <v>98</v>
      </c>
      <c r="L56" s="110" t="s">
        <v>102</v>
      </c>
      <c r="M56" s="110" t="s">
        <v>98</v>
      </c>
      <c r="N56" s="110" t="s">
        <v>103</v>
      </c>
      <c r="O56" s="110" t="s">
        <v>98</v>
      </c>
      <c r="P56" s="110" t="s">
        <v>104</v>
      </c>
      <c r="Q56" s="110" t="s">
        <v>98</v>
      </c>
      <c r="R56" s="110" t="s">
        <v>105</v>
      </c>
      <c r="S56" s="110" t="s">
        <v>98</v>
      </c>
      <c r="T56" s="110" t="s">
        <v>106</v>
      </c>
      <c r="U56" s="110" t="s">
        <v>98</v>
      </c>
      <c r="V56" s="110" t="s">
        <v>107</v>
      </c>
      <c r="W56" s="110" t="s">
        <v>98</v>
      </c>
      <c r="X56" s="110" t="s">
        <v>108</v>
      </c>
      <c r="Y56" s="110" t="s">
        <v>98</v>
      </c>
      <c r="Z56" s="110" t="s">
        <v>109</v>
      </c>
      <c r="AA56" s="110" t="s">
        <v>98</v>
      </c>
      <c r="AB56" s="110" t="s">
        <v>110</v>
      </c>
      <c r="AC56" s="110" t="s">
        <v>98</v>
      </c>
      <c r="AD56" s="110" t="s">
        <v>111</v>
      </c>
      <c r="AE56" s="110" t="s">
        <v>98</v>
      </c>
      <c r="AF56" s="110" t="s">
        <v>112</v>
      </c>
      <c r="AG56" s="110" t="s">
        <v>98</v>
      </c>
      <c r="AH56" s="110" t="s">
        <v>113</v>
      </c>
      <c r="AI56" s="110" t="s">
        <v>98</v>
      </c>
      <c r="AJ56" s="110" t="s">
        <v>114</v>
      </c>
      <c r="AK56" s="110" t="s">
        <v>98</v>
      </c>
      <c r="AL56" s="110" t="s">
        <v>115</v>
      </c>
      <c r="AM56" s="110" t="s">
        <v>98</v>
      </c>
      <c r="AN56" s="110" t="s">
        <v>115</v>
      </c>
      <c r="AO56" s="110" t="s">
        <v>98</v>
      </c>
      <c r="AP56" s="110" t="s">
        <v>115</v>
      </c>
      <c r="AQ56" s="110" t="s">
        <v>98</v>
      </c>
      <c r="AR56" s="110" t="s">
        <v>115</v>
      </c>
      <c r="AS56" s="110" t="s">
        <v>98</v>
      </c>
      <c r="AT56" s="110" t="s">
        <v>115</v>
      </c>
      <c r="AU56" s="110" t="s">
        <v>98</v>
      </c>
      <c r="AV56" s="110" t="s">
        <v>116</v>
      </c>
      <c r="AW56" s="110" t="s">
        <v>117</v>
      </c>
      <c r="AX56" s="110" t="s">
        <v>118</v>
      </c>
      <c r="AY56" s="110" t="s">
        <v>119</v>
      </c>
      <c r="AZ56" s="110" t="s">
        <v>120</v>
      </c>
      <c r="BA56" s="110" t="s">
        <v>121</v>
      </c>
      <c r="BB56" s="110" t="s">
        <v>122</v>
      </c>
      <c r="BC56" s="110" t="s">
        <v>123</v>
      </c>
      <c r="BD56" s="110" t="s">
        <v>124</v>
      </c>
      <c r="BE56" s="110" t="s">
        <v>125</v>
      </c>
      <c r="BF56" s="110" t="s">
        <v>126</v>
      </c>
    </row>
  </sheetData>
  <printOptions headings="false" gridLines="false" gridLinesSet="true" horizontalCentered="false" verticalCentered="false"/>
  <pageMargins left="0.359722222222222" right="0.220138888888889" top="0.34027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9"/>
  <sheetViews>
    <sheetView showFormulas="false" showGridLines="true" showRowColHeaders="true" showZeros="true" rightToLeft="false" tabSelected="false" showOutlineSymbols="true" defaultGridColor="true" view="normal" topLeftCell="A4" colorId="64" zoomScale="80" zoomScaleNormal="80" zoomScalePageLayoutView="100" workbookViewId="0">
      <selection pane="topLeft" activeCell="P42" activeCellId="0" sqref="N42:P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0" width="9.14"/>
    <col collapsed="false" customWidth="true" hidden="false" outlineLevel="0" max="2" min="2" style="0" width="9.41"/>
    <col collapsed="false" customWidth="true" hidden="false" outlineLevel="0" max="3" min="3" style="51" width="17.14"/>
    <col collapsed="false" customWidth="true" hidden="false" outlineLevel="0" max="4" min="4" style="0" width="3.14"/>
    <col collapsed="false" customWidth="true" hidden="false" outlineLevel="0" max="5" min="5" style="52" width="10.13"/>
    <col collapsed="false" customWidth="true" hidden="false" outlineLevel="0" max="6" min="6" style="0" width="9.41"/>
    <col collapsed="false" customWidth="true" hidden="false" outlineLevel="0" max="7" min="7" style="53" width="15.28"/>
    <col collapsed="false" customWidth="true" hidden="false" outlineLevel="0" max="8" min="8" style="0" width="2.84"/>
    <col collapsed="false" customWidth="true" hidden="false" outlineLevel="0" max="9" min="9" style="54" width="14.85"/>
    <col collapsed="false" customWidth="true" hidden="false" outlineLevel="0" max="10" min="10" style="0" width="2.13"/>
    <col collapsed="false" customWidth="true" hidden="false" outlineLevel="0" max="11" min="11" style="0" width="21.7"/>
  </cols>
  <sheetData>
    <row r="1" customFormat="false" ht="12.75" hidden="false" customHeight="false" outlineLevel="0" collapsed="false">
      <c r="A1" s="55" t="s">
        <v>49</v>
      </c>
      <c r="B1" s="3"/>
      <c r="C1" s="56"/>
      <c r="D1" s="17"/>
      <c r="E1" s="55" t="s">
        <v>50</v>
      </c>
      <c r="F1" s="3"/>
      <c r="G1" s="57"/>
      <c r="I1" s="58"/>
      <c r="K1" s="59"/>
    </row>
    <row r="2" customFormat="false" ht="12.75" hidden="false" customHeight="false" outlineLevel="0" collapsed="false">
      <c r="A2" s="60"/>
      <c r="B2" s="3"/>
      <c r="C2" s="56" t="n">
        <f aca="false">A2*B2*10000</f>
        <v>0</v>
      </c>
      <c r="D2" s="17"/>
      <c r="E2" s="61"/>
      <c r="F2" s="62"/>
      <c r="G2" s="63" t="n">
        <f aca="false">E2*F2*10000</f>
        <v>0</v>
      </c>
      <c r="I2" s="64"/>
    </row>
    <row r="3" customFormat="false" ht="12.75" hidden="false" customHeight="false" outlineLevel="0" collapsed="false">
      <c r="A3" s="60"/>
      <c r="B3" s="3"/>
      <c r="C3" s="56" t="n">
        <f aca="false">A3*B3*10000</f>
        <v>0</v>
      </c>
      <c r="D3" s="17"/>
      <c r="E3" s="65"/>
      <c r="F3" s="3"/>
      <c r="G3" s="63" t="n">
        <f aca="false">E3*F3*10000</f>
        <v>0</v>
      </c>
      <c r="I3" s="66"/>
      <c r="K3" s="67"/>
    </row>
    <row r="4" customFormat="false" ht="12.75" hidden="false" customHeight="false" outlineLevel="0" collapsed="false">
      <c r="A4" s="68"/>
      <c r="B4" s="62"/>
      <c r="C4" s="56" t="n">
        <f aca="false">A4*B4*10000</f>
        <v>0</v>
      </c>
      <c r="D4" s="17"/>
      <c r="E4" s="65"/>
      <c r="F4" s="3"/>
      <c r="G4" s="63" t="n">
        <f aca="false">E4*F4*10000</f>
        <v>0</v>
      </c>
      <c r="J4" s="64"/>
      <c r="K4" s="17" t="n">
        <f aca="false">4.69+0.032</f>
        <v>4.722</v>
      </c>
    </row>
    <row r="5" customFormat="false" ht="12.75" hidden="false" customHeight="false" outlineLevel="0" collapsed="false">
      <c r="A5" s="68"/>
      <c r="B5" s="62"/>
      <c r="C5" s="56" t="n">
        <f aca="false">A5*B5*10000</f>
        <v>0</v>
      </c>
      <c r="D5" s="17"/>
      <c r="E5" s="61"/>
      <c r="F5" s="62"/>
      <c r="G5" s="63" t="n">
        <f aca="false">E5*F5*10000</f>
        <v>0</v>
      </c>
      <c r="I5" s="64"/>
      <c r="J5" s="36"/>
      <c r="K5" s="17"/>
    </row>
    <row r="6" customFormat="false" ht="12.75" hidden="false" customHeight="false" outlineLevel="0" collapsed="false">
      <c r="A6" s="69"/>
      <c r="B6" s="3"/>
      <c r="C6" s="56" t="n">
        <f aca="false">A6*B6*10000</f>
        <v>0</v>
      </c>
      <c r="D6" s="17"/>
      <c r="E6" s="65"/>
      <c r="F6" s="3"/>
      <c r="G6" s="63" t="n">
        <f aca="false">E6*F6*10000</f>
        <v>0</v>
      </c>
      <c r="I6" s="64"/>
      <c r="J6" s="36"/>
      <c r="K6" s="17"/>
      <c r="L6" s="0" t="n">
        <v>30</v>
      </c>
      <c r="M6" s="0" t="n">
        <v>5.49</v>
      </c>
      <c r="N6" s="0" t="n">
        <f aca="false">L6*M6</f>
        <v>164.7</v>
      </c>
    </row>
    <row r="7" customFormat="false" ht="12.75" hidden="false" customHeight="false" outlineLevel="0" collapsed="false">
      <c r="A7" s="65"/>
      <c r="B7" s="3"/>
      <c r="C7" s="56" t="n">
        <f aca="false">A7*B7*10000</f>
        <v>0</v>
      </c>
      <c r="D7" s="17"/>
      <c r="E7" s="65"/>
      <c r="F7" s="3"/>
      <c r="G7" s="63" t="n">
        <f aca="false">E7*F7*10000</f>
        <v>0</v>
      </c>
      <c r="I7" s="64"/>
      <c r="L7" s="0" t="n">
        <v>15</v>
      </c>
      <c r="M7" s="0" t="n">
        <v>5.455</v>
      </c>
      <c r="N7" s="0" t="n">
        <f aca="false">L7*M7</f>
        <v>81.825</v>
      </c>
    </row>
    <row r="8" customFormat="false" ht="12.75" hidden="false" customHeight="false" outlineLevel="0" collapsed="false">
      <c r="A8" s="65"/>
      <c r="B8" s="3"/>
      <c r="C8" s="56" t="n">
        <f aca="false">A8*B8*10000</f>
        <v>0</v>
      </c>
      <c r="D8" s="17"/>
      <c r="E8" s="65"/>
      <c r="F8" s="3"/>
      <c r="G8" s="63" t="n">
        <f aca="false">E8*F8*10000</f>
        <v>0</v>
      </c>
      <c r="I8" s="64"/>
      <c r="K8" s="17"/>
      <c r="L8" s="111"/>
      <c r="M8" s="111"/>
      <c r="N8" s="0" t="n">
        <f aca="false">L8*M8</f>
        <v>0</v>
      </c>
    </row>
    <row r="9" customFormat="false" ht="12.75" hidden="false" customHeight="false" outlineLevel="0" collapsed="false">
      <c r="A9" s="65"/>
      <c r="B9" s="3"/>
      <c r="C9" s="56" t="n">
        <f aca="false">A9*B9*10000</f>
        <v>0</v>
      </c>
      <c r="D9" s="17"/>
      <c r="E9" s="65"/>
      <c r="F9" s="3"/>
      <c r="G9" s="63" t="n">
        <f aca="false">E9*F9*10000</f>
        <v>0</v>
      </c>
      <c r="I9" s="64"/>
      <c r="L9" s="111"/>
      <c r="M9" s="111"/>
      <c r="N9" s="0" t="n">
        <f aca="false">L9*M9</f>
        <v>0</v>
      </c>
    </row>
    <row r="10" customFormat="false" ht="12.75" hidden="false" customHeight="false" outlineLevel="0" collapsed="false">
      <c r="A10" s="65"/>
      <c r="B10" s="3"/>
      <c r="C10" s="56" t="n">
        <f aca="false">A10*B10*10000</f>
        <v>0</v>
      </c>
      <c r="D10" s="17"/>
      <c r="E10" s="65"/>
      <c r="F10" s="3"/>
      <c r="G10" s="63" t="n">
        <f aca="false">E10*F10*10000</f>
        <v>0</v>
      </c>
      <c r="I10" s="64"/>
      <c r="K10" s="0" t="n">
        <f aca="false">2500*30</f>
        <v>75000</v>
      </c>
      <c r="L10" s="111"/>
      <c r="M10" s="111"/>
      <c r="N10" s="0" t="n">
        <f aca="false">L10*M10</f>
        <v>0</v>
      </c>
    </row>
    <row r="11" customFormat="false" ht="12.75" hidden="false" customHeight="false" outlineLevel="0" collapsed="false">
      <c r="A11" s="65"/>
      <c r="B11" s="3"/>
      <c r="C11" s="56" t="n">
        <f aca="false">A11*B11*10000</f>
        <v>0</v>
      </c>
      <c r="D11" s="17"/>
      <c r="E11" s="65"/>
      <c r="F11" s="3"/>
      <c r="G11" s="63" t="n">
        <f aca="false">E11*F11*10000</f>
        <v>0</v>
      </c>
      <c r="I11" s="64"/>
      <c r="K11" s="0" t="n">
        <f aca="false">7500*30</f>
        <v>225000</v>
      </c>
      <c r="L11" s="111"/>
      <c r="M11" s="111"/>
      <c r="N11" s="0" t="n">
        <f aca="false">L11*M11</f>
        <v>0</v>
      </c>
    </row>
    <row r="12" customFormat="false" ht="12.75" hidden="false" customHeight="false" outlineLevel="0" collapsed="false">
      <c r="A12" s="65"/>
      <c r="B12" s="3"/>
      <c r="C12" s="56" t="n">
        <f aca="false">A12*B12*10000</f>
        <v>0</v>
      </c>
      <c r="D12" s="17"/>
      <c r="E12" s="65"/>
      <c r="F12" s="3"/>
      <c r="G12" s="63" t="n">
        <f aca="false">E12*F12*10000</f>
        <v>0</v>
      </c>
      <c r="I12" s="64"/>
      <c r="K12" s="0" t="n">
        <f aca="false">12500*30</f>
        <v>375000</v>
      </c>
      <c r="L12" s="111"/>
      <c r="M12" s="111"/>
      <c r="N12" s="0" t="n">
        <f aca="false">L12*M12</f>
        <v>0</v>
      </c>
    </row>
    <row r="13" customFormat="false" ht="12.75" hidden="false" customHeight="false" outlineLevel="0" collapsed="false">
      <c r="A13" s="65"/>
      <c r="B13" s="3"/>
      <c r="C13" s="56" t="n">
        <f aca="false">A13*B13*10000</f>
        <v>0</v>
      </c>
      <c r="D13" s="17"/>
      <c r="E13" s="65"/>
      <c r="F13" s="3"/>
      <c r="G13" s="63" t="n">
        <f aca="false">E13*F13*10000</f>
        <v>0</v>
      </c>
      <c r="I13" s="64"/>
      <c r="L13" s="0" t="n">
        <f aca="false">SUM(L6:L12)</f>
        <v>45</v>
      </c>
      <c r="N13" s="0" t="n">
        <f aca="false">SUM(N6:N12)</f>
        <v>246.525</v>
      </c>
    </row>
    <row r="14" customFormat="false" ht="12.75" hidden="false" customHeight="false" outlineLevel="0" collapsed="false">
      <c r="A14" s="65"/>
      <c r="B14" s="3"/>
      <c r="C14" s="56" t="n">
        <f aca="false">A14*B14*10000</f>
        <v>0</v>
      </c>
      <c r="D14" s="17"/>
      <c r="E14" s="61"/>
      <c r="F14" s="62"/>
      <c r="G14" s="63" t="n">
        <f aca="false">E14*F14*10000</f>
        <v>0</v>
      </c>
      <c r="I14" s="64"/>
      <c r="M14" s="0" t="n">
        <f aca="false">N13/L13</f>
        <v>5.47833333333333</v>
      </c>
    </row>
    <row r="15" customFormat="false" ht="12.75" hidden="false" customHeight="false" outlineLevel="0" collapsed="false">
      <c r="A15" s="65"/>
      <c r="B15" s="3"/>
      <c r="C15" s="56" t="n">
        <f aca="false">A15*B15*10000</f>
        <v>0</v>
      </c>
      <c r="D15" s="17"/>
      <c r="E15" s="61"/>
      <c r="F15" s="62"/>
      <c r="G15" s="63" t="n">
        <f aca="false">E15*F15*10000</f>
        <v>0</v>
      </c>
      <c r="I15" s="64"/>
    </row>
    <row r="16" customFormat="false" ht="12.75" hidden="false" customHeight="false" outlineLevel="0" collapsed="false">
      <c r="A16" s="65"/>
      <c r="B16" s="3"/>
      <c r="C16" s="56" t="n">
        <f aca="false">A16*B16*10000</f>
        <v>0</v>
      </c>
      <c r="D16" s="17"/>
      <c r="E16" s="61"/>
      <c r="F16" s="62"/>
      <c r="G16" s="63" t="n">
        <f aca="false">E16*F16*10000</f>
        <v>0</v>
      </c>
      <c r="I16" s="64"/>
    </row>
    <row r="17" customFormat="false" ht="12.75" hidden="false" customHeight="false" outlineLevel="0" collapsed="false">
      <c r="A17" s="65"/>
      <c r="B17" s="3"/>
      <c r="C17" s="56" t="n">
        <f aca="false">A17*B17*10000</f>
        <v>0</v>
      </c>
      <c r="D17" s="17"/>
      <c r="E17" s="61"/>
      <c r="F17" s="62"/>
      <c r="G17" s="63" t="n">
        <f aca="false">E17*F17*10000</f>
        <v>0</v>
      </c>
      <c r="I17" s="64"/>
    </row>
    <row r="18" customFormat="false" ht="12.75" hidden="false" customHeight="false" outlineLevel="0" collapsed="false">
      <c r="A18" s="65"/>
      <c r="B18" s="3"/>
      <c r="C18" s="56" t="n">
        <f aca="false">A18*B18*10000</f>
        <v>0</v>
      </c>
      <c r="D18" s="17"/>
      <c r="E18" s="61"/>
      <c r="F18" s="62"/>
      <c r="G18" s="63" t="n">
        <f aca="false">E18*F18*10000</f>
        <v>0</v>
      </c>
      <c r="I18" s="64"/>
    </row>
    <row r="19" customFormat="false" ht="12.75" hidden="false" customHeight="false" outlineLevel="0" collapsed="false">
      <c r="A19" s="65"/>
      <c r="B19" s="3"/>
      <c r="C19" s="56" t="n">
        <f aca="false">A19*B19*10000</f>
        <v>0</v>
      </c>
      <c r="D19" s="17"/>
      <c r="E19" s="61"/>
      <c r="F19" s="62"/>
      <c r="G19" s="63" t="n">
        <f aca="false">E19*F19*10000</f>
        <v>0</v>
      </c>
      <c r="I19" s="64"/>
    </row>
    <row r="20" customFormat="false" ht="12.75" hidden="false" customHeight="false" outlineLevel="0" collapsed="false">
      <c r="A20" s="65"/>
      <c r="B20" s="3"/>
      <c r="C20" s="56" t="n">
        <f aca="false">A20*B20*10000</f>
        <v>0</v>
      </c>
      <c r="D20" s="17"/>
      <c r="E20" s="61"/>
      <c r="F20" s="62"/>
      <c r="G20" s="63" t="n">
        <f aca="false">E20*F20*10000</f>
        <v>0</v>
      </c>
      <c r="I20" s="64"/>
    </row>
    <row r="21" customFormat="false" ht="12.75" hidden="false" customHeight="false" outlineLevel="0" collapsed="false">
      <c r="A21" s="65"/>
      <c r="B21" s="3"/>
      <c r="C21" s="56" t="n">
        <f aca="false">A21*B21*10000</f>
        <v>0</v>
      </c>
      <c r="D21" s="17"/>
      <c r="E21" s="61"/>
      <c r="F21" s="62"/>
      <c r="G21" s="63" t="n">
        <f aca="false">E21*F21*10000</f>
        <v>0</v>
      </c>
      <c r="I21" s="64"/>
    </row>
    <row r="22" customFormat="false" ht="12.75" hidden="false" customHeight="false" outlineLevel="0" collapsed="false">
      <c r="A22" s="65"/>
      <c r="B22" s="3"/>
      <c r="C22" s="56" t="n">
        <f aca="false">A22*B22*10000</f>
        <v>0</v>
      </c>
      <c r="D22" s="17"/>
      <c r="E22" s="61"/>
      <c r="F22" s="62"/>
      <c r="G22" s="63" t="n">
        <f aca="false">E22*F22*10000</f>
        <v>0</v>
      </c>
      <c r="I22" s="64"/>
    </row>
    <row r="23" customFormat="false" ht="12.75" hidden="false" customHeight="false" outlineLevel="0" collapsed="false">
      <c r="A23" s="65"/>
      <c r="B23" s="3"/>
      <c r="C23" s="56" t="n">
        <f aca="false">A23*B23*10000</f>
        <v>0</v>
      </c>
      <c r="D23" s="17"/>
      <c r="E23" s="61"/>
      <c r="F23" s="62"/>
      <c r="G23" s="63" t="n">
        <f aca="false">E23*F23*10000</f>
        <v>0</v>
      </c>
      <c r="I23" s="64"/>
    </row>
    <row r="24" customFormat="false" ht="6.75" hidden="false" customHeight="true" outlineLevel="0" collapsed="false">
      <c r="A24" s="65"/>
      <c r="B24" s="3"/>
      <c r="C24" s="56" t="n">
        <f aca="false">A24*B24*10000</f>
        <v>0</v>
      </c>
      <c r="D24" s="17"/>
      <c r="E24" s="61"/>
      <c r="F24" s="62"/>
      <c r="G24" s="63" t="n">
        <f aca="false">E24*F24*10000</f>
        <v>0</v>
      </c>
      <c r="I24" s="64"/>
    </row>
    <row r="25" customFormat="false" ht="6.75" hidden="false" customHeight="true" outlineLevel="0" collapsed="false">
      <c r="A25" s="65"/>
      <c r="B25" s="3"/>
      <c r="C25" s="56" t="n">
        <f aca="false">A25*B25*10000</f>
        <v>0</v>
      </c>
      <c r="D25" s="17"/>
      <c r="E25" s="61"/>
      <c r="F25" s="62"/>
      <c r="G25" s="63" t="n">
        <f aca="false">E25*F25*10000</f>
        <v>0</v>
      </c>
      <c r="I25" s="64"/>
    </row>
    <row r="26" customFormat="false" ht="6.75" hidden="false" customHeight="true" outlineLevel="0" collapsed="false">
      <c r="A26" s="65"/>
      <c r="B26" s="3"/>
      <c r="C26" s="56" t="n">
        <f aca="false">A26*B26*10000</f>
        <v>0</v>
      </c>
      <c r="D26" s="17"/>
      <c r="E26" s="61"/>
      <c r="F26" s="62"/>
      <c r="G26" s="63" t="n">
        <f aca="false">E26*F26*10000</f>
        <v>0</v>
      </c>
      <c r="I26" s="64"/>
    </row>
    <row r="27" customFormat="false" ht="9" hidden="false" customHeight="true" outlineLevel="0" collapsed="false">
      <c r="A27" s="65"/>
      <c r="B27" s="3"/>
      <c r="C27" s="56" t="n">
        <f aca="false">A27*B27*10000</f>
        <v>0</v>
      </c>
      <c r="D27" s="17"/>
      <c r="E27" s="61"/>
      <c r="F27" s="62"/>
      <c r="G27" s="63" t="n">
        <f aca="false">E27*F27*10000</f>
        <v>0</v>
      </c>
      <c r="I27" s="64"/>
    </row>
    <row r="28" customFormat="false" ht="9" hidden="false" customHeight="true" outlineLevel="0" collapsed="false">
      <c r="A28" s="65"/>
      <c r="B28" s="3"/>
      <c r="C28" s="56" t="n">
        <f aca="false">A28*B28*10000</f>
        <v>0</v>
      </c>
      <c r="D28" s="17"/>
      <c r="E28" s="61"/>
      <c r="F28" s="62"/>
      <c r="G28" s="63" t="n">
        <f aca="false">E28*F28*10000</f>
        <v>0</v>
      </c>
      <c r="I28" s="64"/>
    </row>
    <row r="29" customFormat="false" ht="9" hidden="false" customHeight="true" outlineLevel="0" collapsed="false">
      <c r="A29" s="65"/>
      <c r="B29" s="3"/>
      <c r="C29" s="56" t="n">
        <f aca="false">A29*B29*10000</f>
        <v>0</v>
      </c>
      <c r="D29" s="17"/>
      <c r="E29" s="65"/>
      <c r="F29" s="3"/>
      <c r="G29" s="63" t="n">
        <f aca="false">E29*F29*10000</f>
        <v>0</v>
      </c>
      <c r="I29" s="64"/>
    </row>
    <row r="30" customFormat="false" ht="9" hidden="false" customHeight="true" outlineLevel="0" collapsed="false">
      <c r="A30" s="65"/>
      <c r="B30" s="3"/>
      <c r="C30" s="56" t="n">
        <f aca="false">A30*B30*10000</f>
        <v>0</v>
      </c>
      <c r="D30" s="17"/>
      <c r="E30" s="65"/>
      <c r="F30" s="3"/>
      <c r="G30" s="63" t="n">
        <f aca="false">E30*F30*10000</f>
        <v>0</v>
      </c>
      <c r="I30" s="64"/>
    </row>
    <row r="31" customFormat="false" ht="12.75" hidden="false" customHeight="false" outlineLevel="0" collapsed="false">
      <c r="A31" s="65"/>
      <c r="B31" s="3"/>
      <c r="C31" s="56" t="n">
        <f aca="false">A31*B31*10000</f>
        <v>0</v>
      </c>
      <c r="D31" s="17"/>
      <c r="E31" s="65"/>
      <c r="F31" s="3"/>
      <c r="G31" s="63" t="n">
        <f aca="false">E31*F31*10000</f>
        <v>0</v>
      </c>
      <c r="I31" s="64"/>
    </row>
    <row r="32" customFormat="false" ht="12.75" hidden="false" customHeight="false" outlineLevel="0" collapsed="false">
      <c r="E32" s="50"/>
      <c r="G32" s="70"/>
    </row>
    <row r="33" customFormat="false" ht="12.75" hidden="false" customHeight="false" outlineLevel="0" collapsed="false">
      <c r="A33" s="65" t="n">
        <f aca="false">SUM(A1:A32)</f>
        <v>0</v>
      </c>
      <c r="B33" s="3" t="n">
        <f aca="false">IF(A33=0,0,C33/A33/10000)</f>
        <v>0</v>
      </c>
      <c r="C33" s="56" t="n">
        <f aca="false">SUM(C1:C32)</f>
        <v>0</v>
      </c>
      <c r="E33" s="65" t="n">
        <f aca="false">SUM(E1:E32)</f>
        <v>0</v>
      </c>
      <c r="F33" s="3" t="n">
        <f aca="false">IF(E33=0,0,G33/E33/10000)</f>
        <v>0</v>
      </c>
      <c r="G33" s="63" t="n">
        <f aca="false">SUM(G1:G32)</f>
        <v>0</v>
      </c>
      <c r="I33" s="71" t="n">
        <f aca="false">MIN(A33,E33)*(B33-F33)*10000</f>
        <v>0</v>
      </c>
      <c r="J33" s="72"/>
      <c r="K33" s="72" t="s">
        <v>52</v>
      </c>
      <c r="L33" s="17"/>
      <c r="M33" s="17"/>
    </row>
    <row r="34" customFormat="false" ht="12.75" hidden="false" customHeight="false" outlineLevel="0" collapsed="false">
      <c r="I34" s="71"/>
      <c r="J34" s="72"/>
      <c r="K34" s="72"/>
      <c r="L34" s="17"/>
      <c r="M34" s="17"/>
    </row>
    <row r="35" customFormat="false" ht="12.75" hidden="false" customHeight="false" outlineLevel="0" collapsed="false">
      <c r="E35" s="52" t="n">
        <f aca="false">-A33+E33</f>
        <v>0</v>
      </c>
      <c r="F35" s="0" t="n">
        <f aca="false">IF(E35&lt;0,B33,F33)</f>
        <v>0</v>
      </c>
      <c r="G35" s="53" t="n">
        <f aca="false">IF(E35&lt;0,(F35-B38)*ABS(E35)*10000,-1*(F35-B38)*ABS(E35)*10000)</f>
        <v>0</v>
      </c>
      <c r="I35" s="71" t="n">
        <f aca="false">G35</f>
        <v>0</v>
      </c>
      <c r="J35" s="72"/>
      <c r="K35" s="72" t="s">
        <v>53</v>
      </c>
      <c r="L35" s="17"/>
      <c r="M35" s="17" t="s">
        <v>54</v>
      </c>
    </row>
    <row r="36" customFormat="false" ht="12.75" hidden="false" customHeight="false" outlineLevel="0" collapsed="false">
      <c r="L36" s="17"/>
      <c r="M36" s="17"/>
    </row>
    <row r="37" customFormat="false" ht="12.75" hidden="false" customHeight="false" outlineLevel="0" collapsed="false">
      <c r="E37" s="52" t="n">
        <f aca="false">-A33+E33</f>
        <v>0</v>
      </c>
      <c r="F37" s="0" t="n">
        <f aca="false">IF(E37&lt;0,(B33+(I33/(ABS(E37)*10000))),IF(E37=0,0,(F33-(I33/(ABS(E37)*10000)))))</f>
        <v>0</v>
      </c>
      <c r="G37" s="53" t="n">
        <f aca="false">IF(E37&lt;0,(F37-B38)*ABS(E37)*10000,IF(E37=0,0,-1*(F37-B38)*ABS(E37)*10000))</f>
        <v>0</v>
      </c>
      <c r="I37" s="73" t="n">
        <f aca="false">G37</f>
        <v>0</v>
      </c>
      <c r="J37" s="74"/>
      <c r="K37" s="74" t="s">
        <v>55</v>
      </c>
      <c r="L37" s="17"/>
      <c r="M37" s="17" t="s">
        <v>56</v>
      </c>
    </row>
    <row r="38" customFormat="false" ht="12.75" hidden="false" customHeight="false" outlineLevel="0" collapsed="false">
      <c r="B38" s="0" t="n">
        <f aca="false">IF(ISBLANK(B39),'[1]Nymex Prices'!B10,B39)</f>
        <v>4.058</v>
      </c>
      <c r="C38" s="51" t="s">
        <v>57</v>
      </c>
      <c r="L38" s="17"/>
      <c r="M38" s="17"/>
    </row>
    <row r="39" customFormat="false" ht="12.75" hidden="false" customHeight="false" outlineLevel="0" collapsed="false">
      <c r="B39" s="0" t="n">
        <f aca="false">Summary!B7</f>
        <v>4.058</v>
      </c>
      <c r="C39" s="51" t="s">
        <v>58</v>
      </c>
      <c r="I39" s="75" t="n">
        <f aca="false">I33+I35</f>
        <v>0</v>
      </c>
      <c r="J39" s="76"/>
      <c r="K39" s="76" t="s">
        <v>59</v>
      </c>
      <c r="L39" s="17"/>
      <c r="M39" s="17"/>
    </row>
    <row r="46" customFormat="false" ht="12.75" hidden="false" customHeight="false" outlineLevel="0" collapsed="false">
      <c r="A46" s="52"/>
    </row>
    <row r="49" customFormat="false" ht="12.75" hidden="false" customHeight="false" outlineLevel="0" collapsed="false">
      <c r="A49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5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G19" activeCellId="0" sqref="G19"/>
    </sheetView>
  </sheetViews>
  <sheetFormatPr defaultColWidth="12.7070312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1.85"/>
    <col collapsed="false" customWidth="true" hidden="false" outlineLevel="0" max="3" min="3" style="0" width="11.56"/>
    <col collapsed="false" customWidth="true" hidden="false" outlineLevel="0" max="4" min="4" style="0" width="12.42"/>
    <col collapsed="false" customWidth="true" hidden="false" outlineLevel="0" max="5" min="5" style="0" width="11.42"/>
    <col collapsed="false" customWidth="true" hidden="false" outlineLevel="0" max="6" min="6" style="0" width="10.99"/>
    <col collapsed="false" customWidth="true" hidden="false" outlineLevel="0" max="7" min="7" style="0" width="11.13"/>
    <col collapsed="false" customWidth="true" hidden="false" outlineLevel="0" max="8" min="8" style="0" width="14.41"/>
    <col collapsed="false" customWidth="true" hidden="false" outlineLevel="0" max="9" min="9" style="0" width="15.41"/>
    <col collapsed="false" customWidth="true" hidden="false" outlineLevel="0" max="10" min="10" style="0" width="7.99"/>
    <col collapsed="false" customWidth="true" hidden="false" outlineLevel="0" max="11" min="11" style="0" width="10.71"/>
  </cols>
  <sheetData>
    <row r="1" customFormat="false" ht="12.75" hidden="false" customHeight="false" outlineLevel="0" collapsed="false">
      <c r="B1" s="11" t="s">
        <v>70</v>
      </c>
      <c r="C1" s="11" t="s">
        <v>25</v>
      </c>
      <c r="D1" s="11" t="s">
        <v>127</v>
      </c>
      <c r="E1" s="11" t="s">
        <v>27</v>
      </c>
      <c r="F1" s="1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.75" hidden="false" customHeight="false" outlineLevel="0" collapsed="false">
      <c r="B2" s="11"/>
      <c r="C2" s="11"/>
      <c r="D2" s="11"/>
      <c r="E2" s="1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2.75" hidden="false" customHeight="false" outlineLevel="0" collapsed="false">
      <c r="A3" s="47" t="n">
        <v>37043</v>
      </c>
      <c r="B3" s="112"/>
      <c r="C3" s="13"/>
      <c r="D3" s="113"/>
      <c r="E3" s="13"/>
      <c r="F3" s="114" t="n">
        <v>-0.06</v>
      </c>
      <c r="G3" s="0" t="n">
        <f aca="false">0.021-0.005</f>
        <v>0.016</v>
      </c>
      <c r="H3" s="0" t="n">
        <f aca="false">G3*760000</f>
        <v>12160</v>
      </c>
    </row>
    <row r="4" customFormat="false" ht="12.75" hidden="false" customHeight="false" outlineLevel="0" collapsed="false">
      <c r="A4" s="47" t="n">
        <v>37073</v>
      </c>
      <c r="B4" s="112" t="n">
        <f aca="false">-31-31</f>
        <v>-62</v>
      </c>
      <c r="C4" s="13"/>
      <c r="D4" s="13" t="n">
        <v>-31</v>
      </c>
      <c r="E4" s="13" t="n">
        <v>-139.5</v>
      </c>
      <c r="F4" s="114" t="n">
        <v>0.04</v>
      </c>
      <c r="G4" s="0" t="n">
        <v>0.015</v>
      </c>
      <c r="H4" s="0" t="n">
        <f aca="false">G4*900000</f>
        <v>13500</v>
      </c>
    </row>
    <row r="5" customFormat="false" ht="12.75" hidden="false" customHeight="false" outlineLevel="0" collapsed="false">
      <c r="A5" s="47" t="n">
        <v>37104</v>
      </c>
      <c r="B5" s="112" t="n">
        <f aca="false">-31-31</f>
        <v>-62</v>
      </c>
      <c r="C5" s="13"/>
      <c r="D5" s="13" t="n">
        <v>-31</v>
      </c>
      <c r="E5" s="13"/>
      <c r="F5" s="114" t="n">
        <v>0.07</v>
      </c>
      <c r="H5" s="0" t="n">
        <f aca="false">SUM(H3:H4)</f>
        <v>25660</v>
      </c>
    </row>
    <row r="6" customFormat="false" ht="12.75" hidden="false" customHeight="false" outlineLevel="0" collapsed="false">
      <c r="A6" s="47" t="n">
        <v>37135</v>
      </c>
      <c r="B6" s="112" t="n">
        <f aca="false">-30-30</f>
        <v>-60</v>
      </c>
      <c r="C6" s="13"/>
      <c r="D6" s="13" t="n">
        <v>-30</v>
      </c>
      <c r="E6" s="13"/>
      <c r="F6" s="114" t="n">
        <v>0.04</v>
      </c>
    </row>
    <row r="7" customFormat="false" ht="12.75" hidden="false" customHeight="false" outlineLevel="0" collapsed="false">
      <c r="A7" s="47" t="n">
        <v>37165</v>
      </c>
      <c r="B7" s="112"/>
      <c r="C7" s="13"/>
      <c r="D7" s="13"/>
      <c r="E7" s="13"/>
      <c r="F7" s="114" t="n">
        <v>0.015</v>
      </c>
    </row>
    <row r="8" customFormat="false" ht="12.75" hidden="false" customHeight="false" outlineLevel="0" collapsed="false">
      <c r="A8" s="47" t="n">
        <v>37196</v>
      </c>
      <c r="B8" s="13"/>
      <c r="C8" s="13"/>
      <c r="D8" s="13"/>
      <c r="E8" s="13"/>
      <c r="F8" s="13"/>
    </row>
    <row r="9" customFormat="false" ht="12.75" hidden="false" customHeight="false" outlineLevel="0" collapsed="false">
      <c r="A9" s="47" t="n">
        <v>37226</v>
      </c>
      <c r="B9" s="13"/>
      <c r="C9" s="13"/>
      <c r="D9" s="13"/>
      <c r="E9" s="13"/>
      <c r="F9" s="13"/>
    </row>
    <row r="10" customFormat="false" ht="12.75" hidden="false" customHeight="false" outlineLevel="0" collapsed="false">
      <c r="A10" s="47" t="n">
        <v>37257</v>
      </c>
      <c r="B10" s="13"/>
      <c r="C10" s="13"/>
      <c r="D10" s="13"/>
      <c r="E10" s="13"/>
      <c r="F10" s="13"/>
    </row>
    <row r="11" customFormat="false" ht="12.75" hidden="false" customHeight="false" outlineLevel="0" collapsed="false">
      <c r="A11" s="47" t="n">
        <v>37288</v>
      </c>
      <c r="B11" s="13"/>
      <c r="C11" s="13"/>
      <c r="D11" s="13"/>
      <c r="E11" s="13"/>
      <c r="F11" s="13"/>
    </row>
    <row r="12" customFormat="false" ht="12.75" hidden="false" customHeight="false" outlineLevel="0" collapsed="false">
      <c r="A12" s="47" t="n">
        <v>37316</v>
      </c>
      <c r="B12" s="13"/>
      <c r="C12" s="13"/>
      <c r="D12" s="13"/>
      <c r="E12" s="13"/>
      <c r="F12" s="13"/>
    </row>
    <row r="13" customFormat="false" ht="12.75" hidden="false" customHeight="false" outlineLevel="0" collapsed="false">
      <c r="A13" s="47" t="n">
        <v>37347</v>
      </c>
      <c r="B13" s="13"/>
      <c r="C13" s="13"/>
      <c r="D13" s="13"/>
      <c r="E13" s="13"/>
      <c r="F13" s="13"/>
    </row>
    <row r="14" customFormat="false" ht="12.75" hidden="false" customHeight="false" outlineLevel="0" collapsed="false">
      <c r="A14" s="47" t="n">
        <v>37377</v>
      </c>
      <c r="B14" s="13"/>
      <c r="C14" s="13"/>
      <c r="D14" s="13"/>
      <c r="E14" s="13"/>
      <c r="F14" s="13"/>
      <c r="I14" s="0" t="n">
        <f aca="false">4.5*31</f>
        <v>139.5</v>
      </c>
    </row>
    <row r="15" customFormat="false" ht="12.75" hidden="false" customHeight="false" outlineLevel="0" collapsed="false">
      <c r="A15" s="47" t="n">
        <v>37408</v>
      </c>
      <c r="B15" s="13"/>
      <c r="C15" s="13"/>
      <c r="D15" s="13"/>
      <c r="E15" s="13"/>
      <c r="F15" s="13"/>
    </row>
    <row r="16" customFormat="false" ht="12.75" hidden="false" customHeight="false" outlineLevel="0" collapsed="false">
      <c r="A16" s="47" t="n">
        <v>37438</v>
      </c>
      <c r="B16" s="13"/>
      <c r="C16" s="13"/>
      <c r="D16" s="13"/>
      <c r="E16" s="113"/>
      <c r="F16" s="113"/>
    </row>
    <row r="17" customFormat="false" ht="12.75" hidden="false" customHeight="false" outlineLevel="0" collapsed="false">
      <c r="A17" s="47"/>
      <c r="B17" s="112" t="n">
        <f aca="false">SUM(B3:B16)</f>
        <v>-184</v>
      </c>
      <c r="C17" s="112" t="n">
        <f aca="false">SUM(C3:C16)</f>
        <v>0</v>
      </c>
      <c r="D17" s="112" t="n">
        <f aca="false">SUM(D3:D16)</f>
        <v>-92</v>
      </c>
      <c r="E17" s="13"/>
      <c r="F17" s="13"/>
    </row>
    <row r="18" customFormat="false" ht="12.75" hidden="false" customHeight="false" outlineLevel="0" collapsed="false">
      <c r="A18" s="47"/>
      <c r="B18" s="13"/>
      <c r="C18" s="13"/>
      <c r="D18" s="13"/>
      <c r="E18" s="13"/>
      <c r="F18" s="13"/>
    </row>
    <row r="19" customFormat="false" ht="12.75" hidden="false" customHeight="false" outlineLevel="0" collapsed="false">
      <c r="A19" s="47"/>
      <c r="B19" s="13" t="n">
        <f aca="false">SUM(B17:E17)</f>
        <v>-276</v>
      </c>
      <c r="C19" s="13" t="n">
        <f aca="false">SUM(C17:F17)</f>
        <v>-92</v>
      </c>
      <c r="D19" s="13" t="n">
        <f aca="false">SUM(D17:G17)</f>
        <v>-92</v>
      </c>
      <c r="E19" s="13"/>
      <c r="F19" s="13"/>
    </row>
    <row r="20" customFormat="false" ht="12.75" hidden="false" customHeight="false" outlineLevel="0" collapsed="false">
      <c r="A20" s="47"/>
      <c r="B20" s="13"/>
      <c r="C20" s="13"/>
      <c r="D20" s="13"/>
      <c r="E20" s="13"/>
      <c r="F20" s="13"/>
    </row>
    <row r="21" customFormat="false" ht="12.75" hidden="false" customHeight="false" outlineLevel="0" collapsed="false">
      <c r="A21" s="47"/>
      <c r="B21" s="13"/>
      <c r="C21" s="13"/>
      <c r="D21" s="13"/>
      <c r="E21" s="13"/>
      <c r="F21" s="13"/>
    </row>
    <row r="22" customFormat="false" ht="12.75" hidden="false" customHeight="false" outlineLevel="0" collapsed="false">
      <c r="A22" s="47"/>
      <c r="B22" s="13"/>
      <c r="C22" s="13"/>
      <c r="D22" s="13" t="n">
        <f aca="false">270*10000</f>
        <v>2700000</v>
      </c>
      <c r="E22" s="13"/>
      <c r="F22" s="13"/>
    </row>
    <row r="23" customFormat="false" ht="12.75" hidden="false" customHeight="false" outlineLevel="0" collapsed="false">
      <c r="A23" s="47"/>
      <c r="B23" s="13"/>
      <c r="C23" s="13"/>
      <c r="D23" s="13" t="n">
        <f aca="false">D22*0.0075</f>
        <v>20250</v>
      </c>
      <c r="E23" s="13"/>
      <c r="F23" s="13"/>
    </row>
    <row r="24" customFormat="false" ht="12.75" hidden="false" customHeight="false" outlineLevel="0" collapsed="false">
      <c r="A24" s="47"/>
      <c r="B24" s="13"/>
      <c r="C24" s="13"/>
      <c r="D24" s="13"/>
      <c r="E24" s="13"/>
      <c r="F24" s="13"/>
    </row>
    <row r="25" customFormat="false" ht="12.75" hidden="false" customHeight="false" outlineLevel="0" collapsed="false">
      <c r="A25" s="47"/>
      <c r="B25" s="13"/>
      <c r="C25" s="13"/>
      <c r="D25" s="13"/>
      <c r="E25" s="13"/>
      <c r="F25" s="13"/>
    </row>
    <row r="26" customFormat="false" ht="12.75" hidden="false" customHeight="false" outlineLevel="0" collapsed="false">
      <c r="A26" s="47"/>
      <c r="B26" s="13"/>
      <c r="C26" s="13"/>
      <c r="D26" s="13"/>
      <c r="E26" s="13"/>
      <c r="F26" s="13"/>
    </row>
    <row r="27" customFormat="false" ht="12.75" hidden="false" customHeight="false" outlineLevel="0" collapsed="false">
      <c r="A27" s="47"/>
      <c r="B27" s="13"/>
      <c r="C27" s="13"/>
      <c r="D27" s="13"/>
      <c r="E27" s="13"/>
      <c r="F27" s="13"/>
    </row>
    <row r="28" customFormat="false" ht="12.75" hidden="false" customHeight="false" outlineLevel="0" collapsed="false">
      <c r="A28" s="47"/>
      <c r="B28" s="13"/>
      <c r="C28" s="13"/>
      <c r="D28" s="13"/>
      <c r="E28" s="13"/>
      <c r="F28" s="13"/>
    </row>
    <row r="29" customFormat="false" ht="12.75" hidden="false" customHeight="false" outlineLevel="0" collapsed="false">
      <c r="A29" s="47"/>
      <c r="B29" s="13"/>
      <c r="C29" s="13"/>
      <c r="D29" s="13"/>
      <c r="E29" s="13"/>
      <c r="F29" s="13"/>
    </row>
    <row r="30" customFormat="false" ht="12.75" hidden="false" customHeight="false" outlineLevel="0" collapsed="false">
      <c r="A30" s="47"/>
      <c r="B30" s="13"/>
      <c r="C30" s="13"/>
      <c r="D30" s="13"/>
      <c r="E30" s="13"/>
      <c r="F30" s="13"/>
    </row>
    <row r="31" customFormat="false" ht="12.75" hidden="false" customHeight="false" outlineLevel="0" collapsed="false">
      <c r="A31" s="47"/>
      <c r="B31" s="13"/>
      <c r="C31" s="13"/>
      <c r="D31" s="13"/>
      <c r="E31" s="13"/>
      <c r="F31" s="13"/>
      <c r="G31" s="26"/>
      <c r="H31" s="26"/>
    </row>
    <row r="32" customFormat="false" ht="12.75" hidden="false" customHeight="false" outlineLevel="0" collapsed="false">
      <c r="A32" s="47"/>
      <c r="B32" s="13"/>
      <c r="C32" s="13"/>
      <c r="D32" s="13"/>
      <c r="E32" s="13"/>
      <c r="F32" s="13"/>
    </row>
    <row r="33" customFormat="false" ht="12.75" hidden="false" customHeight="false" outlineLevel="0" collapsed="false">
      <c r="A33" s="47"/>
      <c r="B33" s="13"/>
      <c r="C33" s="13"/>
      <c r="D33" s="13"/>
      <c r="E33" s="13"/>
      <c r="F33" s="13"/>
    </row>
    <row r="34" customFormat="false" ht="12.75" hidden="false" customHeight="false" outlineLevel="0" collapsed="false">
      <c r="A34" s="47"/>
      <c r="B34" s="26"/>
      <c r="C34" s="26"/>
      <c r="D34" s="26"/>
      <c r="E34" s="26"/>
      <c r="F34" s="26"/>
      <c r="G34" s="115"/>
      <c r="H34" s="116"/>
      <c r="I34" s="115"/>
      <c r="J34" s="115"/>
      <c r="K34" s="117"/>
      <c r="L34" s="117"/>
    </row>
    <row r="35" customFormat="false" ht="12.75" hidden="false" customHeight="false" outlineLevel="0" collapsed="false">
      <c r="E35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2" activeCellId="0" sqref="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0" width="10.13"/>
    <col collapsed="false" customWidth="true" hidden="false" outlineLevel="0" max="2" min="2" style="0" width="9.41"/>
    <col collapsed="false" customWidth="true" hidden="false" outlineLevel="0" max="3" min="3" style="51" width="17.14"/>
    <col collapsed="false" customWidth="true" hidden="false" outlineLevel="0" max="4" min="4" style="0" width="3.14"/>
    <col collapsed="false" customWidth="true" hidden="false" outlineLevel="0" max="5" min="5" style="52" width="10.13"/>
    <col collapsed="false" customWidth="true" hidden="false" outlineLevel="0" max="6" min="6" style="0" width="9.41"/>
    <col collapsed="false" customWidth="true" hidden="false" outlineLevel="0" max="7" min="7" style="53" width="15.28"/>
    <col collapsed="false" customWidth="true" hidden="false" outlineLevel="0" max="8" min="8" style="0" width="2.84"/>
    <col collapsed="false" customWidth="true" hidden="false" outlineLevel="0" max="9" min="9" style="54" width="14.85"/>
    <col collapsed="false" customWidth="true" hidden="false" outlineLevel="0" max="10" min="10" style="0" width="2.13"/>
    <col collapsed="false" customWidth="true" hidden="false" outlineLevel="0" max="11" min="11" style="0" width="21.7"/>
  </cols>
  <sheetData>
    <row r="1" customFormat="false" ht="12.75" hidden="false" customHeight="false" outlineLevel="0" collapsed="false">
      <c r="A1" s="55" t="s">
        <v>49</v>
      </c>
      <c r="B1" s="3"/>
      <c r="C1" s="56"/>
      <c r="D1" s="17"/>
      <c r="E1" s="55"/>
      <c r="F1" s="3"/>
      <c r="G1" s="57"/>
      <c r="I1" s="58"/>
      <c r="K1" s="59"/>
    </row>
    <row r="2" customFormat="false" ht="12.75" hidden="false" customHeight="false" outlineLevel="0" collapsed="false">
      <c r="A2" s="60" t="n">
        <v>37.75</v>
      </c>
      <c r="B2" s="3" t="n">
        <v>4.155</v>
      </c>
      <c r="C2" s="56" t="n">
        <f aca="false">A2*B2*10000</f>
        <v>1568512.5</v>
      </c>
      <c r="D2" s="17"/>
      <c r="E2" s="61" t="n">
        <v>37.75</v>
      </c>
      <c r="F2" s="62" t="n">
        <v>4.28</v>
      </c>
      <c r="G2" s="63" t="n">
        <f aca="false">E2*F2*10000</f>
        <v>1615700</v>
      </c>
      <c r="I2" s="64"/>
    </row>
    <row r="3" customFormat="false" ht="12.75" hidden="false" customHeight="false" outlineLevel="0" collapsed="false">
      <c r="A3" s="60" t="n">
        <v>37.75</v>
      </c>
      <c r="B3" s="3" t="n">
        <v>4.16</v>
      </c>
      <c r="C3" s="56" t="n">
        <f aca="false">A3*B3*10000</f>
        <v>1570400</v>
      </c>
      <c r="D3" s="17"/>
      <c r="E3" s="65" t="n">
        <v>37.75</v>
      </c>
      <c r="F3" s="3" t="n">
        <v>4.305</v>
      </c>
      <c r="G3" s="63" t="n">
        <f aca="false">E3*F3*10000</f>
        <v>1625137.5</v>
      </c>
      <c r="I3" s="66"/>
      <c r="K3" s="67"/>
    </row>
    <row r="4" customFormat="false" ht="12.75" hidden="false" customHeight="false" outlineLevel="0" collapsed="false">
      <c r="A4" s="68" t="n">
        <v>37.75</v>
      </c>
      <c r="B4" s="62" t="n">
        <v>4.275</v>
      </c>
      <c r="C4" s="56" t="n">
        <f aca="false">A4*B4*10000</f>
        <v>1613812.5</v>
      </c>
      <c r="D4" s="17"/>
      <c r="E4" s="65" t="n">
        <v>37.75</v>
      </c>
      <c r="F4" s="3" t="n">
        <v>4.38</v>
      </c>
      <c r="G4" s="63" t="n">
        <f aca="false">E4*F4*10000</f>
        <v>1653450</v>
      </c>
      <c r="J4" s="64"/>
      <c r="K4" s="17" t="n">
        <f aca="false">4.69+0.032</f>
        <v>4.722</v>
      </c>
    </row>
    <row r="5" customFormat="false" ht="12.75" hidden="false" customHeight="false" outlineLevel="0" collapsed="false">
      <c r="A5" s="68" t="n">
        <v>37.75</v>
      </c>
      <c r="B5" s="62" t="n">
        <v>4.28</v>
      </c>
      <c r="C5" s="56" t="n">
        <f aca="false">A5*B5*10000</f>
        <v>1615700</v>
      </c>
      <c r="D5" s="17"/>
      <c r="E5" s="61" t="n">
        <v>37.75</v>
      </c>
      <c r="F5" s="62" t="n">
        <v>4.365</v>
      </c>
      <c r="G5" s="63" t="n">
        <f aca="false">E5*F5*10000</f>
        <v>1647787.5</v>
      </c>
      <c r="I5" s="64"/>
      <c r="J5" s="36"/>
      <c r="K5" s="17"/>
    </row>
    <row r="6" customFormat="false" ht="12.75" hidden="false" customHeight="false" outlineLevel="0" collapsed="false">
      <c r="A6" s="69"/>
      <c r="B6" s="3"/>
      <c r="C6" s="56" t="n">
        <f aca="false">A6*B6*10000</f>
        <v>0</v>
      </c>
      <c r="D6" s="17"/>
      <c r="E6" s="65"/>
      <c r="F6" s="3"/>
      <c r="G6" s="63" t="n">
        <f aca="false">E6*F6*10000</f>
        <v>0</v>
      </c>
      <c r="I6" s="64"/>
      <c r="J6" s="36"/>
      <c r="K6" s="17"/>
      <c r="L6" s="0" t="n">
        <v>30</v>
      </c>
      <c r="M6" s="0" t="n">
        <v>5.49</v>
      </c>
      <c r="N6" s="0" t="n">
        <f aca="false">L6*M6</f>
        <v>164.7</v>
      </c>
    </row>
    <row r="7" customFormat="false" ht="12.75" hidden="false" customHeight="false" outlineLevel="0" collapsed="false">
      <c r="A7" s="65"/>
      <c r="B7" s="3"/>
      <c r="C7" s="56" t="n">
        <f aca="false">A7*B7*10000</f>
        <v>0</v>
      </c>
      <c r="D7" s="17"/>
      <c r="E7" s="65"/>
      <c r="F7" s="3"/>
      <c r="G7" s="63" t="n">
        <f aca="false">E7*F7*10000</f>
        <v>0</v>
      </c>
      <c r="I7" s="64"/>
      <c r="K7" s="0" t="n">
        <v>15.5</v>
      </c>
      <c r="L7" s="0" t="n">
        <v>15</v>
      </c>
      <c r="M7" s="0" t="n">
        <v>5.455</v>
      </c>
      <c r="N7" s="0" t="n">
        <f aca="false">L7*M7</f>
        <v>81.825</v>
      </c>
    </row>
    <row r="8" customFormat="false" ht="12.75" hidden="false" customHeight="false" outlineLevel="0" collapsed="false">
      <c r="A8" s="65"/>
      <c r="B8" s="3"/>
      <c r="C8" s="56" t="n">
        <f aca="false">A8*B8*10000</f>
        <v>0</v>
      </c>
      <c r="D8" s="17"/>
      <c r="E8" s="65"/>
      <c r="F8" s="3"/>
      <c r="G8" s="63" t="n">
        <f aca="false">E8*F8*10000</f>
        <v>0</v>
      </c>
      <c r="I8" s="64"/>
      <c r="K8" s="17" t="n">
        <v>15.5</v>
      </c>
      <c r="L8" s="111"/>
      <c r="M8" s="111"/>
      <c r="N8" s="0" t="n">
        <f aca="false">L8*M8</f>
        <v>0</v>
      </c>
    </row>
    <row r="9" customFormat="false" ht="12.75" hidden="false" customHeight="false" outlineLevel="0" collapsed="false">
      <c r="A9" s="65"/>
      <c r="B9" s="3"/>
      <c r="C9" s="56" t="n">
        <f aca="false">A9*B9*10000</f>
        <v>0</v>
      </c>
      <c r="D9" s="17"/>
      <c r="E9" s="65"/>
      <c r="F9" s="3"/>
      <c r="G9" s="63" t="n">
        <f aca="false">E9*F9*10000</f>
        <v>0</v>
      </c>
      <c r="I9" s="64"/>
      <c r="K9" s="0" t="n">
        <v>14</v>
      </c>
      <c r="L9" s="111"/>
      <c r="M9" s="111"/>
      <c r="N9" s="0" t="n">
        <f aca="false">L9*M9</f>
        <v>0</v>
      </c>
    </row>
    <row r="10" customFormat="false" ht="12.75" hidden="false" customHeight="false" outlineLevel="0" collapsed="false">
      <c r="A10" s="65"/>
      <c r="B10" s="3"/>
      <c r="C10" s="56" t="n">
        <f aca="false">A10*B10*10000</f>
        <v>0</v>
      </c>
      <c r="D10" s="17"/>
      <c r="E10" s="65"/>
      <c r="F10" s="3"/>
      <c r="G10" s="63" t="n">
        <f aca="false">E10*F10*10000</f>
        <v>0</v>
      </c>
      <c r="I10" s="64"/>
      <c r="L10" s="111"/>
      <c r="M10" s="111"/>
      <c r="N10" s="0" t="n">
        <f aca="false">L10*M10</f>
        <v>0</v>
      </c>
    </row>
    <row r="11" customFormat="false" ht="12.75" hidden="false" customHeight="false" outlineLevel="0" collapsed="false">
      <c r="A11" s="65"/>
      <c r="B11" s="3"/>
      <c r="C11" s="56" t="n">
        <f aca="false">A11*B11*10000</f>
        <v>0</v>
      </c>
      <c r="D11" s="17"/>
      <c r="E11" s="65"/>
      <c r="F11" s="3"/>
      <c r="G11" s="63" t="n">
        <f aca="false">E11*F11*10000</f>
        <v>0</v>
      </c>
      <c r="I11" s="64"/>
      <c r="K11" s="0" t="n">
        <v>15.5</v>
      </c>
      <c r="L11" s="111"/>
      <c r="M11" s="111"/>
      <c r="N11" s="0" t="n">
        <f aca="false">L11*M11</f>
        <v>0</v>
      </c>
    </row>
    <row r="12" customFormat="false" ht="12.75" hidden="false" customHeight="false" outlineLevel="0" collapsed="false">
      <c r="A12" s="65"/>
      <c r="B12" s="3"/>
      <c r="C12" s="56" t="n">
        <f aca="false">A12*B12*10000</f>
        <v>0</v>
      </c>
      <c r="D12" s="17"/>
      <c r="E12" s="65"/>
      <c r="F12" s="3"/>
      <c r="G12" s="63" t="n">
        <f aca="false">E12*F12*10000</f>
        <v>0</v>
      </c>
      <c r="I12" s="64"/>
      <c r="K12" s="0" t="n">
        <v>15.5</v>
      </c>
      <c r="L12" s="111"/>
      <c r="M12" s="111"/>
      <c r="N12" s="0" t="n">
        <f aca="false">L12*M12</f>
        <v>0</v>
      </c>
    </row>
    <row r="13" customFormat="false" ht="12.75" hidden="false" customHeight="false" outlineLevel="0" collapsed="false">
      <c r="A13" s="65"/>
      <c r="B13" s="3"/>
      <c r="C13" s="56" t="n">
        <f aca="false">A13*B13*10000</f>
        <v>0</v>
      </c>
      <c r="D13" s="17"/>
      <c r="E13" s="65"/>
      <c r="F13" s="3"/>
      <c r="G13" s="63" t="n">
        <f aca="false">E13*F13*10000</f>
        <v>0</v>
      </c>
      <c r="I13" s="64"/>
      <c r="K13" s="0" t="n">
        <v>14</v>
      </c>
      <c r="L13" s="0" t="n">
        <f aca="false">SUM(L6:L12)</f>
        <v>45</v>
      </c>
      <c r="N13" s="0" t="n">
        <f aca="false">SUM(N6:N12)</f>
        <v>246.525</v>
      </c>
    </row>
    <row r="14" customFormat="false" ht="12.75" hidden="false" customHeight="false" outlineLevel="0" collapsed="false">
      <c r="A14" s="65"/>
      <c r="B14" s="3"/>
      <c r="C14" s="56" t="n">
        <f aca="false">A14*B14*10000</f>
        <v>0</v>
      </c>
      <c r="D14" s="17"/>
      <c r="E14" s="61"/>
      <c r="F14" s="62"/>
      <c r="G14" s="63" t="n">
        <f aca="false">E14*F14*10000</f>
        <v>0</v>
      </c>
      <c r="I14" s="64"/>
      <c r="K14" s="0" t="n">
        <v>15.5</v>
      </c>
      <c r="M14" s="0" t="n">
        <f aca="false">N13/L13</f>
        <v>5.47833333333333</v>
      </c>
    </row>
    <row r="15" customFormat="false" ht="12.75" hidden="false" customHeight="false" outlineLevel="0" collapsed="false">
      <c r="A15" s="65"/>
      <c r="B15" s="3"/>
      <c r="C15" s="56" t="n">
        <f aca="false">A15*B15*10000</f>
        <v>0</v>
      </c>
      <c r="D15" s="17"/>
      <c r="E15" s="61"/>
      <c r="F15" s="62"/>
      <c r="G15" s="63" t="n">
        <f aca="false">E15*F15*10000</f>
        <v>0</v>
      </c>
      <c r="I15" s="64"/>
      <c r="K15" s="0" t="n">
        <f aca="false">SUM(K11:K14)</f>
        <v>60.5</v>
      </c>
    </row>
    <row r="16" customFormat="false" ht="12.75" hidden="false" customHeight="false" outlineLevel="0" collapsed="false">
      <c r="A16" s="65"/>
      <c r="B16" s="3"/>
      <c r="C16" s="56" t="n">
        <f aca="false">A16*B16*10000</f>
        <v>0</v>
      </c>
      <c r="D16" s="17"/>
      <c r="E16" s="61"/>
      <c r="F16" s="62"/>
      <c r="G16" s="63" t="n">
        <f aca="false">E16*F16*10000</f>
        <v>0</v>
      </c>
      <c r="I16" s="64"/>
      <c r="K16" s="0" t="n">
        <f aca="false">K15/2</f>
        <v>30.25</v>
      </c>
    </row>
    <row r="17" customFormat="false" ht="12.75" hidden="false" customHeight="false" outlineLevel="0" collapsed="false">
      <c r="A17" s="65"/>
      <c r="B17" s="3"/>
      <c r="C17" s="56" t="n">
        <f aca="false">A17*B17*10000</f>
        <v>0</v>
      </c>
      <c r="D17" s="17"/>
      <c r="E17" s="61"/>
      <c r="F17" s="62"/>
      <c r="G17" s="63" t="n">
        <f aca="false">E17*F17*10000</f>
        <v>0</v>
      </c>
      <c r="I17" s="64"/>
    </row>
    <row r="18" customFormat="false" ht="12.75" hidden="false" customHeight="false" outlineLevel="0" collapsed="false">
      <c r="A18" s="65"/>
      <c r="B18" s="3"/>
      <c r="C18" s="56" t="n">
        <f aca="false">A18*B18*10000</f>
        <v>0</v>
      </c>
      <c r="D18" s="17"/>
      <c r="E18" s="61"/>
      <c r="F18" s="62"/>
      <c r="G18" s="63" t="n">
        <f aca="false">E18*F18*10000</f>
        <v>0</v>
      </c>
      <c r="I18" s="64"/>
      <c r="K18" s="0" t="n">
        <f aca="false">2500*214</f>
        <v>535000</v>
      </c>
    </row>
    <row r="19" customFormat="false" ht="12.75" hidden="false" customHeight="false" outlineLevel="0" collapsed="false">
      <c r="A19" s="65"/>
      <c r="B19" s="3"/>
      <c r="C19" s="56" t="n">
        <f aca="false">A19*B19*10000</f>
        <v>0</v>
      </c>
      <c r="D19" s="17"/>
      <c r="E19" s="61"/>
      <c r="F19" s="62"/>
      <c r="G19" s="63" t="n">
        <f aca="false">E19*F19*10000</f>
        <v>0</v>
      </c>
      <c r="I19" s="64"/>
      <c r="K19" s="0" t="n">
        <f aca="false">2500*151</f>
        <v>377500</v>
      </c>
    </row>
    <row r="20" customFormat="false" ht="12.75" hidden="false" customHeight="false" outlineLevel="0" collapsed="false">
      <c r="A20" s="65"/>
      <c r="B20" s="3"/>
      <c r="C20" s="56" t="n">
        <f aca="false">A20*B20*10000</f>
        <v>0</v>
      </c>
      <c r="D20" s="17"/>
      <c r="E20" s="61"/>
      <c r="F20" s="62"/>
      <c r="G20" s="63" t="n">
        <f aca="false">E20*F20*10000</f>
        <v>0</v>
      </c>
      <c r="I20" s="64"/>
    </row>
    <row r="21" customFormat="false" ht="12.75" hidden="false" customHeight="false" outlineLevel="0" collapsed="false">
      <c r="A21" s="65"/>
      <c r="B21" s="3"/>
      <c r="C21" s="56" t="n">
        <f aca="false">A21*B21*10000</f>
        <v>0</v>
      </c>
      <c r="D21" s="17"/>
      <c r="E21" s="61"/>
      <c r="F21" s="62"/>
      <c r="G21" s="63" t="n">
        <f aca="false">E21*F21*10000</f>
        <v>0</v>
      </c>
      <c r="I21" s="64"/>
    </row>
    <row r="22" customFormat="false" ht="12.75" hidden="false" customHeight="false" outlineLevel="0" collapsed="false">
      <c r="A22" s="65"/>
      <c r="B22" s="3"/>
      <c r="C22" s="56" t="n">
        <f aca="false">A22*B22*10000</f>
        <v>0</v>
      </c>
      <c r="D22" s="17"/>
      <c r="E22" s="61"/>
      <c r="F22" s="62"/>
      <c r="G22" s="63" t="n">
        <f aca="false">E22*F22*10000</f>
        <v>0</v>
      </c>
      <c r="I22" s="64"/>
      <c r="K22" s="0" t="n">
        <f aca="false">151/4</f>
        <v>37.75</v>
      </c>
    </row>
    <row r="23" customFormat="false" ht="12.75" hidden="false" customHeight="false" outlineLevel="0" collapsed="false">
      <c r="A23" s="65"/>
      <c r="B23" s="3"/>
      <c r="C23" s="56" t="n">
        <f aca="false">A23*B23*10000</f>
        <v>0</v>
      </c>
      <c r="D23" s="17"/>
      <c r="E23" s="61"/>
      <c r="F23" s="62"/>
      <c r="G23" s="63" t="n">
        <f aca="false">E23*F23*10000</f>
        <v>0</v>
      </c>
      <c r="I23" s="64"/>
    </row>
    <row r="24" customFormat="false" ht="6.75" hidden="false" customHeight="true" outlineLevel="0" collapsed="false">
      <c r="A24" s="65"/>
      <c r="B24" s="3"/>
      <c r="C24" s="56" t="n">
        <f aca="false">A24*B24*10000</f>
        <v>0</v>
      </c>
      <c r="D24" s="17"/>
      <c r="E24" s="61"/>
      <c r="F24" s="62"/>
      <c r="G24" s="63" t="n">
        <f aca="false">E24*F24*10000</f>
        <v>0</v>
      </c>
      <c r="I24" s="64"/>
    </row>
    <row r="25" customFormat="false" ht="6.75" hidden="false" customHeight="true" outlineLevel="0" collapsed="false">
      <c r="A25" s="65"/>
      <c r="B25" s="3"/>
      <c r="C25" s="56" t="n">
        <f aca="false">A25*B25*10000</f>
        <v>0</v>
      </c>
      <c r="D25" s="17"/>
      <c r="E25" s="61"/>
      <c r="F25" s="62"/>
      <c r="G25" s="63" t="n">
        <f aca="false">E25*F25*10000</f>
        <v>0</v>
      </c>
      <c r="I25" s="64"/>
    </row>
    <row r="26" customFormat="false" ht="6.75" hidden="false" customHeight="true" outlineLevel="0" collapsed="false">
      <c r="A26" s="65"/>
      <c r="B26" s="3"/>
      <c r="C26" s="56" t="n">
        <f aca="false">A26*B26*10000</f>
        <v>0</v>
      </c>
      <c r="D26" s="17"/>
      <c r="E26" s="61"/>
      <c r="F26" s="62"/>
      <c r="G26" s="63" t="n">
        <f aca="false">E26*F26*10000</f>
        <v>0</v>
      </c>
      <c r="I26" s="64"/>
    </row>
    <row r="27" customFormat="false" ht="9" hidden="false" customHeight="true" outlineLevel="0" collapsed="false">
      <c r="A27" s="65"/>
      <c r="B27" s="3"/>
      <c r="C27" s="56" t="n">
        <f aca="false">A27*B27*10000</f>
        <v>0</v>
      </c>
      <c r="D27" s="17"/>
      <c r="E27" s="61"/>
      <c r="F27" s="62"/>
      <c r="G27" s="63" t="n">
        <f aca="false">E27*F27*10000</f>
        <v>0</v>
      </c>
      <c r="I27" s="64"/>
    </row>
    <row r="28" customFormat="false" ht="9" hidden="false" customHeight="true" outlineLevel="0" collapsed="false">
      <c r="A28" s="65"/>
      <c r="B28" s="3"/>
      <c r="C28" s="56" t="n">
        <f aca="false">A28*B28*10000</f>
        <v>0</v>
      </c>
      <c r="D28" s="17"/>
      <c r="E28" s="61"/>
      <c r="F28" s="62"/>
      <c r="G28" s="63" t="n">
        <f aca="false">E28*F28*10000</f>
        <v>0</v>
      </c>
      <c r="I28" s="64"/>
    </row>
    <row r="29" customFormat="false" ht="9" hidden="false" customHeight="true" outlineLevel="0" collapsed="false">
      <c r="A29" s="65"/>
      <c r="B29" s="3"/>
      <c r="C29" s="56" t="n">
        <f aca="false">A29*B29*10000</f>
        <v>0</v>
      </c>
      <c r="D29" s="17"/>
      <c r="E29" s="65"/>
      <c r="F29" s="3"/>
      <c r="G29" s="63" t="n">
        <f aca="false">E29*F29*10000</f>
        <v>0</v>
      </c>
      <c r="I29" s="64"/>
    </row>
    <row r="30" customFormat="false" ht="9" hidden="false" customHeight="true" outlineLevel="0" collapsed="false">
      <c r="A30" s="65"/>
      <c r="B30" s="3"/>
      <c r="C30" s="56" t="n">
        <f aca="false">A30*B30*10000</f>
        <v>0</v>
      </c>
      <c r="D30" s="17"/>
      <c r="E30" s="65"/>
      <c r="F30" s="3"/>
      <c r="G30" s="63" t="n">
        <f aca="false">E30*F30*10000</f>
        <v>0</v>
      </c>
      <c r="I30" s="64"/>
    </row>
    <row r="31" customFormat="false" ht="12.75" hidden="false" customHeight="false" outlineLevel="0" collapsed="false">
      <c r="A31" s="65"/>
      <c r="B31" s="3"/>
      <c r="C31" s="56" t="n">
        <f aca="false">A31*B31*10000</f>
        <v>0</v>
      </c>
      <c r="D31" s="17"/>
      <c r="E31" s="65"/>
      <c r="F31" s="3"/>
      <c r="G31" s="63" t="n">
        <f aca="false">E31*F31*10000</f>
        <v>0</v>
      </c>
      <c r="I31" s="64"/>
    </row>
    <row r="32" customFormat="false" ht="12.75" hidden="false" customHeight="false" outlineLevel="0" collapsed="false">
      <c r="E32" s="50"/>
      <c r="G32" s="70"/>
    </row>
    <row r="33" customFormat="false" ht="12.75" hidden="false" customHeight="false" outlineLevel="0" collapsed="false">
      <c r="A33" s="118" t="n">
        <f aca="false">SUM(A1:A32)</f>
        <v>151</v>
      </c>
      <c r="B33" s="3" t="n">
        <f aca="false">IF(A33=0,0,C33/A33/10000)</f>
        <v>4.2175</v>
      </c>
      <c r="C33" s="56" t="n">
        <f aca="false">SUM(C1:C32)</f>
        <v>6368425</v>
      </c>
      <c r="E33" s="118" t="n">
        <f aca="false">SUM(E1:E32)</f>
        <v>151</v>
      </c>
      <c r="F33" s="3" t="n">
        <f aca="false">IF(E33=0,0,G33/E33/10000)</f>
        <v>4.3325</v>
      </c>
      <c r="G33" s="63" t="n">
        <f aca="false">SUM(G1:G32)</f>
        <v>6542075</v>
      </c>
      <c r="I33" s="71" t="n">
        <f aca="false">MIN(A33,E33)*(B33-F33)*10000</f>
        <v>-173649.999999999</v>
      </c>
      <c r="J33" s="72"/>
      <c r="K33" s="72" t="s">
        <v>52</v>
      </c>
      <c r="L33" s="17"/>
      <c r="M33" s="17"/>
    </row>
    <row r="34" customFormat="false" ht="12.75" hidden="false" customHeight="false" outlineLevel="0" collapsed="false">
      <c r="I34" s="71"/>
      <c r="J34" s="72"/>
      <c r="K34" s="72"/>
      <c r="L34" s="17"/>
      <c r="M34" s="17"/>
    </row>
    <row r="35" customFormat="false" ht="12.75" hidden="false" customHeight="false" outlineLevel="0" collapsed="false">
      <c r="E35" s="52" t="n">
        <f aca="false">-A33+E33</f>
        <v>0</v>
      </c>
      <c r="F35" s="0" t="n">
        <f aca="false">IF(E35&lt;0,B33,F33)</f>
        <v>4.3325</v>
      </c>
      <c r="G35" s="53" t="n">
        <f aca="false">IF(E35&lt;0,(F35-B38)*ABS(E35)*10000,-1*(F35-B38)*ABS(E35)*10000)</f>
        <v>0</v>
      </c>
      <c r="I35" s="71" t="n">
        <f aca="false">G35</f>
        <v>0</v>
      </c>
      <c r="J35" s="72"/>
      <c r="K35" s="72" t="s">
        <v>53</v>
      </c>
      <c r="L35" s="17"/>
      <c r="M35" s="17" t="s">
        <v>54</v>
      </c>
    </row>
    <row r="36" customFormat="false" ht="12.75" hidden="false" customHeight="false" outlineLevel="0" collapsed="false">
      <c r="L36" s="17"/>
      <c r="M36" s="17"/>
    </row>
    <row r="37" customFormat="false" ht="12.75" hidden="false" customHeight="false" outlineLevel="0" collapsed="false">
      <c r="E37" s="119" t="n">
        <f aca="false">-A33+E33</f>
        <v>0</v>
      </c>
      <c r="F37" s="0" t="n">
        <f aca="false">IF(E37&lt;0,(B33+(I33/(ABS(E37)*10000))),IF(E37=0,0,(F33-(I33/(ABS(E37)*10000)))))</f>
        <v>0</v>
      </c>
      <c r="G37" s="53" t="n">
        <f aca="false">IF(E37&lt;0,(F37-B38)*ABS(E37)*10000,IF(E37=0,0,-1*(F37-B38)*ABS(E37)*10000))</f>
        <v>0</v>
      </c>
      <c r="I37" s="73" t="n">
        <f aca="false">G37</f>
        <v>0</v>
      </c>
      <c r="J37" s="74"/>
      <c r="K37" s="74" t="s">
        <v>55</v>
      </c>
      <c r="L37" s="17"/>
      <c r="M37" s="17" t="s">
        <v>56</v>
      </c>
    </row>
    <row r="38" customFormat="false" ht="12.75" hidden="false" customHeight="false" outlineLevel="0" collapsed="false">
      <c r="B38" s="0" t="n">
        <f aca="false">IF(ISBLANK(B39),'[1]Nymex Prices'!B10,B39)</f>
        <v>4.35</v>
      </c>
      <c r="C38" s="51" t="s">
        <v>57</v>
      </c>
      <c r="L38" s="17"/>
      <c r="M38" s="17"/>
    </row>
    <row r="39" customFormat="false" ht="12.75" hidden="false" customHeight="false" outlineLevel="0" collapsed="false">
      <c r="B39" s="0" t="n">
        <f aca="false">Summary!B10</f>
        <v>4.35</v>
      </c>
      <c r="C39" s="51" t="s">
        <v>58</v>
      </c>
      <c r="I39" s="75" t="n">
        <f aca="false">I33+I35</f>
        <v>-173649.999999999</v>
      </c>
      <c r="J39" s="76"/>
      <c r="K39" s="76" t="s">
        <v>59</v>
      </c>
      <c r="L39" s="17"/>
      <c r="M39" s="17"/>
    </row>
    <row r="46" customFormat="false" ht="12.75" hidden="false" customHeight="false" outlineLevel="0" collapsed="false">
      <c r="A46" s="52"/>
    </row>
    <row r="49" customFormat="false" ht="12.75" hidden="false" customHeight="false" outlineLevel="0" collapsed="false">
      <c r="A49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0" width="9.14"/>
    <col collapsed="false" customWidth="true" hidden="false" outlineLevel="0" max="2" min="2" style="0" width="9.41"/>
    <col collapsed="false" customWidth="true" hidden="false" outlineLevel="0" max="3" min="3" style="51" width="17.14"/>
    <col collapsed="false" customWidth="true" hidden="false" outlineLevel="0" max="4" min="4" style="0" width="3.14"/>
    <col collapsed="false" customWidth="true" hidden="false" outlineLevel="0" max="5" min="5" style="52" width="10.13"/>
    <col collapsed="false" customWidth="true" hidden="false" outlineLevel="0" max="6" min="6" style="0" width="9.41"/>
    <col collapsed="false" customWidth="true" hidden="false" outlineLevel="0" max="7" min="7" style="53" width="15.28"/>
    <col collapsed="false" customWidth="true" hidden="false" outlineLevel="0" max="8" min="8" style="0" width="2.84"/>
    <col collapsed="false" customWidth="true" hidden="false" outlineLevel="0" max="9" min="9" style="54" width="14.85"/>
    <col collapsed="false" customWidth="true" hidden="false" outlineLevel="0" max="10" min="10" style="0" width="2.13"/>
    <col collapsed="false" customWidth="true" hidden="false" outlineLevel="0" max="11" min="11" style="0" width="21.7"/>
  </cols>
  <sheetData>
    <row r="1" customFormat="false" ht="12.75" hidden="false" customHeight="false" outlineLevel="0" collapsed="false">
      <c r="A1" s="55" t="s">
        <v>49</v>
      </c>
      <c r="B1" s="3"/>
      <c r="C1" s="56"/>
      <c r="D1" s="17"/>
      <c r="E1" s="55" t="s">
        <v>50</v>
      </c>
      <c r="F1" s="3"/>
      <c r="G1" s="57"/>
      <c r="I1" s="58"/>
      <c r="K1" s="59"/>
    </row>
    <row r="2" customFormat="false" ht="12.75" hidden="false" customHeight="false" outlineLevel="0" collapsed="false">
      <c r="A2" s="60" t="n">
        <v>30.75</v>
      </c>
      <c r="B2" s="3" t="n">
        <v>4.03</v>
      </c>
      <c r="C2" s="56" t="n">
        <f aca="false">A2*B2*10000</f>
        <v>1239225</v>
      </c>
      <c r="D2" s="17"/>
      <c r="E2" s="61" t="n">
        <v>61.5</v>
      </c>
      <c r="F2" s="62" t="n">
        <v>4.025</v>
      </c>
      <c r="G2" s="63" t="n">
        <f aca="false">E2*F2*10000</f>
        <v>2475375</v>
      </c>
      <c r="I2" s="64"/>
    </row>
    <row r="3" customFormat="false" ht="12.75" hidden="false" customHeight="false" outlineLevel="0" collapsed="false">
      <c r="A3" s="60"/>
      <c r="B3" s="3"/>
      <c r="C3" s="56" t="n">
        <f aca="false">A3*B3*10000</f>
        <v>0</v>
      </c>
      <c r="D3" s="17"/>
      <c r="E3" s="65"/>
      <c r="F3" s="3"/>
      <c r="G3" s="63" t="n">
        <f aca="false">E3*F3*10000</f>
        <v>0</v>
      </c>
      <c r="I3" s="66"/>
      <c r="K3" s="67"/>
    </row>
    <row r="4" customFormat="false" ht="12.75" hidden="false" customHeight="false" outlineLevel="0" collapsed="false">
      <c r="A4" s="68"/>
      <c r="B4" s="62"/>
      <c r="C4" s="56" t="n">
        <f aca="false">A4*B4*10000</f>
        <v>0</v>
      </c>
      <c r="D4" s="17"/>
      <c r="E4" s="65"/>
      <c r="F4" s="3"/>
      <c r="G4" s="63" t="n">
        <f aca="false">E4*F4*10000</f>
        <v>0</v>
      </c>
      <c r="J4" s="64"/>
      <c r="K4" s="17" t="n">
        <f aca="false">4.69+0.032</f>
        <v>4.722</v>
      </c>
    </row>
    <row r="5" customFormat="false" ht="12.75" hidden="false" customHeight="false" outlineLevel="0" collapsed="false">
      <c r="A5" s="68"/>
      <c r="B5" s="62"/>
      <c r="C5" s="56" t="n">
        <f aca="false">A5*B5*10000</f>
        <v>0</v>
      </c>
      <c r="D5" s="17"/>
      <c r="E5" s="61"/>
      <c r="F5" s="62"/>
      <c r="G5" s="63" t="n">
        <f aca="false">E5*F5*10000</f>
        <v>0</v>
      </c>
      <c r="I5" s="64"/>
      <c r="J5" s="36"/>
      <c r="K5" s="17"/>
    </row>
    <row r="6" customFormat="false" ht="12.75" hidden="false" customHeight="false" outlineLevel="0" collapsed="false">
      <c r="A6" s="69"/>
      <c r="B6" s="3"/>
      <c r="C6" s="56" t="n">
        <f aca="false">A6*B6*10000</f>
        <v>0</v>
      </c>
      <c r="D6" s="17"/>
      <c r="E6" s="65"/>
      <c r="F6" s="3"/>
      <c r="G6" s="63" t="n">
        <f aca="false">E6*F6*10000</f>
        <v>0</v>
      </c>
      <c r="I6" s="64"/>
      <c r="J6" s="36"/>
      <c r="K6" s="17"/>
      <c r="L6" s="0" t="n">
        <v>30</v>
      </c>
      <c r="M6" s="0" t="n">
        <v>5.49</v>
      </c>
      <c r="N6" s="0" t="n">
        <f aca="false">L6*M6</f>
        <v>164.7</v>
      </c>
    </row>
    <row r="7" customFormat="false" ht="12.75" hidden="false" customHeight="false" outlineLevel="0" collapsed="false">
      <c r="A7" s="65"/>
      <c r="B7" s="3"/>
      <c r="C7" s="56" t="n">
        <f aca="false">A7*B7*10000</f>
        <v>0</v>
      </c>
      <c r="D7" s="17"/>
      <c r="E7" s="65"/>
      <c r="F7" s="3"/>
      <c r="G7" s="63" t="n">
        <f aca="false">E7*F7*10000</f>
        <v>0</v>
      </c>
      <c r="I7" s="64"/>
      <c r="K7" s="0" t="n">
        <v>15.5</v>
      </c>
      <c r="L7" s="0" t="n">
        <v>15</v>
      </c>
      <c r="M7" s="0" t="n">
        <v>5.455</v>
      </c>
      <c r="N7" s="0" t="n">
        <f aca="false">L7*M7</f>
        <v>81.825</v>
      </c>
    </row>
    <row r="8" customFormat="false" ht="12.75" hidden="false" customHeight="false" outlineLevel="0" collapsed="false">
      <c r="A8" s="65"/>
      <c r="B8" s="3"/>
      <c r="C8" s="56" t="n">
        <f aca="false">A8*B8*10000</f>
        <v>0</v>
      </c>
      <c r="D8" s="17"/>
      <c r="E8" s="65"/>
      <c r="F8" s="3"/>
      <c r="G8" s="63" t="n">
        <f aca="false">E8*F8*10000</f>
        <v>0</v>
      </c>
      <c r="I8" s="64"/>
      <c r="K8" s="17" t="n">
        <v>15.5</v>
      </c>
      <c r="L8" s="111"/>
      <c r="M8" s="111"/>
      <c r="N8" s="0" t="n">
        <f aca="false">L8*M8</f>
        <v>0</v>
      </c>
    </row>
    <row r="9" customFormat="false" ht="12.75" hidden="false" customHeight="false" outlineLevel="0" collapsed="false">
      <c r="A9" s="65"/>
      <c r="B9" s="3"/>
      <c r="C9" s="56" t="n">
        <f aca="false">A9*B9*10000</f>
        <v>0</v>
      </c>
      <c r="D9" s="17"/>
      <c r="E9" s="65"/>
      <c r="F9" s="3"/>
      <c r="G9" s="63" t="n">
        <f aca="false">E9*F9*10000</f>
        <v>0</v>
      </c>
      <c r="I9" s="64"/>
      <c r="K9" s="0" t="n">
        <v>14</v>
      </c>
      <c r="L9" s="111"/>
      <c r="M9" s="111"/>
      <c r="N9" s="0" t="n">
        <f aca="false">L9*M9</f>
        <v>0</v>
      </c>
    </row>
    <row r="10" customFormat="false" ht="12.75" hidden="false" customHeight="false" outlineLevel="0" collapsed="false">
      <c r="A10" s="65"/>
      <c r="B10" s="3"/>
      <c r="C10" s="56" t="n">
        <f aca="false">A10*B10*10000</f>
        <v>0</v>
      </c>
      <c r="D10" s="17"/>
      <c r="E10" s="65"/>
      <c r="F10" s="3"/>
      <c r="G10" s="63" t="n">
        <f aca="false">E10*F10*10000</f>
        <v>0</v>
      </c>
      <c r="I10" s="64"/>
      <c r="L10" s="111"/>
      <c r="M10" s="111"/>
      <c r="N10" s="0" t="n">
        <f aca="false">L10*M10</f>
        <v>0</v>
      </c>
    </row>
    <row r="11" customFormat="false" ht="12.75" hidden="false" customHeight="false" outlineLevel="0" collapsed="false">
      <c r="A11" s="65"/>
      <c r="B11" s="3"/>
      <c r="C11" s="56" t="n">
        <f aca="false">A11*B11*10000</f>
        <v>0</v>
      </c>
      <c r="D11" s="17"/>
      <c r="E11" s="65"/>
      <c r="F11" s="3"/>
      <c r="G11" s="63" t="n">
        <f aca="false">E11*F11*10000</f>
        <v>0</v>
      </c>
      <c r="I11" s="64"/>
      <c r="K11" s="0" t="n">
        <v>15.5</v>
      </c>
      <c r="L11" s="111"/>
      <c r="M11" s="111"/>
      <c r="N11" s="0" t="n">
        <f aca="false">L11*M11</f>
        <v>0</v>
      </c>
    </row>
    <row r="12" customFormat="false" ht="12.75" hidden="false" customHeight="false" outlineLevel="0" collapsed="false">
      <c r="A12" s="65"/>
      <c r="B12" s="3"/>
      <c r="C12" s="56" t="n">
        <f aca="false">A12*B12*10000</f>
        <v>0</v>
      </c>
      <c r="D12" s="17"/>
      <c r="E12" s="65"/>
      <c r="F12" s="3"/>
      <c r="G12" s="63" t="n">
        <f aca="false">E12*F12*10000</f>
        <v>0</v>
      </c>
      <c r="I12" s="64"/>
      <c r="K12" s="0" t="n">
        <v>15.5</v>
      </c>
      <c r="L12" s="111"/>
      <c r="M12" s="111"/>
      <c r="N12" s="0" t="n">
        <f aca="false">L12*M12</f>
        <v>0</v>
      </c>
    </row>
    <row r="13" customFormat="false" ht="12.75" hidden="false" customHeight="false" outlineLevel="0" collapsed="false">
      <c r="A13" s="65"/>
      <c r="B13" s="3"/>
      <c r="C13" s="56" t="n">
        <f aca="false">A13*B13*10000</f>
        <v>0</v>
      </c>
      <c r="D13" s="17"/>
      <c r="E13" s="65"/>
      <c r="F13" s="3"/>
      <c r="G13" s="63" t="n">
        <f aca="false">E13*F13*10000</f>
        <v>0</v>
      </c>
      <c r="I13" s="64"/>
      <c r="K13" s="0" t="n">
        <v>14</v>
      </c>
      <c r="L13" s="0" t="n">
        <f aca="false">SUM(L6:L12)</f>
        <v>45</v>
      </c>
      <c r="N13" s="0" t="n">
        <f aca="false">SUM(N6:N12)</f>
        <v>246.525</v>
      </c>
    </row>
    <row r="14" customFormat="false" ht="12.75" hidden="false" customHeight="false" outlineLevel="0" collapsed="false">
      <c r="A14" s="65"/>
      <c r="B14" s="3"/>
      <c r="C14" s="56" t="n">
        <f aca="false">A14*B14*10000</f>
        <v>0</v>
      </c>
      <c r="D14" s="17"/>
      <c r="E14" s="61"/>
      <c r="F14" s="62"/>
      <c r="G14" s="63" t="n">
        <f aca="false">E14*F14*10000</f>
        <v>0</v>
      </c>
      <c r="I14" s="64"/>
      <c r="K14" s="0" t="n">
        <v>15.5</v>
      </c>
      <c r="M14" s="0" t="n">
        <f aca="false">N13/L13</f>
        <v>5.47833333333333</v>
      </c>
    </row>
    <row r="15" customFormat="false" ht="12.75" hidden="false" customHeight="false" outlineLevel="0" collapsed="false">
      <c r="A15" s="65"/>
      <c r="B15" s="3"/>
      <c r="C15" s="56" t="n">
        <f aca="false">A15*B15*10000</f>
        <v>0</v>
      </c>
      <c r="D15" s="17"/>
      <c r="E15" s="61"/>
      <c r="F15" s="62"/>
      <c r="G15" s="63" t="n">
        <f aca="false">E15*F15*10000</f>
        <v>0</v>
      </c>
      <c r="I15" s="64"/>
      <c r="K15" s="0" t="n">
        <f aca="false">SUM(K11:K14)</f>
        <v>60.5</v>
      </c>
    </row>
    <row r="16" customFormat="false" ht="12.75" hidden="false" customHeight="false" outlineLevel="0" collapsed="false">
      <c r="A16" s="65"/>
      <c r="B16" s="3"/>
      <c r="C16" s="56" t="n">
        <f aca="false">A16*B16*10000</f>
        <v>0</v>
      </c>
      <c r="D16" s="17"/>
      <c r="E16" s="61"/>
      <c r="F16" s="62"/>
      <c r="G16" s="63" t="n">
        <f aca="false">E16*F16*10000</f>
        <v>0</v>
      </c>
      <c r="I16" s="64"/>
      <c r="K16" s="0" t="n">
        <f aca="false">K15/2</f>
        <v>30.25</v>
      </c>
    </row>
    <row r="17" customFormat="false" ht="12.75" hidden="false" customHeight="false" outlineLevel="0" collapsed="false">
      <c r="A17" s="65"/>
      <c r="B17" s="3"/>
      <c r="C17" s="56" t="n">
        <f aca="false">A17*B17*10000</f>
        <v>0</v>
      </c>
      <c r="D17" s="17"/>
      <c r="E17" s="61"/>
      <c r="F17" s="62"/>
      <c r="G17" s="63" t="n">
        <f aca="false">E17*F17*10000</f>
        <v>0</v>
      </c>
      <c r="I17" s="64"/>
      <c r="L17" s="0" t="s">
        <v>4</v>
      </c>
      <c r="M17" s="44" t="n">
        <v>31</v>
      </c>
      <c r="N17" s="44" t="n">
        <f aca="false">M17/2</f>
        <v>15.5</v>
      </c>
      <c r="O17" s="44" t="n">
        <f aca="false">M17/4</f>
        <v>7.75</v>
      </c>
    </row>
    <row r="18" customFormat="false" ht="12.75" hidden="false" customHeight="false" outlineLevel="0" collapsed="false">
      <c r="A18" s="65"/>
      <c r="B18" s="3"/>
      <c r="C18" s="56" t="n">
        <f aca="false">A18*B18*10000</f>
        <v>0</v>
      </c>
      <c r="D18" s="17"/>
      <c r="E18" s="61"/>
      <c r="F18" s="62"/>
      <c r="G18" s="63" t="n">
        <f aca="false">E18*F18*10000</f>
        <v>0</v>
      </c>
      <c r="I18" s="64"/>
      <c r="K18" s="0" t="n">
        <f aca="false">2500*214</f>
        <v>535000</v>
      </c>
      <c r="L18" s="0" t="s">
        <v>6</v>
      </c>
      <c r="M18" s="44" t="n">
        <v>31</v>
      </c>
      <c r="N18" s="44" t="n">
        <f aca="false">M18/2</f>
        <v>15.5</v>
      </c>
      <c r="O18" s="44" t="n">
        <f aca="false">M18/4</f>
        <v>7.75</v>
      </c>
    </row>
    <row r="19" customFormat="false" ht="12.75" hidden="false" customHeight="false" outlineLevel="0" collapsed="false">
      <c r="A19" s="65"/>
      <c r="B19" s="3"/>
      <c r="C19" s="56" t="n">
        <f aca="false">A19*B19*10000</f>
        <v>0</v>
      </c>
      <c r="D19" s="17"/>
      <c r="E19" s="61"/>
      <c r="F19" s="62"/>
      <c r="G19" s="63" t="n">
        <f aca="false">E19*F19*10000</f>
        <v>0</v>
      </c>
      <c r="I19" s="64"/>
      <c r="L19" s="0" t="s">
        <v>128</v>
      </c>
      <c r="M19" s="44" t="n">
        <v>30</v>
      </c>
      <c r="N19" s="44" t="n">
        <f aca="false">M19/2</f>
        <v>15</v>
      </c>
      <c r="O19" s="44" t="n">
        <f aca="false">M19/4</f>
        <v>7.5</v>
      </c>
    </row>
    <row r="20" customFormat="false" ht="12.75" hidden="false" customHeight="false" outlineLevel="0" collapsed="false">
      <c r="A20" s="65"/>
      <c r="B20" s="3"/>
      <c r="C20" s="56" t="n">
        <f aca="false">A20*B20*10000</f>
        <v>0</v>
      </c>
      <c r="D20" s="17"/>
      <c r="E20" s="61"/>
      <c r="F20" s="62"/>
      <c r="G20" s="63" t="n">
        <f aca="false">E20*F20*10000</f>
        <v>0</v>
      </c>
      <c r="I20" s="64"/>
      <c r="L20" s="0" t="s">
        <v>10</v>
      </c>
      <c r="M20" s="44" t="n">
        <v>31</v>
      </c>
      <c r="N20" s="44" t="n">
        <f aca="false">M20/2</f>
        <v>15.5</v>
      </c>
      <c r="O20" s="44" t="n">
        <f aca="false">M20/4</f>
        <v>7.75</v>
      </c>
    </row>
    <row r="21" customFormat="false" ht="12.75" hidden="false" customHeight="false" outlineLevel="0" collapsed="false">
      <c r="A21" s="65"/>
      <c r="B21" s="3"/>
      <c r="C21" s="56" t="n">
        <f aca="false">A21*B21*10000</f>
        <v>0</v>
      </c>
      <c r="D21" s="17"/>
      <c r="E21" s="61"/>
      <c r="F21" s="62"/>
      <c r="G21" s="63" t="n">
        <f aca="false">E21*F21*10000</f>
        <v>0</v>
      </c>
      <c r="I21" s="64"/>
    </row>
    <row r="22" customFormat="false" ht="12.75" hidden="false" customHeight="false" outlineLevel="0" collapsed="false">
      <c r="A22" s="65"/>
      <c r="B22" s="3"/>
      <c r="C22" s="56" t="n">
        <f aca="false">A22*B22*10000</f>
        <v>0</v>
      </c>
      <c r="D22" s="17"/>
      <c r="E22" s="61"/>
      <c r="F22" s="62"/>
      <c r="G22" s="63" t="n">
        <f aca="false">E22*F22*10000</f>
        <v>0</v>
      </c>
      <c r="I22" s="64"/>
    </row>
    <row r="23" customFormat="false" ht="12.75" hidden="false" customHeight="false" outlineLevel="0" collapsed="false">
      <c r="A23" s="65"/>
      <c r="B23" s="3"/>
      <c r="C23" s="56" t="n">
        <f aca="false">A23*B23*10000</f>
        <v>0</v>
      </c>
      <c r="D23" s="17"/>
      <c r="E23" s="61"/>
      <c r="F23" s="62"/>
      <c r="G23" s="63" t="n">
        <f aca="false">E23*F23*10000</f>
        <v>0</v>
      </c>
      <c r="I23" s="64"/>
    </row>
    <row r="24" customFormat="false" ht="6.75" hidden="false" customHeight="true" outlineLevel="0" collapsed="false">
      <c r="A24" s="65"/>
      <c r="B24" s="3"/>
      <c r="C24" s="56" t="n">
        <f aca="false">A24*B24*10000</f>
        <v>0</v>
      </c>
      <c r="D24" s="17"/>
      <c r="E24" s="61"/>
      <c r="F24" s="62"/>
      <c r="G24" s="63" t="n">
        <f aca="false">E24*F24*10000</f>
        <v>0</v>
      </c>
      <c r="I24" s="64"/>
    </row>
    <row r="25" customFormat="false" ht="6.75" hidden="false" customHeight="true" outlineLevel="0" collapsed="false">
      <c r="A25" s="65"/>
      <c r="B25" s="3"/>
      <c r="C25" s="56" t="n">
        <f aca="false">A25*B25*10000</f>
        <v>0</v>
      </c>
      <c r="D25" s="17"/>
      <c r="E25" s="61"/>
      <c r="F25" s="62"/>
      <c r="G25" s="63" t="n">
        <f aca="false">E25*F25*10000</f>
        <v>0</v>
      </c>
      <c r="I25" s="64"/>
    </row>
    <row r="26" customFormat="false" ht="6.75" hidden="false" customHeight="true" outlineLevel="0" collapsed="false">
      <c r="A26" s="65"/>
      <c r="B26" s="3"/>
      <c r="C26" s="56" t="n">
        <f aca="false">A26*B26*10000</f>
        <v>0</v>
      </c>
      <c r="D26" s="17"/>
      <c r="E26" s="61"/>
      <c r="F26" s="62"/>
      <c r="G26" s="63" t="n">
        <f aca="false">E26*F26*10000</f>
        <v>0</v>
      </c>
      <c r="I26" s="64"/>
    </row>
    <row r="27" customFormat="false" ht="9" hidden="false" customHeight="true" outlineLevel="0" collapsed="false">
      <c r="A27" s="65"/>
      <c r="B27" s="3"/>
      <c r="C27" s="56" t="n">
        <f aca="false">A27*B27*10000</f>
        <v>0</v>
      </c>
      <c r="D27" s="17"/>
      <c r="E27" s="61"/>
      <c r="F27" s="62"/>
      <c r="G27" s="63" t="n">
        <f aca="false">E27*F27*10000</f>
        <v>0</v>
      </c>
      <c r="I27" s="64"/>
    </row>
    <row r="28" customFormat="false" ht="9" hidden="false" customHeight="true" outlineLevel="0" collapsed="false">
      <c r="A28" s="65"/>
      <c r="B28" s="3"/>
      <c r="C28" s="56" t="n">
        <f aca="false">A28*B28*10000</f>
        <v>0</v>
      </c>
      <c r="D28" s="17"/>
      <c r="E28" s="61"/>
      <c r="F28" s="62"/>
      <c r="G28" s="63" t="n">
        <f aca="false">E28*F28*10000</f>
        <v>0</v>
      </c>
      <c r="I28" s="64"/>
    </row>
    <row r="29" customFormat="false" ht="9" hidden="false" customHeight="true" outlineLevel="0" collapsed="false">
      <c r="A29" s="65"/>
      <c r="B29" s="3"/>
      <c r="C29" s="56" t="n">
        <f aca="false">A29*B29*10000</f>
        <v>0</v>
      </c>
      <c r="D29" s="17"/>
      <c r="E29" s="65"/>
      <c r="F29" s="3"/>
      <c r="G29" s="63" t="n">
        <f aca="false">E29*F29*10000</f>
        <v>0</v>
      </c>
      <c r="I29" s="64"/>
    </row>
    <row r="30" customFormat="false" ht="9" hidden="false" customHeight="true" outlineLevel="0" collapsed="false">
      <c r="A30" s="65"/>
      <c r="B30" s="3"/>
      <c r="C30" s="56" t="n">
        <f aca="false">A30*B30*10000</f>
        <v>0</v>
      </c>
      <c r="D30" s="17"/>
      <c r="E30" s="65"/>
      <c r="F30" s="3"/>
      <c r="G30" s="63" t="n">
        <f aca="false">E30*F30*10000</f>
        <v>0</v>
      </c>
      <c r="I30" s="64"/>
    </row>
    <row r="31" customFormat="false" ht="12.75" hidden="false" customHeight="false" outlineLevel="0" collapsed="false">
      <c r="A31" s="65"/>
      <c r="B31" s="3"/>
      <c r="C31" s="56" t="n">
        <f aca="false">A31*B31*10000</f>
        <v>0</v>
      </c>
      <c r="D31" s="17"/>
      <c r="E31" s="65"/>
      <c r="F31" s="3"/>
      <c r="G31" s="63" t="n">
        <f aca="false">E31*F31*10000</f>
        <v>0</v>
      </c>
      <c r="I31" s="64"/>
    </row>
    <row r="32" customFormat="false" ht="12.75" hidden="false" customHeight="false" outlineLevel="0" collapsed="false">
      <c r="E32" s="50"/>
      <c r="G32" s="70"/>
    </row>
    <row r="33" customFormat="false" ht="12.75" hidden="false" customHeight="false" outlineLevel="0" collapsed="false">
      <c r="A33" s="65" t="n">
        <f aca="false">SUM(A1:A32)</f>
        <v>30.75</v>
      </c>
      <c r="B33" s="3" t="n">
        <f aca="false">IF(A33=0,0,C33/A33/10000)</f>
        <v>4.03</v>
      </c>
      <c r="C33" s="56" t="n">
        <f aca="false">SUM(C1:C32)</f>
        <v>1239225</v>
      </c>
      <c r="E33" s="65" t="n">
        <f aca="false">SUM(E1:E32)</f>
        <v>61.5</v>
      </c>
      <c r="F33" s="3" t="n">
        <f aca="false">IF(E33=0,0,G33/E33/10000)</f>
        <v>4.025</v>
      </c>
      <c r="G33" s="63" t="n">
        <f aca="false">SUM(G1:G32)</f>
        <v>2475375</v>
      </c>
      <c r="I33" s="71" t="n">
        <f aca="false">MIN(A33,E33)*(B33-F33)*10000</f>
        <v>1537.50000000024</v>
      </c>
      <c r="J33" s="72"/>
      <c r="K33" s="72" t="s">
        <v>52</v>
      </c>
      <c r="L33" s="17"/>
      <c r="M33" s="17"/>
    </row>
    <row r="34" customFormat="false" ht="12.75" hidden="false" customHeight="false" outlineLevel="0" collapsed="false">
      <c r="I34" s="71"/>
      <c r="J34" s="72"/>
      <c r="K34" s="72"/>
      <c r="L34" s="17"/>
      <c r="M34" s="17"/>
    </row>
    <row r="35" customFormat="false" ht="12.75" hidden="false" customHeight="false" outlineLevel="0" collapsed="false">
      <c r="E35" s="52" t="n">
        <f aca="false">-A33+E33</f>
        <v>30.75</v>
      </c>
      <c r="F35" s="0" t="n">
        <f aca="false">IF(E35&lt;0,B33,F33)</f>
        <v>4.025</v>
      </c>
      <c r="G35" s="53" t="n">
        <f aca="false">IF(E35&lt;0,(F35-B38)*ABS(E35)*10000,-1*(F35-B38)*ABS(E35)*10000)</f>
        <v>3074.99999999993</v>
      </c>
      <c r="I35" s="71" t="n">
        <f aca="false">G35</f>
        <v>3074.99999999993</v>
      </c>
      <c r="J35" s="72"/>
      <c r="K35" s="72" t="s">
        <v>53</v>
      </c>
      <c r="L35" s="17"/>
      <c r="M35" s="17" t="s">
        <v>54</v>
      </c>
    </row>
    <row r="36" customFormat="false" ht="12.75" hidden="false" customHeight="false" outlineLevel="0" collapsed="false">
      <c r="L36" s="17"/>
      <c r="M36" s="17"/>
    </row>
    <row r="37" customFormat="false" ht="12.75" hidden="false" customHeight="false" outlineLevel="0" collapsed="false">
      <c r="E37" s="52" t="n">
        <f aca="false">-A33+E33</f>
        <v>30.75</v>
      </c>
      <c r="F37" s="0" t="n">
        <f aca="false">IF(E37&lt;0,(B33+(I33/(ABS(E37)*10000))),IF(E37=0,0,(F33-(I33/(ABS(E37)*10000)))))</f>
        <v>4.02</v>
      </c>
      <c r="G37" s="53" t="n">
        <f aca="false">IF(E37&lt;0,(F37-B38)*ABS(E37)*10000,IF(E37=0,0,-1*(F37-B38)*ABS(E37)*10000))</f>
        <v>4612.50000000018</v>
      </c>
      <c r="I37" s="73" t="n">
        <f aca="false">G37</f>
        <v>4612.50000000018</v>
      </c>
      <c r="J37" s="74"/>
      <c r="K37" s="74" t="s">
        <v>55</v>
      </c>
      <c r="L37" s="17"/>
      <c r="M37" s="17" t="s">
        <v>56</v>
      </c>
    </row>
    <row r="38" customFormat="false" ht="12.75" hidden="false" customHeight="false" outlineLevel="0" collapsed="false">
      <c r="B38" s="0" t="n">
        <f aca="false">IF(ISBLANK(B39),'[1]Nymex Prices'!B10,B39)</f>
        <v>4.035</v>
      </c>
      <c r="C38" s="51" t="s">
        <v>57</v>
      </c>
      <c r="L38" s="17"/>
      <c r="M38" s="17"/>
    </row>
    <row r="39" customFormat="false" ht="12.75" hidden="false" customHeight="false" outlineLevel="0" collapsed="false">
      <c r="B39" s="0" t="n">
        <f aca="false">Summary!B11</f>
        <v>4.035</v>
      </c>
      <c r="C39" s="51" t="s">
        <v>58</v>
      </c>
      <c r="I39" s="75" t="n">
        <f aca="false">I33+I35</f>
        <v>4612.50000000018</v>
      </c>
      <c r="J39" s="76"/>
      <c r="K39" s="76" t="s">
        <v>59</v>
      </c>
      <c r="L39" s="17"/>
      <c r="M39" s="17"/>
    </row>
    <row r="46" customFormat="false" ht="12.75" hidden="false" customHeight="false" outlineLevel="0" collapsed="false">
      <c r="A46" s="52"/>
    </row>
    <row r="49" customFormat="false" ht="12.75" hidden="false" customHeight="false" outlineLevel="0" collapsed="false">
      <c r="A49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0" width="9.14"/>
    <col collapsed="false" customWidth="true" hidden="false" outlineLevel="0" max="2" min="2" style="0" width="9.41"/>
    <col collapsed="false" customWidth="true" hidden="false" outlineLevel="0" max="3" min="3" style="51" width="17.14"/>
    <col collapsed="false" customWidth="true" hidden="false" outlineLevel="0" max="4" min="4" style="0" width="3.14"/>
    <col collapsed="false" customWidth="true" hidden="false" outlineLevel="0" max="5" min="5" style="52" width="10.13"/>
    <col collapsed="false" customWidth="true" hidden="false" outlineLevel="0" max="6" min="6" style="0" width="9.41"/>
    <col collapsed="false" customWidth="true" hidden="false" outlineLevel="0" max="7" min="7" style="53" width="15.28"/>
    <col collapsed="false" customWidth="true" hidden="false" outlineLevel="0" max="8" min="8" style="0" width="2.84"/>
    <col collapsed="false" customWidth="true" hidden="false" outlineLevel="0" max="9" min="9" style="54" width="14.85"/>
    <col collapsed="false" customWidth="true" hidden="false" outlineLevel="0" max="10" min="10" style="0" width="2.13"/>
    <col collapsed="false" customWidth="true" hidden="false" outlineLevel="0" max="11" min="11" style="0" width="21.7"/>
  </cols>
  <sheetData>
    <row r="1" customFormat="false" ht="12.75" hidden="false" customHeight="false" outlineLevel="0" collapsed="false">
      <c r="A1" s="55" t="s">
        <v>49</v>
      </c>
      <c r="B1" s="3"/>
      <c r="C1" s="56"/>
      <c r="D1" s="17"/>
      <c r="E1" s="55" t="s">
        <v>50</v>
      </c>
      <c r="F1" s="3"/>
      <c r="G1" s="57"/>
      <c r="I1" s="58"/>
      <c r="K1" s="59"/>
    </row>
    <row r="2" customFormat="false" ht="12.75" hidden="false" customHeight="false" outlineLevel="0" collapsed="false">
      <c r="A2" s="60" t="n">
        <v>37.75</v>
      </c>
      <c r="B2" s="3" t="n">
        <f aca="false">5.41-0.177</f>
        <v>5.233</v>
      </c>
      <c r="C2" s="56" t="n">
        <f aca="false">A2*B2*10000</f>
        <v>1975457.5</v>
      </c>
      <c r="D2" s="17"/>
      <c r="E2" s="61"/>
      <c r="F2" s="62"/>
      <c r="G2" s="63" t="n">
        <f aca="false">E2*F2*10000</f>
        <v>0</v>
      </c>
      <c r="I2" s="64"/>
    </row>
    <row r="3" customFormat="false" ht="12.75" hidden="false" customHeight="false" outlineLevel="0" collapsed="false">
      <c r="A3" s="60" t="n">
        <v>15.5</v>
      </c>
      <c r="B3" s="3" t="n">
        <v>5.28</v>
      </c>
      <c r="C3" s="56" t="n">
        <f aca="false">A3*B3*10000</f>
        <v>818400</v>
      </c>
      <c r="D3" s="17"/>
      <c r="E3" s="65"/>
      <c r="F3" s="3"/>
      <c r="G3" s="63" t="n">
        <f aca="false">E3*F3*10000</f>
        <v>0</v>
      </c>
      <c r="I3" s="66"/>
      <c r="K3" s="67"/>
    </row>
    <row r="4" customFormat="false" ht="12.75" hidden="false" customHeight="false" outlineLevel="0" collapsed="false">
      <c r="A4" s="68"/>
      <c r="B4" s="62"/>
      <c r="C4" s="56" t="n">
        <f aca="false">A4*B4*10000</f>
        <v>0</v>
      </c>
      <c r="D4" s="17"/>
      <c r="E4" s="65"/>
      <c r="F4" s="3"/>
      <c r="G4" s="63" t="n">
        <f aca="false">E4*F4*10000</f>
        <v>0</v>
      </c>
      <c r="J4" s="64"/>
      <c r="K4" s="17" t="n">
        <f aca="false">4.69+0.032</f>
        <v>4.722</v>
      </c>
    </row>
    <row r="5" customFormat="false" ht="12.75" hidden="false" customHeight="false" outlineLevel="0" collapsed="false">
      <c r="A5" s="68"/>
      <c r="B5" s="62"/>
      <c r="C5" s="56" t="n">
        <f aca="false">A5*B5*10000</f>
        <v>0</v>
      </c>
      <c r="D5" s="17"/>
      <c r="E5" s="61"/>
      <c r="F5" s="62"/>
      <c r="G5" s="63" t="n">
        <f aca="false">E5*F5*10000</f>
        <v>0</v>
      </c>
      <c r="I5" s="64"/>
      <c r="J5" s="36"/>
      <c r="K5" s="17"/>
    </row>
    <row r="6" customFormat="false" ht="12.75" hidden="false" customHeight="false" outlineLevel="0" collapsed="false">
      <c r="A6" s="69"/>
      <c r="B6" s="3"/>
      <c r="C6" s="56" t="n">
        <f aca="false">A6*B6*10000</f>
        <v>0</v>
      </c>
      <c r="D6" s="17"/>
      <c r="E6" s="65"/>
      <c r="F6" s="3"/>
      <c r="G6" s="63" t="n">
        <f aca="false">E6*F6*10000</f>
        <v>0</v>
      </c>
      <c r="I6" s="64"/>
      <c r="J6" s="36"/>
      <c r="K6" s="17"/>
      <c r="L6" s="0" t="n">
        <v>30</v>
      </c>
      <c r="M6" s="0" t="n">
        <v>5.49</v>
      </c>
      <c r="N6" s="0" t="n">
        <f aca="false">L6*M6</f>
        <v>164.7</v>
      </c>
    </row>
    <row r="7" customFormat="false" ht="12.75" hidden="false" customHeight="false" outlineLevel="0" collapsed="false">
      <c r="A7" s="65"/>
      <c r="B7" s="3"/>
      <c r="C7" s="56" t="n">
        <f aca="false">A7*B7*10000</f>
        <v>0</v>
      </c>
      <c r="D7" s="17"/>
      <c r="E7" s="65"/>
      <c r="F7" s="3"/>
      <c r="G7" s="63" t="n">
        <f aca="false">E7*F7*10000</f>
        <v>0</v>
      </c>
      <c r="I7" s="64"/>
      <c r="K7" s="0" t="n">
        <v>15.5</v>
      </c>
      <c r="L7" s="0" t="n">
        <v>15</v>
      </c>
      <c r="M7" s="0" t="n">
        <v>5.455</v>
      </c>
      <c r="N7" s="0" t="n">
        <f aca="false">L7*M7</f>
        <v>81.825</v>
      </c>
    </row>
    <row r="8" customFormat="false" ht="12.75" hidden="false" customHeight="false" outlineLevel="0" collapsed="false">
      <c r="A8" s="65"/>
      <c r="B8" s="3"/>
      <c r="C8" s="56" t="n">
        <f aca="false">A8*B8*10000</f>
        <v>0</v>
      </c>
      <c r="D8" s="17"/>
      <c r="E8" s="65"/>
      <c r="F8" s="3"/>
      <c r="G8" s="63" t="n">
        <f aca="false">E8*F8*10000</f>
        <v>0</v>
      </c>
      <c r="I8" s="64"/>
      <c r="K8" s="17" t="n">
        <v>15.5</v>
      </c>
      <c r="L8" s="111"/>
      <c r="M8" s="111"/>
      <c r="N8" s="0" t="n">
        <f aca="false">L8*M8</f>
        <v>0</v>
      </c>
    </row>
    <row r="9" customFormat="false" ht="12.75" hidden="false" customHeight="false" outlineLevel="0" collapsed="false">
      <c r="A9" s="65"/>
      <c r="B9" s="3"/>
      <c r="C9" s="56" t="n">
        <f aca="false">A9*B9*10000</f>
        <v>0</v>
      </c>
      <c r="D9" s="17"/>
      <c r="E9" s="65"/>
      <c r="F9" s="3"/>
      <c r="G9" s="63" t="n">
        <f aca="false">E9*F9*10000</f>
        <v>0</v>
      </c>
      <c r="I9" s="64"/>
      <c r="K9" s="0" t="n">
        <v>14</v>
      </c>
      <c r="L9" s="111"/>
      <c r="M9" s="111"/>
      <c r="N9" s="0" t="n">
        <f aca="false">L9*M9</f>
        <v>0</v>
      </c>
    </row>
    <row r="10" customFormat="false" ht="12.75" hidden="false" customHeight="false" outlineLevel="0" collapsed="false">
      <c r="A10" s="65"/>
      <c r="B10" s="3"/>
      <c r="C10" s="56" t="n">
        <f aca="false">A10*B10*10000</f>
        <v>0</v>
      </c>
      <c r="D10" s="17"/>
      <c r="E10" s="65"/>
      <c r="F10" s="3"/>
      <c r="G10" s="63" t="n">
        <f aca="false">E10*F10*10000</f>
        <v>0</v>
      </c>
      <c r="I10" s="64"/>
      <c r="L10" s="111"/>
      <c r="M10" s="111"/>
      <c r="N10" s="0" t="n">
        <f aca="false">L10*M10</f>
        <v>0</v>
      </c>
    </row>
    <row r="11" customFormat="false" ht="12.75" hidden="false" customHeight="false" outlineLevel="0" collapsed="false">
      <c r="A11" s="65"/>
      <c r="B11" s="3"/>
      <c r="C11" s="56" t="n">
        <f aca="false">A11*B11*10000</f>
        <v>0</v>
      </c>
      <c r="D11" s="17"/>
      <c r="E11" s="65"/>
      <c r="F11" s="3"/>
      <c r="G11" s="63" t="n">
        <f aca="false">E11*F11*10000</f>
        <v>0</v>
      </c>
      <c r="I11" s="64"/>
      <c r="K11" s="0" t="n">
        <v>15.5</v>
      </c>
      <c r="L11" s="111"/>
      <c r="M11" s="111"/>
      <c r="N11" s="0" t="n">
        <f aca="false">L11*M11</f>
        <v>0</v>
      </c>
    </row>
    <row r="12" customFormat="false" ht="12.75" hidden="false" customHeight="false" outlineLevel="0" collapsed="false">
      <c r="A12" s="65"/>
      <c r="B12" s="3"/>
      <c r="C12" s="56" t="n">
        <f aca="false">A12*B12*10000</f>
        <v>0</v>
      </c>
      <c r="D12" s="17"/>
      <c r="E12" s="65"/>
      <c r="F12" s="3"/>
      <c r="G12" s="63" t="n">
        <f aca="false">E12*F12*10000</f>
        <v>0</v>
      </c>
      <c r="I12" s="64"/>
      <c r="K12" s="0" t="n">
        <v>15.5</v>
      </c>
      <c r="L12" s="111"/>
      <c r="M12" s="111"/>
      <c r="N12" s="0" t="n">
        <f aca="false">L12*M12</f>
        <v>0</v>
      </c>
    </row>
    <row r="13" customFormat="false" ht="12.75" hidden="false" customHeight="false" outlineLevel="0" collapsed="false">
      <c r="A13" s="65"/>
      <c r="B13" s="3"/>
      <c r="C13" s="56" t="n">
        <f aca="false">A13*B13*10000</f>
        <v>0</v>
      </c>
      <c r="D13" s="17"/>
      <c r="E13" s="65"/>
      <c r="F13" s="3"/>
      <c r="G13" s="63" t="n">
        <f aca="false">E13*F13*10000</f>
        <v>0</v>
      </c>
      <c r="I13" s="64"/>
      <c r="K13" s="0" t="n">
        <v>14</v>
      </c>
      <c r="L13" s="0" t="n">
        <f aca="false">SUM(L6:L12)</f>
        <v>45</v>
      </c>
      <c r="N13" s="0" t="n">
        <f aca="false">SUM(N6:N12)</f>
        <v>246.525</v>
      </c>
    </row>
    <row r="14" customFormat="false" ht="12.75" hidden="false" customHeight="false" outlineLevel="0" collapsed="false">
      <c r="A14" s="65"/>
      <c r="B14" s="3"/>
      <c r="C14" s="56" t="n">
        <f aca="false">A14*B14*10000</f>
        <v>0</v>
      </c>
      <c r="D14" s="17"/>
      <c r="E14" s="61"/>
      <c r="F14" s="62"/>
      <c r="G14" s="63" t="n">
        <f aca="false">E14*F14*10000</f>
        <v>0</v>
      </c>
      <c r="I14" s="64"/>
      <c r="K14" s="0" t="n">
        <v>15.5</v>
      </c>
      <c r="M14" s="0" t="n">
        <f aca="false">N13/L13</f>
        <v>5.47833333333333</v>
      </c>
    </row>
    <row r="15" customFormat="false" ht="12.75" hidden="false" customHeight="false" outlineLevel="0" collapsed="false">
      <c r="A15" s="65"/>
      <c r="B15" s="3"/>
      <c r="C15" s="56" t="n">
        <f aca="false">A15*B15*10000</f>
        <v>0</v>
      </c>
      <c r="D15" s="17"/>
      <c r="E15" s="61"/>
      <c r="F15" s="62"/>
      <c r="G15" s="63" t="n">
        <f aca="false">E15*F15*10000</f>
        <v>0</v>
      </c>
      <c r="I15" s="64"/>
      <c r="K15" s="0" t="n">
        <f aca="false">SUM(K11:K14)</f>
        <v>60.5</v>
      </c>
    </row>
    <row r="16" customFormat="false" ht="12.75" hidden="false" customHeight="false" outlineLevel="0" collapsed="false">
      <c r="A16" s="65"/>
      <c r="B16" s="3"/>
      <c r="C16" s="56" t="n">
        <f aca="false">A16*B16*10000</f>
        <v>0</v>
      </c>
      <c r="D16" s="17"/>
      <c r="E16" s="61"/>
      <c r="F16" s="62"/>
      <c r="G16" s="63" t="n">
        <f aca="false">E16*F16*10000</f>
        <v>0</v>
      </c>
      <c r="I16" s="64"/>
      <c r="K16" s="0" t="n">
        <f aca="false">K15/2</f>
        <v>30.25</v>
      </c>
    </row>
    <row r="17" customFormat="false" ht="12.75" hidden="false" customHeight="false" outlineLevel="0" collapsed="false">
      <c r="A17" s="65"/>
      <c r="B17" s="3"/>
      <c r="C17" s="56" t="n">
        <f aca="false">A17*B17*10000</f>
        <v>0</v>
      </c>
      <c r="D17" s="17"/>
      <c r="E17" s="61"/>
      <c r="F17" s="62"/>
      <c r="G17" s="63" t="n">
        <f aca="false">E17*F17*10000</f>
        <v>0</v>
      </c>
      <c r="I17" s="64"/>
    </row>
    <row r="18" customFormat="false" ht="12.75" hidden="false" customHeight="false" outlineLevel="0" collapsed="false">
      <c r="A18" s="65"/>
      <c r="B18" s="3"/>
      <c r="C18" s="56" t="n">
        <f aca="false">A18*B18*10000</f>
        <v>0</v>
      </c>
      <c r="D18" s="17"/>
      <c r="E18" s="61"/>
      <c r="F18" s="62"/>
      <c r="G18" s="63" t="n">
        <f aca="false">E18*F18*10000</f>
        <v>0</v>
      </c>
      <c r="I18" s="64"/>
      <c r="K18" s="0" t="n">
        <f aca="false">2500*214</f>
        <v>535000</v>
      </c>
    </row>
    <row r="19" customFormat="false" ht="12.75" hidden="false" customHeight="false" outlineLevel="0" collapsed="false">
      <c r="A19" s="65"/>
      <c r="B19" s="3"/>
      <c r="C19" s="56" t="n">
        <f aca="false">A19*B19*10000</f>
        <v>0</v>
      </c>
      <c r="D19" s="17"/>
      <c r="E19" s="61"/>
      <c r="F19" s="62"/>
      <c r="G19" s="63" t="n">
        <f aca="false">E19*F19*10000</f>
        <v>0</v>
      </c>
      <c r="I19" s="64"/>
    </row>
    <row r="20" customFormat="false" ht="12.75" hidden="false" customHeight="false" outlineLevel="0" collapsed="false">
      <c r="A20" s="65"/>
      <c r="B20" s="3"/>
      <c r="C20" s="56" t="n">
        <f aca="false">A20*B20*10000</f>
        <v>0</v>
      </c>
      <c r="D20" s="17"/>
      <c r="E20" s="61"/>
      <c r="F20" s="62"/>
      <c r="G20" s="63" t="n">
        <f aca="false">E20*F20*10000</f>
        <v>0</v>
      </c>
      <c r="I20" s="64"/>
      <c r="K20" s="0" t="n">
        <f aca="false">2500*30</f>
        <v>75000</v>
      </c>
    </row>
    <row r="21" customFormat="false" ht="12.75" hidden="false" customHeight="false" outlineLevel="0" collapsed="false">
      <c r="A21" s="65"/>
      <c r="B21" s="3"/>
      <c r="C21" s="56" t="n">
        <f aca="false">A21*B21*10000</f>
        <v>0</v>
      </c>
      <c r="D21" s="17"/>
      <c r="E21" s="61"/>
      <c r="F21" s="62"/>
      <c r="G21" s="63" t="n">
        <f aca="false">E21*F21*10000</f>
        <v>0</v>
      </c>
      <c r="I21" s="64"/>
    </row>
    <row r="22" customFormat="false" ht="12.75" hidden="false" customHeight="false" outlineLevel="0" collapsed="false">
      <c r="A22" s="65"/>
      <c r="B22" s="3"/>
      <c r="C22" s="56" t="n">
        <f aca="false">A22*B22*10000</f>
        <v>0</v>
      </c>
      <c r="D22" s="17"/>
      <c r="E22" s="61"/>
      <c r="F22" s="62"/>
      <c r="G22" s="63" t="n">
        <f aca="false">E22*F22*10000</f>
        <v>0</v>
      </c>
      <c r="I22" s="64"/>
    </row>
    <row r="23" customFormat="false" ht="12.75" hidden="false" customHeight="false" outlineLevel="0" collapsed="false">
      <c r="A23" s="65"/>
      <c r="B23" s="3"/>
      <c r="C23" s="56" t="n">
        <f aca="false">A23*B23*10000</f>
        <v>0</v>
      </c>
      <c r="D23" s="17"/>
      <c r="E23" s="61"/>
      <c r="F23" s="62"/>
      <c r="G23" s="63" t="n">
        <f aca="false">E23*F23*10000</f>
        <v>0</v>
      </c>
      <c r="I23" s="64"/>
    </row>
    <row r="24" customFormat="false" ht="6.75" hidden="false" customHeight="true" outlineLevel="0" collapsed="false">
      <c r="A24" s="65"/>
      <c r="B24" s="3"/>
      <c r="C24" s="56" t="n">
        <f aca="false">A24*B24*10000</f>
        <v>0</v>
      </c>
      <c r="D24" s="17"/>
      <c r="E24" s="61"/>
      <c r="F24" s="62"/>
      <c r="G24" s="63" t="n">
        <f aca="false">E24*F24*10000</f>
        <v>0</v>
      </c>
      <c r="I24" s="64"/>
    </row>
    <row r="25" customFormat="false" ht="6.75" hidden="false" customHeight="true" outlineLevel="0" collapsed="false">
      <c r="A25" s="65"/>
      <c r="B25" s="3"/>
      <c r="C25" s="56" t="n">
        <f aca="false">A25*B25*10000</f>
        <v>0</v>
      </c>
      <c r="D25" s="17"/>
      <c r="E25" s="61"/>
      <c r="F25" s="62"/>
      <c r="G25" s="63" t="n">
        <f aca="false">E25*F25*10000</f>
        <v>0</v>
      </c>
      <c r="I25" s="64"/>
    </row>
    <row r="26" customFormat="false" ht="6.75" hidden="false" customHeight="true" outlineLevel="0" collapsed="false">
      <c r="A26" s="65"/>
      <c r="B26" s="3"/>
      <c r="C26" s="56" t="n">
        <f aca="false">A26*B26*10000</f>
        <v>0</v>
      </c>
      <c r="D26" s="17"/>
      <c r="E26" s="61"/>
      <c r="F26" s="62"/>
      <c r="G26" s="63" t="n">
        <f aca="false">E26*F26*10000</f>
        <v>0</v>
      </c>
      <c r="I26" s="64"/>
    </row>
    <row r="27" customFormat="false" ht="9" hidden="false" customHeight="true" outlineLevel="0" collapsed="false">
      <c r="A27" s="65"/>
      <c r="B27" s="3"/>
      <c r="C27" s="56" t="n">
        <f aca="false">A27*B27*10000</f>
        <v>0</v>
      </c>
      <c r="D27" s="17"/>
      <c r="E27" s="61"/>
      <c r="F27" s="62"/>
      <c r="G27" s="63" t="n">
        <f aca="false">E27*F27*10000</f>
        <v>0</v>
      </c>
      <c r="I27" s="64"/>
    </row>
    <row r="28" customFormat="false" ht="9" hidden="false" customHeight="true" outlineLevel="0" collapsed="false">
      <c r="A28" s="65"/>
      <c r="B28" s="3"/>
      <c r="C28" s="56" t="n">
        <f aca="false">A28*B28*10000</f>
        <v>0</v>
      </c>
      <c r="D28" s="17"/>
      <c r="E28" s="61"/>
      <c r="F28" s="62"/>
      <c r="G28" s="63" t="n">
        <f aca="false">E28*F28*10000</f>
        <v>0</v>
      </c>
      <c r="I28" s="64"/>
    </row>
    <row r="29" customFormat="false" ht="9" hidden="false" customHeight="true" outlineLevel="0" collapsed="false">
      <c r="A29" s="65"/>
      <c r="B29" s="3"/>
      <c r="C29" s="56" t="n">
        <f aca="false">A29*B29*10000</f>
        <v>0</v>
      </c>
      <c r="D29" s="17"/>
      <c r="E29" s="65"/>
      <c r="F29" s="3"/>
      <c r="G29" s="63" t="n">
        <f aca="false">E29*F29*10000</f>
        <v>0</v>
      </c>
      <c r="I29" s="64"/>
    </row>
    <row r="30" customFormat="false" ht="9" hidden="false" customHeight="true" outlineLevel="0" collapsed="false">
      <c r="A30" s="65"/>
      <c r="B30" s="3"/>
      <c r="C30" s="56" t="n">
        <f aca="false">A30*B30*10000</f>
        <v>0</v>
      </c>
      <c r="D30" s="17"/>
      <c r="E30" s="65"/>
      <c r="F30" s="3"/>
      <c r="G30" s="63" t="n">
        <f aca="false">E30*F30*10000</f>
        <v>0</v>
      </c>
      <c r="I30" s="64"/>
    </row>
    <row r="31" customFormat="false" ht="12.75" hidden="false" customHeight="false" outlineLevel="0" collapsed="false">
      <c r="A31" s="65"/>
      <c r="B31" s="3"/>
      <c r="C31" s="56" t="n">
        <f aca="false">A31*B31*10000</f>
        <v>0</v>
      </c>
      <c r="D31" s="17"/>
      <c r="E31" s="65"/>
      <c r="F31" s="3"/>
      <c r="G31" s="63" t="n">
        <f aca="false">E31*F31*10000</f>
        <v>0</v>
      </c>
      <c r="I31" s="64"/>
    </row>
    <row r="32" customFormat="false" ht="12.75" hidden="false" customHeight="false" outlineLevel="0" collapsed="false">
      <c r="E32" s="50"/>
      <c r="G32" s="70"/>
    </row>
    <row r="33" customFormat="false" ht="12.75" hidden="false" customHeight="false" outlineLevel="0" collapsed="false">
      <c r="A33" s="65" t="n">
        <f aca="false">SUM(A1:A32)</f>
        <v>53.25</v>
      </c>
      <c r="B33" s="3" t="n">
        <f aca="false">IF(A33=0,0,C33/A33/10000)</f>
        <v>5.24668075117371</v>
      </c>
      <c r="C33" s="56" t="n">
        <f aca="false">SUM(C1:C32)</f>
        <v>2793857.5</v>
      </c>
      <c r="E33" s="65" t="n">
        <f aca="false">SUM(E1:E32)</f>
        <v>0</v>
      </c>
      <c r="F33" s="3" t="n">
        <f aca="false">IF(E33=0,0,G33/E33/10000)</f>
        <v>0</v>
      </c>
      <c r="G33" s="63" t="n">
        <f aca="false">SUM(G1:G32)</f>
        <v>0</v>
      </c>
      <c r="I33" s="71" t="n">
        <f aca="false">MIN(A33,E33)*(B33-F33)*10000</f>
        <v>0</v>
      </c>
      <c r="J33" s="72"/>
      <c r="K33" s="72" t="s">
        <v>52</v>
      </c>
      <c r="L33" s="17"/>
      <c r="M33" s="17"/>
    </row>
    <row r="34" customFormat="false" ht="12.75" hidden="false" customHeight="false" outlineLevel="0" collapsed="false">
      <c r="I34" s="71"/>
      <c r="J34" s="72"/>
      <c r="K34" s="72"/>
      <c r="L34" s="17"/>
      <c r="M34" s="17"/>
    </row>
    <row r="35" customFormat="false" ht="12.75" hidden="false" customHeight="false" outlineLevel="0" collapsed="false">
      <c r="E35" s="52" t="n">
        <f aca="false">-A33+E33</f>
        <v>-53.25</v>
      </c>
      <c r="F35" s="0" t="n">
        <f aca="false">IF(E35&lt;0,B33,F33)</f>
        <v>5.24668075117371</v>
      </c>
      <c r="G35" s="53" t="n">
        <f aca="false">IF(E35&lt;0,(F35-B38)*ABS(E35)*10000,-1*(F35-B38)*ABS(E35)*10000)</f>
        <v>-108267.5</v>
      </c>
      <c r="I35" s="71" t="n">
        <f aca="false">G35</f>
        <v>-108267.5</v>
      </c>
      <c r="J35" s="72"/>
      <c r="K35" s="72" t="s">
        <v>53</v>
      </c>
      <c r="L35" s="17"/>
      <c r="M35" s="17" t="s">
        <v>54</v>
      </c>
    </row>
    <row r="36" customFormat="false" ht="12.75" hidden="false" customHeight="false" outlineLevel="0" collapsed="false">
      <c r="L36" s="17"/>
      <c r="M36" s="17"/>
    </row>
    <row r="37" customFormat="false" ht="12.75" hidden="false" customHeight="false" outlineLevel="0" collapsed="false">
      <c r="E37" s="52" t="n">
        <f aca="false">-A33+E33</f>
        <v>-53.25</v>
      </c>
      <c r="F37" s="0" t="n">
        <f aca="false">IF(E37&lt;0,(B33+(I33/(ABS(E37)*10000))),IF(E37=0,0,(F33-(I33/(ABS(E37)*10000)))))</f>
        <v>5.24668075117371</v>
      </c>
      <c r="G37" s="53" t="n">
        <f aca="false">IF(E37&lt;0,(F37-B38)*ABS(E37)*10000,IF(E37=0,0,-1*(F37-B38)*ABS(E37)*10000))</f>
        <v>-108267.5</v>
      </c>
      <c r="I37" s="73" t="n">
        <f aca="false">G37</f>
        <v>-108267.5</v>
      </c>
      <c r="J37" s="74"/>
      <c r="K37" s="74" t="s">
        <v>55</v>
      </c>
      <c r="L37" s="17"/>
      <c r="M37" s="17" t="s">
        <v>56</v>
      </c>
    </row>
    <row r="38" customFormat="false" ht="12.75" hidden="false" customHeight="false" outlineLevel="0" collapsed="false">
      <c r="B38" s="0" t="n">
        <v>5.45</v>
      </c>
      <c r="C38" s="51" t="s">
        <v>57</v>
      </c>
      <c r="L38" s="17"/>
      <c r="M38" s="17"/>
    </row>
    <row r="39" customFormat="false" ht="12.75" hidden="false" customHeight="false" outlineLevel="0" collapsed="false">
      <c r="B39" s="0" t="n">
        <f aca="false">Summary!B11</f>
        <v>4.035</v>
      </c>
      <c r="C39" s="51" t="s">
        <v>58</v>
      </c>
      <c r="I39" s="75" t="n">
        <f aca="false">I33+I35</f>
        <v>-108267.5</v>
      </c>
      <c r="J39" s="76"/>
      <c r="K39" s="76" t="s">
        <v>59</v>
      </c>
      <c r="L39" s="17"/>
      <c r="M39" s="17"/>
    </row>
    <row r="46" customFormat="false" ht="12.75" hidden="false" customHeight="false" outlineLevel="0" collapsed="false">
      <c r="A46" s="52"/>
    </row>
    <row r="49" customFormat="false" ht="12.75" hidden="false" customHeight="false" outlineLevel="0" collapsed="false">
      <c r="A49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N26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M11" activeCellId="0" sqref="M1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C1" s="120" t="s">
        <v>25</v>
      </c>
      <c r="D1" s="120"/>
      <c r="E1" s="40" t="n">
        <f aca="false">Summary!B5+0.03-0.025</f>
        <v>3.955</v>
      </c>
      <c r="F1" s="40"/>
      <c r="G1" s="40"/>
      <c r="H1" s="120" t="s">
        <v>29</v>
      </c>
      <c r="I1" s="120"/>
      <c r="J1" s="0" t="n">
        <f aca="false">Summary!B5+0.03</f>
        <v>3.98</v>
      </c>
      <c r="L1" s="120" t="s">
        <v>129</v>
      </c>
      <c r="M1" s="120"/>
      <c r="N1" s="0" t="n">
        <f aca="false">Summary!D1+0.015</f>
        <v>3.965</v>
      </c>
    </row>
    <row r="2" customFormat="false" ht="12.75" hidden="false" customHeight="false" outlineLevel="0" collapsed="false">
      <c r="C2" s="40"/>
      <c r="D2" s="40"/>
      <c r="E2" s="40"/>
      <c r="F2" s="40"/>
      <c r="G2" s="40"/>
      <c r="H2" s="40"/>
      <c r="I2" s="40"/>
    </row>
    <row r="3" customFormat="false" ht="12.75" hidden="false" customHeight="false" outlineLevel="0" collapsed="false">
      <c r="E3" s="0" t="n">
        <f aca="false">($E$1-D3)*(C3*10000)</f>
        <v>0</v>
      </c>
      <c r="J3" s="0" t="n">
        <f aca="false">($J$1-I3)*(H3*10000)</f>
        <v>0</v>
      </c>
      <c r="N3" s="0" t="n">
        <f aca="false">($N$1-M3)*(L3*10000)</f>
        <v>0</v>
      </c>
    </row>
    <row r="4" customFormat="false" ht="12.75" hidden="false" customHeight="false" outlineLevel="0" collapsed="false">
      <c r="E4" s="0" t="n">
        <f aca="false">($E$1-D4)*(C4*10000)</f>
        <v>0</v>
      </c>
      <c r="J4" s="0" t="n">
        <f aca="false">($J$1-I4)*(H4*10000)</f>
        <v>0</v>
      </c>
      <c r="N4" s="0" t="n">
        <f aca="false">($J$1-M4)*(L4*10000)</f>
        <v>0</v>
      </c>
    </row>
    <row r="5" customFormat="false" ht="12.75" hidden="false" customHeight="false" outlineLevel="0" collapsed="false">
      <c r="E5" s="0" t="n">
        <f aca="false">($E$1-D5)*(C5*10000)</f>
        <v>0</v>
      </c>
      <c r="J5" s="0" t="n">
        <f aca="false">($J$1-I5)*(H5*10000)</f>
        <v>0</v>
      </c>
      <c r="N5" s="0" t="n">
        <f aca="false">($J$1-M5)*(L5*10000)</f>
        <v>0</v>
      </c>
    </row>
    <row r="6" customFormat="false" ht="12.75" hidden="false" customHeight="false" outlineLevel="0" collapsed="false">
      <c r="E6" s="0" t="n">
        <f aca="false">($E$1-D6)*(C6*10000)</f>
        <v>0</v>
      </c>
    </row>
    <row r="7" customFormat="false" ht="12.75" hidden="false" customHeight="false" outlineLevel="0" collapsed="false">
      <c r="E7" s="0" t="n">
        <f aca="false">($E$1-D7)*(C7*10000)</f>
        <v>0</v>
      </c>
    </row>
    <row r="8" customFormat="false" ht="12.75" hidden="false" customHeight="false" outlineLevel="0" collapsed="false">
      <c r="E8" s="0" t="n">
        <f aca="false">($E$1-D8)*(C8*10000)</f>
        <v>0</v>
      </c>
    </row>
    <row r="9" customFormat="false" ht="12.75" hidden="false" customHeight="false" outlineLevel="0" collapsed="false">
      <c r="E9" s="0" t="n">
        <f aca="false">($E$1-D9)*(C9*10000)</f>
        <v>0</v>
      </c>
    </row>
    <row r="10" customFormat="false" ht="12.75" hidden="false" customHeight="false" outlineLevel="0" collapsed="false">
      <c r="E10" s="0" t="n">
        <f aca="false">($E$1-D10)*(C10*10000)</f>
        <v>0</v>
      </c>
    </row>
    <row r="11" customFormat="false" ht="12.75" hidden="false" customHeight="false" outlineLevel="0" collapsed="false">
      <c r="E11" s="0" t="n">
        <f aca="false">($E$1-D11)*(C11*10000)</f>
        <v>0</v>
      </c>
    </row>
    <row r="12" customFormat="false" ht="12.75" hidden="false" customHeight="false" outlineLevel="0" collapsed="false">
      <c r="E12" s="0" t="n">
        <f aca="false">($E$1-D12)*(C12*10000)</f>
        <v>0</v>
      </c>
    </row>
    <row r="13" customFormat="false" ht="12.75" hidden="false" customHeight="false" outlineLevel="0" collapsed="false">
      <c r="E13" s="0" t="n">
        <f aca="false">($E$1-D13)*(C13*10000)</f>
        <v>0</v>
      </c>
    </row>
    <row r="14" customFormat="false" ht="12.75" hidden="false" customHeight="false" outlineLevel="0" collapsed="false">
      <c r="E14" s="0" t="n">
        <f aca="false">($E$1-D14)*(C14*10000)</f>
        <v>0</v>
      </c>
    </row>
    <row r="15" customFormat="false" ht="12.75" hidden="false" customHeight="false" outlineLevel="0" collapsed="false">
      <c r="E15" s="0" t="n">
        <f aca="false">($E$1-D15)*(C15*10000)</f>
        <v>0</v>
      </c>
    </row>
    <row r="16" customFormat="false" ht="12.75" hidden="false" customHeight="false" outlineLevel="0" collapsed="false">
      <c r="E16" s="0" t="n">
        <f aca="false">($E$1-D16)*(C16*10000)</f>
        <v>0</v>
      </c>
    </row>
    <row r="17" customFormat="false" ht="12.75" hidden="false" customHeight="false" outlineLevel="0" collapsed="false">
      <c r="E17" s="0" t="n">
        <f aca="false">($E$1-D17)*(C17*10000)</f>
        <v>0</v>
      </c>
    </row>
    <row r="18" customFormat="false" ht="12.75" hidden="false" customHeight="false" outlineLevel="0" collapsed="false">
      <c r="E18" s="0" t="n">
        <f aca="false">($E$1-D18)*(C18*10000)</f>
        <v>0</v>
      </c>
    </row>
    <row r="19" customFormat="false" ht="12.75" hidden="false" customHeight="false" outlineLevel="0" collapsed="false">
      <c r="E19" s="0" t="n">
        <f aca="false">($E$1-D19)*(C19*10000)</f>
        <v>0</v>
      </c>
    </row>
    <row r="20" customFormat="false" ht="12.75" hidden="false" customHeight="false" outlineLevel="0" collapsed="false">
      <c r="E20" s="0" t="n">
        <f aca="false">($E$1-D20)*(C20*10000)</f>
        <v>0</v>
      </c>
    </row>
    <row r="22" customFormat="false" ht="12.75" hidden="false" customHeight="false" outlineLevel="0" collapsed="false">
      <c r="C22" s="0" t="n">
        <f aca="false">SUM(C3:C21)</f>
        <v>0</v>
      </c>
      <c r="E22" s="0" t="n">
        <f aca="false">SUM(E3:E20)</f>
        <v>0</v>
      </c>
      <c r="H22" s="0" t="n">
        <f aca="false">SUM(H3:H14)</f>
        <v>0</v>
      </c>
      <c r="J22" s="0" t="n">
        <f aca="false">SUM(J3:J14)</f>
        <v>0</v>
      </c>
      <c r="L22" s="0" t="n">
        <f aca="false">SUM(L3:L14)</f>
        <v>0</v>
      </c>
      <c r="N22" s="0" t="n">
        <f aca="false">SUM(N3:N14)</f>
        <v>0</v>
      </c>
    </row>
    <row r="25" customFormat="false" ht="12.75" hidden="false" customHeight="false" outlineLevel="0" collapsed="false">
      <c r="F25" s="40" t="s">
        <v>130</v>
      </c>
      <c r="G25" s="40" t="s">
        <v>16</v>
      </c>
    </row>
    <row r="26" customFormat="false" ht="12.75" hidden="false" customHeight="false" outlineLevel="0" collapsed="false">
      <c r="F26" s="121" t="n">
        <f aca="false">C22+H22+L22</f>
        <v>0</v>
      </c>
      <c r="G26" s="121" t="n">
        <f aca="false">E22+J22+N22</f>
        <v>0</v>
      </c>
    </row>
  </sheetData>
  <mergeCells count="3">
    <mergeCell ref="C1:D1"/>
    <mergeCell ref="H1:I1"/>
    <mergeCell ref="L1:M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37"/>
  <sheetViews>
    <sheetView showFormulas="false" showGridLines="true" showRowColHeaders="true" showZeros="true" rightToLeft="false" tabSelected="false" showOutlineSymbols="true" defaultGridColor="true" view="normal" topLeftCell="B2" colorId="64" zoomScale="85" zoomScaleNormal="85" zoomScalePageLayoutView="100" workbookViewId="0">
      <selection pane="topLeft" activeCell="D4" activeCellId="0" sqref="D4: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8" min="7" style="0" width="9.85"/>
    <col collapsed="false" customWidth="true" hidden="false" outlineLevel="0" max="13" min="13" style="0" width="7.28"/>
    <col collapsed="false" customWidth="true" hidden="false" outlineLevel="0" max="16" min="16" style="40" width="13.14"/>
    <col collapsed="false" customWidth="true" hidden="false" outlineLevel="0" max="17" min="17" style="41" width="2.84"/>
    <col collapsed="false" customWidth="true" hidden="false" outlineLevel="0" max="31" min="31" style="41" width="2.7"/>
    <col collapsed="false" customWidth="true" hidden="false" outlineLevel="0" max="32" min="32" style="0" width="10.85"/>
  </cols>
  <sheetData>
    <row r="1" customFormat="false" ht="12.75" hidden="false" customHeight="false" outlineLevel="0" collapsed="false">
      <c r="B1" s="40" t="s">
        <v>43</v>
      </c>
    </row>
    <row r="2" customFormat="false" ht="12.75" hidden="false" customHeight="false" outlineLevel="0" collapsed="false">
      <c r="B2" s="42" t="n">
        <v>5.3</v>
      </c>
      <c r="C2" s="43"/>
      <c r="P2" s="40" t="s">
        <v>44</v>
      </c>
    </row>
    <row r="3" customFormat="false" ht="12.75" hidden="false" customHeight="false" outlineLevel="0" collapsed="false">
      <c r="B3" s="44" t="n">
        <v>0</v>
      </c>
      <c r="C3" s="0" t="s">
        <v>45</v>
      </c>
      <c r="D3" s="44" t="n">
        <v>3.74</v>
      </c>
      <c r="E3" s="44" t="n">
        <v>3.64</v>
      </c>
      <c r="F3" s="44" t="n">
        <v>3.65</v>
      </c>
      <c r="G3" s="44" t="n">
        <v>3.66</v>
      </c>
      <c r="H3" s="44" t="n">
        <v>3.825</v>
      </c>
      <c r="I3" s="44"/>
      <c r="J3" s="44"/>
      <c r="K3" s="44"/>
      <c r="L3" s="44"/>
      <c r="M3" s="44"/>
      <c r="N3" s="44"/>
      <c r="O3" s="44"/>
      <c r="AF3" s="0" t="s">
        <v>46</v>
      </c>
    </row>
    <row r="4" customFormat="false" ht="12.75" hidden="false" customHeight="false" outlineLevel="0" collapsed="false">
      <c r="A4" s="45" t="n">
        <v>36951</v>
      </c>
      <c r="B4" s="0" t="n">
        <f aca="false">B$2+B$3</f>
        <v>5.3</v>
      </c>
      <c r="C4" s="44" t="n">
        <f aca="false">GasDaily!R4</f>
        <v>3.83</v>
      </c>
      <c r="D4" s="26" t="n">
        <v>29387</v>
      </c>
      <c r="E4" s="26" t="n">
        <v>-5000</v>
      </c>
      <c r="F4" s="26" t="n">
        <v>-5000</v>
      </c>
      <c r="G4" s="26" t="n">
        <v>-5000</v>
      </c>
      <c r="H4" s="26" t="n">
        <v>1000</v>
      </c>
      <c r="I4" s="26"/>
      <c r="J4" s="26"/>
      <c r="K4" s="26"/>
      <c r="L4" s="26"/>
      <c r="M4" s="26"/>
      <c r="N4" s="26"/>
      <c r="O4" s="26"/>
      <c r="P4" s="13" t="n">
        <f aca="false">SUM(D4:O4)</f>
        <v>15387</v>
      </c>
      <c r="Q4" s="46"/>
      <c r="R4" s="0" t="n">
        <f aca="false">D4*($C4-D$3)</f>
        <v>2644.83</v>
      </c>
      <c r="S4" s="0" t="n">
        <f aca="false">E4*($C4-E$3)</f>
        <v>-950</v>
      </c>
      <c r="T4" s="0" t="n">
        <f aca="false">F4*($C4-F$3)</f>
        <v>-900.000000000001</v>
      </c>
      <c r="U4" s="0" t="n">
        <f aca="false">G4*($C4-G$3)</f>
        <v>-850</v>
      </c>
      <c r="V4" s="0" t="n">
        <f aca="false">H4*($C4-H$3)</f>
        <v>4.99999999999989</v>
      </c>
      <c r="W4" s="0" t="n">
        <f aca="false">I4*($C4-I$3)</f>
        <v>0</v>
      </c>
      <c r="X4" s="0" t="n">
        <f aca="false">J4*($C4-J$3)</f>
        <v>0</v>
      </c>
      <c r="Y4" s="0" t="n">
        <f aca="false">K4*($C4-K$3)</f>
        <v>0</v>
      </c>
      <c r="Z4" s="0" t="n">
        <f aca="false">L4*($C4-L$3)</f>
        <v>0</v>
      </c>
      <c r="AA4" s="0" t="n">
        <f aca="false">M4*($C4-M$3)</f>
        <v>0</v>
      </c>
      <c r="AB4" s="0" t="n">
        <f aca="false">N4*($C4-N$3)</f>
        <v>0</v>
      </c>
      <c r="AF4" s="0" t="n">
        <f aca="false">SUM(R4:AB4)</f>
        <v>-50.1700000000045</v>
      </c>
    </row>
    <row r="5" customFormat="false" ht="12.75" hidden="false" customHeight="false" outlineLevel="0" collapsed="false">
      <c r="A5" s="45" t="n">
        <v>36952</v>
      </c>
      <c r="B5" s="0" t="n">
        <f aca="false">B$2+B$3</f>
        <v>5.3</v>
      </c>
      <c r="C5" s="44" t="n">
        <f aca="false">GasDaily!R5</f>
        <v>3.845</v>
      </c>
      <c r="D5" s="26" t="n">
        <v>29387</v>
      </c>
      <c r="E5" s="26" t="n">
        <v>-5000</v>
      </c>
      <c r="F5" s="26" t="n">
        <v>-5000</v>
      </c>
      <c r="G5" s="26" t="n">
        <v>-5000</v>
      </c>
      <c r="H5" s="26" t="n">
        <v>1000</v>
      </c>
      <c r="I5" s="26"/>
      <c r="J5" s="26"/>
      <c r="K5" s="26"/>
      <c r="L5" s="26"/>
      <c r="M5" s="26"/>
      <c r="N5" s="26"/>
      <c r="O5" s="26"/>
      <c r="P5" s="13" t="n">
        <f aca="false">SUM(D5:O5)</f>
        <v>15387</v>
      </c>
      <c r="Q5" s="46"/>
      <c r="R5" s="0" t="n">
        <f aca="false">D5*($C5-D$3)</f>
        <v>3085.63499999999</v>
      </c>
      <c r="S5" s="0" t="n">
        <f aca="false">E5*($C5-E$3)</f>
        <v>-1025</v>
      </c>
      <c r="T5" s="0" t="n">
        <f aca="false">F5*($C5-F$3)</f>
        <v>-974.999999999999</v>
      </c>
      <c r="U5" s="0" t="n">
        <f aca="false">G5*($C5-G$3)</f>
        <v>-924.999999999998</v>
      </c>
      <c r="V5" s="0" t="n">
        <f aca="false">H5*($C5-H$3)</f>
        <v>19.9999999999996</v>
      </c>
      <c r="W5" s="0" t="n">
        <f aca="false">I5*($C5-I$3)</f>
        <v>0</v>
      </c>
      <c r="X5" s="0" t="n">
        <f aca="false">J5*($C5-J$3)</f>
        <v>0</v>
      </c>
      <c r="Y5" s="0" t="n">
        <f aca="false">K5*($C5-K$3)</f>
        <v>0</v>
      </c>
      <c r="Z5" s="0" t="n">
        <f aca="false">L5*($C5-L$3)</f>
        <v>0</v>
      </c>
      <c r="AA5" s="0" t="n">
        <f aca="false">M5*($C5-M$3)</f>
        <v>0</v>
      </c>
      <c r="AB5" s="0" t="n">
        <f aca="false">N5*($C5-N$3)</f>
        <v>0</v>
      </c>
      <c r="AF5" s="0" t="n">
        <f aca="false">SUM(R5:AB5)</f>
        <v>180.634999999991</v>
      </c>
    </row>
    <row r="6" customFormat="false" ht="12.75" hidden="false" customHeight="false" outlineLevel="0" collapsed="false">
      <c r="A6" s="45" t="n">
        <v>36953</v>
      </c>
      <c r="B6" s="0" t="n">
        <f aca="false">B$2+B$3</f>
        <v>5.3</v>
      </c>
      <c r="C6" s="44" t="n">
        <f aca="false">GasDaily!R6</f>
        <v>3.845</v>
      </c>
      <c r="D6" s="26" t="n">
        <v>29387</v>
      </c>
      <c r="E6" s="26" t="n">
        <v>-5000</v>
      </c>
      <c r="F6" s="26" t="n">
        <v>-5000</v>
      </c>
      <c r="G6" s="26" t="n">
        <v>-5000</v>
      </c>
      <c r="H6" s="26" t="n">
        <v>1000</v>
      </c>
      <c r="I6" s="26"/>
      <c r="J6" s="26"/>
      <c r="K6" s="26"/>
      <c r="L6" s="26"/>
      <c r="M6" s="26"/>
      <c r="N6" s="26"/>
      <c r="O6" s="26"/>
      <c r="P6" s="13" t="n">
        <f aca="false">SUM(D6:O6)</f>
        <v>15387</v>
      </c>
      <c r="Q6" s="46"/>
      <c r="R6" s="0" t="n">
        <f aca="false">D6*($C6-D$3)</f>
        <v>3085.63499999999</v>
      </c>
      <c r="S6" s="0" t="n">
        <f aca="false">E6*($C6-E$3)</f>
        <v>-1025</v>
      </c>
      <c r="T6" s="0" t="n">
        <f aca="false">F6*($C6-F$3)</f>
        <v>-974.999999999999</v>
      </c>
      <c r="U6" s="0" t="n">
        <f aca="false">G6*($C6-G$3)</f>
        <v>-924.999999999998</v>
      </c>
      <c r="V6" s="0" t="n">
        <f aca="false">H6*($C6-H$3)</f>
        <v>19.9999999999996</v>
      </c>
      <c r="W6" s="0" t="n">
        <f aca="false">I6*($C6-I$3)</f>
        <v>0</v>
      </c>
      <c r="X6" s="0" t="n">
        <f aca="false">J6*($C6-J$3)</f>
        <v>0</v>
      </c>
      <c r="Y6" s="0" t="n">
        <f aca="false">K6*($C6-K$3)</f>
        <v>0</v>
      </c>
      <c r="Z6" s="0" t="n">
        <f aca="false">L6*($C6-L$3)</f>
        <v>0</v>
      </c>
      <c r="AA6" s="0" t="n">
        <f aca="false">M6*($C6-M$3)</f>
        <v>0</v>
      </c>
      <c r="AB6" s="0" t="n">
        <f aca="false">N6*($C6-N$3)</f>
        <v>0</v>
      </c>
      <c r="AF6" s="0" t="n">
        <f aca="false">SUM(R6:AB6)</f>
        <v>180.634999999991</v>
      </c>
    </row>
    <row r="7" customFormat="false" ht="12.75" hidden="false" customHeight="false" outlineLevel="0" collapsed="false">
      <c r="A7" s="45" t="n">
        <v>36954</v>
      </c>
      <c r="B7" s="0" t="n">
        <f aca="false">B$2+B$3</f>
        <v>5.3</v>
      </c>
      <c r="C7" s="44" t="n">
        <f aca="false">GasDaily!R7</f>
        <v>3.845</v>
      </c>
      <c r="D7" s="26" t="n">
        <v>29387</v>
      </c>
      <c r="E7" s="26" t="n">
        <v>-5000</v>
      </c>
      <c r="F7" s="26" t="n">
        <v>-5000</v>
      </c>
      <c r="G7" s="26" t="n">
        <v>-5000</v>
      </c>
      <c r="H7" s="26" t="n">
        <v>1000</v>
      </c>
      <c r="I7" s="26"/>
      <c r="J7" s="26"/>
      <c r="K7" s="26"/>
      <c r="L7" s="26"/>
      <c r="M7" s="26"/>
      <c r="N7" s="26"/>
      <c r="O7" s="26"/>
      <c r="P7" s="13" t="n">
        <f aca="false">SUM(D7:O7)</f>
        <v>15387</v>
      </c>
      <c r="Q7" s="46"/>
      <c r="R7" s="0" t="n">
        <f aca="false">D7*($C7-D$3)</f>
        <v>3085.63499999999</v>
      </c>
      <c r="S7" s="0" t="n">
        <f aca="false">E7*($C7-E$3)</f>
        <v>-1025</v>
      </c>
      <c r="T7" s="0" t="n">
        <f aca="false">F7*($C7-F$3)</f>
        <v>-974.999999999999</v>
      </c>
      <c r="U7" s="0" t="n">
        <f aca="false">G7*($C7-G$3)</f>
        <v>-924.999999999998</v>
      </c>
      <c r="V7" s="0" t="n">
        <f aca="false">H7*($C7-H$3)</f>
        <v>19.9999999999996</v>
      </c>
      <c r="W7" s="0" t="n">
        <f aca="false">I7*($C7-I$3)</f>
        <v>0</v>
      </c>
      <c r="X7" s="0" t="n">
        <f aca="false">J7*($C7-J$3)</f>
        <v>0</v>
      </c>
      <c r="Y7" s="0" t="n">
        <f aca="false">K7*($C7-K$3)</f>
        <v>0</v>
      </c>
      <c r="Z7" s="0" t="n">
        <f aca="false">L7*($C7-L$3)</f>
        <v>0</v>
      </c>
      <c r="AA7" s="0" t="n">
        <f aca="false">M7*($C7-M$3)</f>
        <v>0</v>
      </c>
      <c r="AB7" s="0" t="n">
        <f aca="false">N7*($C7-N$3)</f>
        <v>0</v>
      </c>
      <c r="AF7" s="0" t="n">
        <f aca="false">SUM(R7:AB7)</f>
        <v>180.634999999991</v>
      </c>
    </row>
    <row r="8" customFormat="false" ht="12.75" hidden="false" customHeight="false" outlineLevel="0" collapsed="false">
      <c r="A8" s="45" t="n">
        <v>36955</v>
      </c>
      <c r="B8" s="0" t="n">
        <f aca="false">B$2+B$3</f>
        <v>5.3</v>
      </c>
      <c r="C8" s="44" t="n">
        <f aca="false">GasDaily!R8</f>
        <v>3.845</v>
      </c>
      <c r="D8" s="26" t="n">
        <v>29387</v>
      </c>
      <c r="E8" s="26" t="n">
        <v>-5000</v>
      </c>
      <c r="F8" s="26" t="n">
        <v>-5000</v>
      </c>
      <c r="G8" s="26" t="n">
        <v>-5000</v>
      </c>
      <c r="H8" s="26" t="n">
        <v>1000</v>
      </c>
      <c r="I8" s="26"/>
      <c r="J8" s="26"/>
      <c r="K8" s="26"/>
      <c r="L8" s="26"/>
      <c r="M8" s="26"/>
      <c r="N8" s="26"/>
      <c r="O8" s="26"/>
      <c r="P8" s="13" t="n">
        <f aca="false">SUM(D8:O8)</f>
        <v>15387</v>
      </c>
      <c r="Q8" s="46"/>
      <c r="R8" s="0" t="n">
        <f aca="false">D8*($C8-D$3)</f>
        <v>3085.63499999999</v>
      </c>
      <c r="S8" s="0" t="n">
        <f aca="false">E8*($C8-E$3)</f>
        <v>-1025</v>
      </c>
      <c r="T8" s="0" t="n">
        <f aca="false">F8*($C8-F$3)</f>
        <v>-974.999999999999</v>
      </c>
      <c r="U8" s="0" t="n">
        <f aca="false">G8*($C8-G$3)</f>
        <v>-924.999999999998</v>
      </c>
      <c r="V8" s="0" t="n">
        <f aca="false">H8*($C8-H$3)</f>
        <v>19.9999999999996</v>
      </c>
      <c r="W8" s="0" t="n">
        <f aca="false">I8*($C8-I$3)</f>
        <v>0</v>
      </c>
      <c r="X8" s="0" t="n">
        <f aca="false">J8*($C8-J$3)</f>
        <v>0</v>
      </c>
      <c r="Y8" s="0" t="n">
        <f aca="false">K8*($C8-K$3)</f>
        <v>0</v>
      </c>
      <c r="Z8" s="0" t="n">
        <f aca="false">L8*($C8-L$3)</f>
        <v>0</v>
      </c>
      <c r="AA8" s="0" t="n">
        <f aca="false">M8*($C8-M$3)</f>
        <v>0</v>
      </c>
      <c r="AB8" s="0" t="n">
        <f aca="false">N8*($C8-N$3)</f>
        <v>0</v>
      </c>
      <c r="AF8" s="0" t="n">
        <f aca="false">SUM(R8:AB8)</f>
        <v>180.634999999991</v>
      </c>
    </row>
    <row r="9" customFormat="false" ht="12.75" hidden="false" customHeight="false" outlineLevel="0" collapsed="false">
      <c r="A9" s="45" t="n">
        <v>36956</v>
      </c>
      <c r="B9" s="0" t="n">
        <f aca="false">B$2+B$3</f>
        <v>5.3</v>
      </c>
      <c r="C9" s="44" t="n">
        <f aca="false">GasDaily!R9</f>
        <v>3.845</v>
      </c>
      <c r="D9" s="26" t="n">
        <v>29387</v>
      </c>
      <c r="E9" s="26" t="n">
        <v>-5000</v>
      </c>
      <c r="F9" s="26" t="n">
        <v>-5000</v>
      </c>
      <c r="G9" s="26" t="n">
        <v>-5000</v>
      </c>
      <c r="H9" s="26" t="n">
        <v>1000</v>
      </c>
      <c r="I9" s="26"/>
      <c r="J9" s="26"/>
      <c r="K9" s="26"/>
      <c r="L9" s="26"/>
      <c r="M9" s="26"/>
      <c r="N9" s="26"/>
      <c r="O9" s="26"/>
      <c r="P9" s="13" t="n">
        <f aca="false">SUM(D9:O9)</f>
        <v>15387</v>
      </c>
      <c r="Q9" s="46"/>
      <c r="R9" s="0" t="n">
        <f aca="false">D9*($C9-D$3)</f>
        <v>3085.63499999999</v>
      </c>
      <c r="S9" s="0" t="n">
        <f aca="false">E9*($C9-E$3)</f>
        <v>-1025</v>
      </c>
      <c r="T9" s="0" t="n">
        <f aca="false">F9*($C9-F$3)</f>
        <v>-974.999999999999</v>
      </c>
      <c r="U9" s="0" t="n">
        <f aca="false">G9*($C9-G$3)</f>
        <v>-924.999999999998</v>
      </c>
      <c r="V9" s="0" t="n">
        <f aca="false">H9*($C9-H$3)</f>
        <v>19.9999999999996</v>
      </c>
      <c r="W9" s="0" t="n">
        <f aca="false">I9*($C9-I$3)</f>
        <v>0</v>
      </c>
      <c r="X9" s="0" t="n">
        <f aca="false">J9*($C9-J$3)</f>
        <v>0</v>
      </c>
      <c r="Y9" s="0" t="n">
        <f aca="false">K9*($C9-K$3)</f>
        <v>0</v>
      </c>
      <c r="Z9" s="0" t="n">
        <f aca="false">L9*($C9-L$3)</f>
        <v>0</v>
      </c>
      <c r="AA9" s="0" t="n">
        <f aca="false">M9*($C9-M$3)</f>
        <v>0</v>
      </c>
      <c r="AB9" s="0" t="n">
        <f aca="false">N9*($C9-N$3)</f>
        <v>0</v>
      </c>
      <c r="AF9" s="0" t="n">
        <f aca="false">SUM(R9:AB9)</f>
        <v>180.634999999991</v>
      </c>
    </row>
    <row r="10" customFormat="false" ht="12.75" hidden="false" customHeight="false" outlineLevel="0" collapsed="false">
      <c r="A10" s="45" t="n">
        <v>36957</v>
      </c>
      <c r="B10" s="0" t="n">
        <f aca="false">B$2+B$3</f>
        <v>5.3</v>
      </c>
      <c r="C10" s="44" t="n">
        <f aca="false">GasDaily!R10</f>
        <v>3.845</v>
      </c>
      <c r="D10" s="26" t="n">
        <v>29387</v>
      </c>
      <c r="E10" s="26" t="n">
        <v>-5000</v>
      </c>
      <c r="F10" s="26" t="n">
        <v>-5000</v>
      </c>
      <c r="G10" s="26" t="n">
        <v>-5000</v>
      </c>
      <c r="H10" s="26" t="n">
        <v>1000</v>
      </c>
      <c r="I10" s="26"/>
      <c r="J10" s="26"/>
      <c r="K10" s="26"/>
      <c r="L10" s="26"/>
      <c r="M10" s="26"/>
      <c r="N10" s="26"/>
      <c r="O10" s="26"/>
      <c r="P10" s="13" t="n">
        <f aca="false">SUM(D10:O10)</f>
        <v>15387</v>
      </c>
      <c r="Q10" s="46"/>
      <c r="R10" s="0" t="n">
        <f aca="false">D10*($C10-D$3)</f>
        <v>3085.63499999999</v>
      </c>
      <c r="S10" s="0" t="n">
        <f aca="false">E10*($C10-E$3)</f>
        <v>-1025</v>
      </c>
      <c r="T10" s="0" t="n">
        <f aca="false">F10*($C10-F$3)</f>
        <v>-974.999999999999</v>
      </c>
      <c r="U10" s="0" t="n">
        <f aca="false">G10*($C10-G$3)</f>
        <v>-924.999999999998</v>
      </c>
      <c r="V10" s="0" t="n">
        <f aca="false">H10*($C10-H$3)</f>
        <v>19.9999999999996</v>
      </c>
      <c r="W10" s="0" t="n">
        <f aca="false">I10*($C10-I$3)</f>
        <v>0</v>
      </c>
      <c r="X10" s="0" t="n">
        <f aca="false">J10*($C10-J$3)</f>
        <v>0</v>
      </c>
      <c r="Y10" s="0" t="n">
        <f aca="false">K10*($C10-K$3)</f>
        <v>0</v>
      </c>
      <c r="Z10" s="0" t="n">
        <f aca="false">L10*($C10-L$3)</f>
        <v>0</v>
      </c>
      <c r="AA10" s="0" t="n">
        <f aca="false">M10*($C10-M$3)</f>
        <v>0</v>
      </c>
      <c r="AB10" s="0" t="n">
        <f aca="false">N10*($C10-N$3)</f>
        <v>0</v>
      </c>
      <c r="AF10" s="0" t="n">
        <f aca="false">SUM(R10:AB10)</f>
        <v>180.634999999991</v>
      </c>
    </row>
    <row r="11" customFormat="false" ht="12.75" hidden="false" customHeight="false" outlineLevel="0" collapsed="false">
      <c r="A11" s="45" t="n">
        <v>36958</v>
      </c>
      <c r="B11" s="0" t="n">
        <f aca="false">B$2+B$3</f>
        <v>5.3</v>
      </c>
      <c r="C11" s="44" t="n">
        <f aca="false">GasDaily!R11</f>
        <v>3.845</v>
      </c>
      <c r="D11" s="26" t="n">
        <v>29387</v>
      </c>
      <c r="E11" s="26" t="n">
        <v>-5000</v>
      </c>
      <c r="F11" s="26" t="n">
        <v>-5000</v>
      </c>
      <c r="G11" s="26" t="n">
        <v>-5000</v>
      </c>
      <c r="H11" s="26" t="n">
        <v>1000</v>
      </c>
      <c r="I11" s="26"/>
      <c r="J11" s="26"/>
      <c r="K11" s="26"/>
      <c r="L11" s="26"/>
      <c r="M11" s="26"/>
      <c r="N11" s="26"/>
      <c r="O11" s="26"/>
      <c r="P11" s="13" t="n">
        <f aca="false">SUM(D11:O11)</f>
        <v>15387</v>
      </c>
      <c r="Q11" s="46"/>
      <c r="R11" s="0" t="n">
        <f aca="false">D11*($C11-D$3)</f>
        <v>3085.63499999999</v>
      </c>
      <c r="S11" s="0" t="n">
        <f aca="false">E11*($C11-E$3)</f>
        <v>-1025</v>
      </c>
      <c r="T11" s="0" t="n">
        <f aca="false">F11*($C11-F$3)</f>
        <v>-974.999999999999</v>
      </c>
      <c r="U11" s="0" t="n">
        <f aca="false">G11*($C11-G$3)</f>
        <v>-924.999999999998</v>
      </c>
      <c r="V11" s="0" t="n">
        <f aca="false">H11*($C11-H$3)</f>
        <v>19.9999999999996</v>
      </c>
      <c r="W11" s="0" t="n">
        <f aca="false">I11*($C11-I$3)</f>
        <v>0</v>
      </c>
      <c r="X11" s="0" t="n">
        <f aca="false">J11*($C11-J$3)</f>
        <v>0</v>
      </c>
      <c r="Y11" s="0" t="n">
        <f aca="false">K11*($C11-K$3)</f>
        <v>0</v>
      </c>
      <c r="Z11" s="0" t="n">
        <f aca="false">L11*($C11-L$3)</f>
        <v>0</v>
      </c>
      <c r="AA11" s="0" t="n">
        <f aca="false">M11*($C11-M$3)</f>
        <v>0</v>
      </c>
      <c r="AB11" s="0" t="n">
        <f aca="false">N11*($C11-N$3)</f>
        <v>0</v>
      </c>
      <c r="AF11" s="0" t="n">
        <f aca="false">SUM(R11:AB11)</f>
        <v>180.634999999991</v>
      </c>
    </row>
    <row r="12" customFormat="false" ht="12.75" hidden="false" customHeight="false" outlineLevel="0" collapsed="false">
      <c r="A12" s="45" t="n">
        <v>36959</v>
      </c>
      <c r="B12" s="0" t="n">
        <f aca="false">B$2+B$3</f>
        <v>5.3</v>
      </c>
      <c r="C12" s="44" t="n">
        <f aca="false">GasDaily!R12</f>
        <v>3.845</v>
      </c>
      <c r="D12" s="26" t="n">
        <v>29387</v>
      </c>
      <c r="E12" s="26" t="n">
        <v>-5000</v>
      </c>
      <c r="F12" s="26" t="n">
        <v>-5000</v>
      </c>
      <c r="G12" s="26" t="n">
        <v>-5000</v>
      </c>
      <c r="H12" s="26" t="n">
        <v>1000</v>
      </c>
      <c r="I12" s="26"/>
      <c r="J12" s="26"/>
      <c r="K12" s="26"/>
      <c r="L12" s="26"/>
      <c r="M12" s="26"/>
      <c r="N12" s="26"/>
      <c r="O12" s="26"/>
      <c r="P12" s="13" t="n">
        <f aca="false">SUM(D12:O12)</f>
        <v>15387</v>
      </c>
      <c r="Q12" s="46"/>
      <c r="R12" s="0" t="n">
        <f aca="false">D12*($C12-D$3)</f>
        <v>3085.63499999999</v>
      </c>
      <c r="S12" s="0" t="n">
        <f aca="false">E12*($C12-E$3)</f>
        <v>-1025</v>
      </c>
      <c r="T12" s="0" t="n">
        <f aca="false">F12*($C12-F$3)</f>
        <v>-974.999999999999</v>
      </c>
      <c r="U12" s="0" t="n">
        <f aca="false">G12*($C12-G$3)</f>
        <v>-924.999999999998</v>
      </c>
      <c r="V12" s="0" t="n">
        <f aca="false">H12*($C12-H$3)</f>
        <v>19.9999999999996</v>
      </c>
      <c r="W12" s="0" t="n">
        <f aca="false">I12*($C12-I$3)</f>
        <v>0</v>
      </c>
      <c r="X12" s="0" t="n">
        <f aca="false">J12*($C12-J$3)</f>
        <v>0</v>
      </c>
      <c r="Y12" s="0" t="n">
        <f aca="false">K12*($C12-K$3)</f>
        <v>0</v>
      </c>
      <c r="Z12" s="0" t="n">
        <f aca="false">L12*($C12-L$3)</f>
        <v>0</v>
      </c>
      <c r="AA12" s="0" t="n">
        <f aca="false">M12*($C12-M$3)</f>
        <v>0</v>
      </c>
      <c r="AB12" s="0" t="n">
        <f aca="false">N12*($C12-N$3)</f>
        <v>0</v>
      </c>
      <c r="AF12" s="0" t="n">
        <f aca="false">SUM(R12:AB12)</f>
        <v>180.634999999991</v>
      </c>
    </row>
    <row r="13" customFormat="false" ht="12.75" hidden="false" customHeight="false" outlineLevel="0" collapsed="false">
      <c r="A13" s="45" t="n">
        <v>36960</v>
      </c>
      <c r="B13" s="0" t="n">
        <f aca="false">B$2+B$3</f>
        <v>5.3</v>
      </c>
      <c r="C13" s="44" t="n">
        <f aca="false">GasDaily!R13</f>
        <v>3.845</v>
      </c>
      <c r="D13" s="26" t="n">
        <v>29387</v>
      </c>
      <c r="E13" s="26" t="n">
        <v>-5000</v>
      </c>
      <c r="F13" s="26" t="n">
        <v>-5000</v>
      </c>
      <c r="G13" s="26" t="n">
        <v>-5000</v>
      </c>
      <c r="H13" s="26" t="n">
        <v>1000</v>
      </c>
      <c r="I13" s="26"/>
      <c r="J13" s="26"/>
      <c r="K13" s="26"/>
      <c r="L13" s="26"/>
      <c r="M13" s="26"/>
      <c r="N13" s="26"/>
      <c r="O13" s="26"/>
      <c r="P13" s="13" t="n">
        <f aca="false">SUM(D13:O13)</f>
        <v>15387</v>
      </c>
      <c r="Q13" s="46"/>
      <c r="R13" s="0" t="n">
        <f aca="false">D13*($C13-D$3)</f>
        <v>3085.63499999999</v>
      </c>
      <c r="S13" s="0" t="n">
        <f aca="false">E13*($C13-E$3)</f>
        <v>-1025</v>
      </c>
      <c r="T13" s="0" t="n">
        <f aca="false">F13*($C13-F$3)</f>
        <v>-974.999999999999</v>
      </c>
      <c r="U13" s="0" t="n">
        <f aca="false">G13*($C13-G$3)</f>
        <v>-924.999999999998</v>
      </c>
      <c r="V13" s="0" t="n">
        <f aca="false">H13*($C13-H$3)</f>
        <v>19.9999999999996</v>
      </c>
      <c r="W13" s="0" t="n">
        <f aca="false">I13*($C13-I$3)</f>
        <v>0</v>
      </c>
      <c r="X13" s="0" t="n">
        <f aca="false">J13*($C13-J$3)</f>
        <v>0</v>
      </c>
      <c r="Y13" s="0" t="n">
        <f aca="false">K13*($C13-K$3)</f>
        <v>0</v>
      </c>
      <c r="Z13" s="0" t="n">
        <f aca="false">L13*($C13-L$3)</f>
        <v>0</v>
      </c>
      <c r="AA13" s="0" t="n">
        <f aca="false">M13*($C13-M$3)</f>
        <v>0</v>
      </c>
      <c r="AB13" s="0" t="n">
        <f aca="false">N13*($C13-N$3)</f>
        <v>0</v>
      </c>
      <c r="AF13" s="0" t="n">
        <f aca="false">SUM(R13:AB13)</f>
        <v>180.634999999991</v>
      </c>
    </row>
    <row r="14" customFormat="false" ht="12.75" hidden="false" customHeight="false" outlineLevel="0" collapsed="false">
      <c r="A14" s="45" t="n">
        <v>36961</v>
      </c>
      <c r="B14" s="0" t="n">
        <f aca="false">B$2+B$3</f>
        <v>5.3</v>
      </c>
      <c r="C14" s="44" t="n">
        <f aca="false">GasDaily!R14</f>
        <v>3.845</v>
      </c>
      <c r="D14" s="26" t="n">
        <v>29387</v>
      </c>
      <c r="E14" s="26" t="n">
        <v>-5000</v>
      </c>
      <c r="F14" s="26" t="n">
        <v>-5000</v>
      </c>
      <c r="G14" s="26" t="n">
        <v>-5000</v>
      </c>
      <c r="H14" s="26" t="n">
        <v>1000</v>
      </c>
      <c r="I14" s="26"/>
      <c r="J14" s="26"/>
      <c r="K14" s="26"/>
      <c r="L14" s="26"/>
      <c r="M14" s="26"/>
      <c r="N14" s="26"/>
      <c r="O14" s="26"/>
      <c r="P14" s="13" t="n">
        <f aca="false">SUM(D14:O14)</f>
        <v>15387</v>
      </c>
      <c r="Q14" s="46"/>
      <c r="R14" s="0" t="n">
        <f aca="false">D14*($C14-D$3)</f>
        <v>3085.63499999999</v>
      </c>
      <c r="S14" s="0" t="n">
        <f aca="false">E14*($C14-E$3)</f>
        <v>-1025</v>
      </c>
      <c r="T14" s="0" t="n">
        <f aca="false">F14*($C14-F$3)</f>
        <v>-974.999999999999</v>
      </c>
      <c r="U14" s="0" t="n">
        <f aca="false">G14*($C14-G$3)</f>
        <v>-924.999999999998</v>
      </c>
      <c r="V14" s="0" t="n">
        <f aca="false">H14*($C14-H$3)</f>
        <v>19.9999999999996</v>
      </c>
      <c r="W14" s="0" t="n">
        <f aca="false">I14*($C14-I$3)</f>
        <v>0</v>
      </c>
      <c r="X14" s="0" t="n">
        <f aca="false">J14*($C14-J$3)</f>
        <v>0</v>
      </c>
      <c r="Y14" s="0" t="n">
        <f aca="false">K14*($C14-K$3)</f>
        <v>0</v>
      </c>
      <c r="Z14" s="0" t="n">
        <f aca="false">L14*($C14-L$3)</f>
        <v>0</v>
      </c>
      <c r="AA14" s="0" t="n">
        <f aca="false">M14*($C14-M$3)</f>
        <v>0</v>
      </c>
      <c r="AB14" s="0" t="n">
        <f aca="false">N14*($C14-N$3)</f>
        <v>0</v>
      </c>
      <c r="AF14" s="0" t="n">
        <f aca="false">SUM(R14:AB14)</f>
        <v>180.634999999991</v>
      </c>
    </row>
    <row r="15" customFormat="false" ht="12.75" hidden="false" customHeight="false" outlineLevel="0" collapsed="false">
      <c r="A15" s="45" t="n">
        <v>36962</v>
      </c>
      <c r="B15" s="0" t="n">
        <f aca="false">B$2+B$3</f>
        <v>5.3</v>
      </c>
      <c r="C15" s="44" t="n">
        <f aca="false">GasDaily!R15</f>
        <v>3.845</v>
      </c>
      <c r="D15" s="26" t="n">
        <v>29387</v>
      </c>
      <c r="E15" s="26" t="n">
        <v>-5000</v>
      </c>
      <c r="F15" s="26" t="n">
        <v>-5000</v>
      </c>
      <c r="G15" s="26" t="n">
        <v>-5000</v>
      </c>
      <c r="H15" s="26" t="n">
        <v>1000</v>
      </c>
      <c r="I15" s="26"/>
      <c r="J15" s="26"/>
      <c r="K15" s="26"/>
      <c r="L15" s="26"/>
      <c r="M15" s="26"/>
      <c r="N15" s="26"/>
      <c r="O15" s="26"/>
      <c r="P15" s="13" t="n">
        <f aca="false">SUM(D15:O15)</f>
        <v>15387</v>
      </c>
      <c r="Q15" s="46"/>
      <c r="R15" s="0" t="n">
        <f aca="false">D15*($C15-D$3)</f>
        <v>3085.63499999999</v>
      </c>
      <c r="S15" s="0" t="n">
        <f aca="false">E15*($C15-E$3)</f>
        <v>-1025</v>
      </c>
      <c r="T15" s="0" t="n">
        <f aca="false">F15*($C15-F$3)</f>
        <v>-974.999999999999</v>
      </c>
      <c r="U15" s="0" t="n">
        <f aca="false">G15*($C15-G$3)</f>
        <v>-924.999999999998</v>
      </c>
      <c r="V15" s="0" t="n">
        <f aca="false">H15*($C15-H$3)</f>
        <v>19.9999999999996</v>
      </c>
      <c r="W15" s="0" t="n">
        <f aca="false">I15*($C15-I$3)</f>
        <v>0</v>
      </c>
      <c r="X15" s="0" t="n">
        <f aca="false">J15*($C15-J$3)</f>
        <v>0</v>
      </c>
      <c r="Y15" s="0" t="n">
        <f aca="false">K15*($C15-K$3)</f>
        <v>0</v>
      </c>
      <c r="Z15" s="0" t="n">
        <f aca="false">L15*($C15-L$3)</f>
        <v>0</v>
      </c>
      <c r="AA15" s="0" t="n">
        <f aca="false">M15*($C15-M$3)</f>
        <v>0</v>
      </c>
      <c r="AB15" s="0" t="n">
        <f aca="false">N15*($C15-N$3)</f>
        <v>0</v>
      </c>
      <c r="AF15" s="0" t="n">
        <f aca="false">SUM(R15:AB15)</f>
        <v>180.634999999991</v>
      </c>
    </row>
    <row r="16" customFormat="false" ht="12.75" hidden="false" customHeight="false" outlineLevel="0" collapsed="false">
      <c r="A16" s="45" t="n">
        <v>36963</v>
      </c>
      <c r="B16" s="0" t="n">
        <f aca="false">B$2+B$3</f>
        <v>5.3</v>
      </c>
      <c r="C16" s="44" t="n">
        <f aca="false">GasDaily!R16</f>
        <v>3.845</v>
      </c>
      <c r="D16" s="26" t="n">
        <v>29387</v>
      </c>
      <c r="E16" s="26" t="n">
        <v>-5000</v>
      </c>
      <c r="F16" s="26" t="n">
        <v>-5000</v>
      </c>
      <c r="G16" s="26" t="n">
        <v>-5000</v>
      </c>
      <c r="H16" s="26" t="n">
        <v>1000</v>
      </c>
      <c r="I16" s="26"/>
      <c r="J16" s="26"/>
      <c r="K16" s="26"/>
      <c r="L16" s="26"/>
      <c r="M16" s="26"/>
      <c r="N16" s="26"/>
      <c r="O16" s="26"/>
      <c r="P16" s="13" t="n">
        <f aca="false">SUM(D16:O16)</f>
        <v>15387</v>
      </c>
      <c r="Q16" s="46"/>
      <c r="R16" s="0" t="n">
        <f aca="false">D16*($C16-D$3)</f>
        <v>3085.63499999999</v>
      </c>
      <c r="S16" s="0" t="n">
        <f aca="false">E16*($C16-E$3)</f>
        <v>-1025</v>
      </c>
      <c r="T16" s="0" t="n">
        <f aca="false">F16*($C16-F$3)</f>
        <v>-974.999999999999</v>
      </c>
      <c r="U16" s="0" t="n">
        <f aca="false">G16*($C16-G$3)</f>
        <v>-924.999999999998</v>
      </c>
      <c r="V16" s="0" t="n">
        <f aca="false">H16*($C16-H$3)</f>
        <v>19.9999999999996</v>
      </c>
      <c r="W16" s="0" t="n">
        <f aca="false">I16*($C16-I$3)</f>
        <v>0</v>
      </c>
      <c r="X16" s="0" t="n">
        <f aca="false">J16*($C16-J$3)</f>
        <v>0</v>
      </c>
      <c r="Y16" s="0" t="n">
        <f aca="false">K16*($C16-K$3)</f>
        <v>0</v>
      </c>
      <c r="Z16" s="0" t="n">
        <f aca="false">L16*($C16-L$3)</f>
        <v>0</v>
      </c>
      <c r="AA16" s="0" t="n">
        <f aca="false">M16*($C16-M$3)</f>
        <v>0</v>
      </c>
      <c r="AB16" s="0" t="n">
        <f aca="false">N16*($C16-N$3)</f>
        <v>0</v>
      </c>
      <c r="AF16" s="0" t="n">
        <f aca="false">SUM(R16:AB16)</f>
        <v>180.634999999991</v>
      </c>
    </row>
    <row r="17" customFormat="false" ht="12.75" hidden="false" customHeight="false" outlineLevel="0" collapsed="false">
      <c r="A17" s="45" t="n">
        <v>36964</v>
      </c>
      <c r="B17" s="0" t="n">
        <f aca="false">B$2+B$3</f>
        <v>5.3</v>
      </c>
      <c r="C17" s="44" t="n">
        <f aca="false">GasDaily!R17</f>
        <v>3.845</v>
      </c>
      <c r="D17" s="26" t="n">
        <v>29387</v>
      </c>
      <c r="E17" s="26" t="n">
        <v>-5000</v>
      </c>
      <c r="F17" s="26" t="n">
        <v>-5000</v>
      </c>
      <c r="G17" s="26" t="n">
        <v>-5000</v>
      </c>
      <c r="H17" s="26" t="n">
        <v>1000</v>
      </c>
      <c r="I17" s="26"/>
      <c r="J17" s="26"/>
      <c r="K17" s="26"/>
      <c r="L17" s="26"/>
      <c r="M17" s="26"/>
      <c r="N17" s="26"/>
      <c r="O17" s="26"/>
      <c r="P17" s="13" t="n">
        <f aca="false">SUM(D17:O17)</f>
        <v>15387</v>
      </c>
      <c r="Q17" s="46"/>
      <c r="R17" s="0" t="n">
        <f aca="false">D17*($C17-D$3)</f>
        <v>3085.63499999999</v>
      </c>
      <c r="S17" s="0" t="n">
        <f aca="false">E17*($C17-E$3)</f>
        <v>-1025</v>
      </c>
      <c r="T17" s="0" t="n">
        <f aca="false">F17*($C17-F$3)</f>
        <v>-974.999999999999</v>
      </c>
      <c r="U17" s="0" t="n">
        <f aca="false">G17*($C17-G$3)</f>
        <v>-924.999999999998</v>
      </c>
      <c r="V17" s="0" t="n">
        <f aca="false">H17*($C17-H$3)</f>
        <v>19.9999999999996</v>
      </c>
      <c r="W17" s="0" t="n">
        <f aca="false">I17*($C17-I$3)</f>
        <v>0</v>
      </c>
      <c r="X17" s="0" t="n">
        <f aca="false">J17*($C17-J$3)</f>
        <v>0</v>
      </c>
      <c r="Y17" s="0" t="n">
        <f aca="false">K17*($C17-K$3)</f>
        <v>0</v>
      </c>
      <c r="Z17" s="0" t="n">
        <f aca="false">L17*($C17-L$3)</f>
        <v>0</v>
      </c>
      <c r="AA17" s="0" t="n">
        <f aca="false">M17*($C17-M$3)</f>
        <v>0</v>
      </c>
      <c r="AB17" s="0" t="n">
        <f aca="false">N17*($C17-N$3)</f>
        <v>0</v>
      </c>
      <c r="AF17" s="0" t="n">
        <f aca="false">SUM(R17:AB17)</f>
        <v>180.634999999991</v>
      </c>
    </row>
    <row r="18" customFormat="false" ht="12.75" hidden="false" customHeight="false" outlineLevel="0" collapsed="false">
      <c r="A18" s="45" t="n">
        <v>36965</v>
      </c>
      <c r="B18" s="0" t="n">
        <f aca="false">B$2+B$3</f>
        <v>5.3</v>
      </c>
      <c r="C18" s="44" t="n">
        <f aca="false">GasDaily!R18</f>
        <v>3.845</v>
      </c>
      <c r="D18" s="26" t="n">
        <v>29387</v>
      </c>
      <c r="E18" s="26" t="n">
        <v>-5000</v>
      </c>
      <c r="F18" s="26" t="n">
        <v>-5000</v>
      </c>
      <c r="G18" s="26" t="n">
        <v>-5000</v>
      </c>
      <c r="H18" s="26" t="n">
        <v>1000</v>
      </c>
      <c r="I18" s="26"/>
      <c r="J18" s="26"/>
      <c r="K18" s="26"/>
      <c r="L18" s="26"/>
      <c r="M18" s="26"/>
      <c r="N18" s="26"/>
      <c r="O18" s="26"/>
      <c r="P18" s="13" t="n">
        <f aca="false">SUM(D18:O18)</f>
        <v>15387</v>
      </c>
      <c r="Q18" s="46"/>
      <c r="R18" s="0" t="n">
        <f aca="false">D18*($C18-D$3)</f>
        <v>3085.63499999999</v>
      </c>
      <c r="S18" s="0" t="n">
        <f aca="false">E18*($C18-E$3)</f>
        <v>-1025</v>
      </c>
      <c r="T18" s="0" t="n">
        <f aca="false">F18*($C18-F$3)</f>
        <v>-974.999999999999</v>
      </c>
      <c r="U18" s="0" t="n">
        <f aca="false">G18*($C18-G$3)</f>
        <v>-924.999999999998</v>
      </c>
      <c r="V18" s="0" t="n">
        <f aca="false">H18*($C18-H$3)</f>
        <v>19.9999999999996</v>
      </c>
      <c r="W18" s="0" t="n">
        <f aca="false">I18*($C18-I$3)</f>
        <v>0</v>
      </c>
      <c r="X18" s="0" t="n">
        <f aca="false">J18*($C18-J$3)</f>
        <v>0</v>
      </c>
      <c r="Y18" s="0" t="n">
        <f aca="false">K18*($C18-K$3)</f>
        <v>0</v>
      </c>
      <c r="Z18" s="0" t="n">
        <f aca="false">L18*($C18-L$3)</f>
        <v>0</v>
      </c>
      <c r="AA18" s="0" t="n">
        <f aca="false">M18*($C18-M$3)</f>
        <v>0</v>
      </c>
      <c r="AB18" s="0" t="n">
        <f aca="false">N18*($C18-N$3)</f>
        <v>0</v>
      </c>
      <c r="AF18" s="0" t="n">
        <f aca="false">SUM(R18:AB18)</f>
        <v>180.634999999991</v>
      </c>
    </row>
    <row r="19" customFormat="false" ht="12.75" hidden="false" customHeight="false" outlineLevel="0" collapsed="false">
      <c r="A19" s="45" t="n">
        <v>36966</v>
      </c>
      <c r="B19" s="0" t="n">
        <f aca="false">B$2+B$3</f>
        <v>5.3</v>
      </c>
      <c r="C19" s="44" t="n">
        <f aca="false">GasDaily!R19</f>
        <v>3.845</v>
      </c>
      <c r="D19" s="26" t="n">
        <v>29387</v>
      </c>
      <c r="E19" s="26" t="n">
        <v>-5000</v>
      </c>
      <c r="F19" s="26" t="n">
        <v>-5000</v>
      </c>
      <c r="G19" s="26" t="n">
        <v>-5000</v>
      </c>
      <c r="H19" s="26" t="n">
        <v>1000</v>
      </c>
      <c r="I19" s="26"/>
      <c r="J19" s="26"/>
      <c r="K19" s="26"/>
      <c r="L19" s="26"/>
      <c r="M19" s="26"/>
      <c r="N19" s="26"/>
      <c r="O19" s="26"/>
      <c r="P19" s="13" t="n">
        <f aca="false">SUM(D19:O19)</f>
        <v>15387</v>
      </c>
      <c r="Q19" s="46"/>
      <c r="R19" s="0" t="n">
        <f aca="false">D19*($C19-D$3)</f>
        <v>3085.63499999999</v>
      </c>
      <c r="S19" s="0" t="n">
        <f aca="false">E19*($C19-E$3)</f>
        <v>-1025</v>
      </c>
      <c r="T19" s="0" t="n">
        <f aca="false">F19*($C19-F$3)</f>
        <v>-974.999999999999</v>
      </c>
      <c r="U19" s="0" t="n">
        <f aca="false">G19*($C19-G$3)</f>
        <v>-924.999999999998</v>
      </c>
      <c r="V19" s="0" t="n">
        <f aca="false">H19*($C19-H$3)</f>
        <v>19.9999999999996</v>
      </c>
      <c r="W19" s="0" t="n">
        <f aca="false">I19*($C19-I$3)</f>
        <v>0</v>
      </c>
      <c r="X19" s="0" t="n">
        <f aca="false">J19*($C19-J$3)</f>
        <v>0</v>
      </c>
      <c r="Y19" s="0" t="n">
        <f aca="false">K19*($C19-K$3)</f>
        <v>0</v>
      </c>
      <c r="Z19" s="0" t="n">
        <f aca="false">L19*($C19-L$3)</f>
        <v>0</v>
      </c>
      <c r="AA19" s="0" t="n">
        <f aca="false">M19*($C19-M$3)</f>
        <v>0</v>
      </c>
      <c r="AB19" s="0" t="n">
        <f aca="false">N19*($C19-N$3)</f>
        <v>0</v>
      </c>
      <c r="AF19" s="0" t="n">
        <f aca="false">SUM(R19:AB19)</f>
        <v>180.634999999991</v>
      </c>
    </row>
    <row r="20" customFormat="false" ht="12.75" hidden="false" customHeight="false" outlineLevel="0" collapsed="false">
      <c r="A20" s="45" t="n">
        <v>36967</v>
      </c>
      <c r="B20" s="0" t="n">
        <f aca="false">B$2+B$3</f>
        <v>5.3</v>
      </c>
      <c r="C20" s="44" t="n">
        <f aca="false">GasDaily!R20</f>
        <v>3.845</v>
      </c>
      <c r="D20" s="26" t="n">
        <v>29387</v>
      </c>
      <c r="E20" s="26" t="n">
        <v>-5000</v>
      </c>
      <c r="F20" s="26" t="n">
        <v>-5000</v>
      </c>
      <c r="G20" s="26" t="n">
        <v>-5000</v>
      </c>
      <c r="H20" s="26" t="n">
        <v>1000</v>
      </c>
      <c r="I20" s="26"/>
      <c r="J20" s="26"/>
      <c r="K20" s="26"/>
      <c r="L20" s="26"/>
      <c r="M20" s="26"/>
      <c r="N20" s="26"/>
      <c r="O20" s="26"/>
      <c r="P20" s="13" t="n">
        <f aca="false">SUM(D20:O20)</f>
        <v>15387</v>
      </c>
      <c r="Q20" s="46"/>
      <c r="R20" s="0" t="n">
        <f aca="false">D20*($C20-D$3)</f>
        <v>3085.63499999999</v>
      </c>
      <c r="S20" s="0" t="n">
        <f aca="false">E20*($C20-E$3)</f>
        <v>-1025</v>
      </c>
      <c r="T20" s="0" t="n">
        <f aca="false">F20*($C20-F$3)</f>
        <v>-974.999999999999</v>
      </c>
      <c r="U20" s="0" t="n">
        <f aca="false">G20*($C20-G$3)</f>
        <v>-924.999999999998</v>
      </c>
      <c r="V20" s="0" t="n">
        <f aca="false">H20*($C20-H$3)</f>
        <v>19.9999999999996</v>
      </c>
      <c r="W20" s="0" t="n">
        <f aca="false">I20*($C20-I$3)</f>
        <v>0</v>
      </c>
      <c r="X20" s="0" t="n">
        <f aca="false">J20*($C20-J$3)</f>
        <v>0</v>
      </c>
      <c r="Y20" s="0" t="n">
        <f aca="false">K20*($C20-K$3)</f>
        <v>0</v>
      </c>
      <c r="Z20" s="0" t="n">
        <f aca="false">L20*($C20-L$3)</f>
        <v>0</v>
      </c>
      <c r="AA20" s="0" t="n">
        <f aca="false">M20*($C20-M$3)</f>
        <v>0</v>
      </c>
      <c r="AB20" s="0" t="n">
        <f aca="false">N20*($C20-N$3)</f>
        <v>0</v>
      </c>
      <c r="AF20" s="0" t="n">
        <f aca="false">SUM(R20:AB20)</f>
        <v>180.634999999991</v>
      </c>
    </row>
    <row r="21" customFormat="false" ht="12.75" hidden="false" customHeight="false" outlineLevel="0" collapsed="false">
      <c r="A21" s="45" t="n">
        <v>36968</v>
      </c>
      <c r="B21" s="0" t="n">
        <f aca="false">B$2+B$3</f>
        <v>5.3</v>
      </c>
      <c r="C21" s="44" t="n">
        <f aca="false">GasDaily!R21</f>
        <v>3.845</v>
      </c>
      <c r="D21" s="26" t="n">
        <v>29387</v>
      </c>
      <c r="E21" s="26" t="n">
        <v>-5000</v>
      </c>
      <c r="F21" s="26" t="n">
        <v>-5000</v>
      </c>
      <c r="G21" s="26" t="n">
        <v>-5000</v>
      </c>
      <c r="H21" s="26" t="n">
        <v>1000</v>
      </c>
      <c r="I21" s="26"/>
      <c r="J21" s="26"/>
      <c r="K21" s="26"/>
      <c r="L21" s="26"/>
      <c r="M21" s="26"/>
      <c r="N21" s="26"/>
      <c r="O21" s="26"/>
      <c r="P21" s="13" t="n">
        <f aca="false">SUM(D21:O21)</f>
        <v>15387</v>
      </c>
      <c r="Q21" s="46"/>
      <c r="R21" s="0" t="n">
        <f aca="false">D21*($C21-D$3)</f>
        <v>3085.63499999999</v>
      </c>
      <c r="S21" s="0" t="n">
        <f aca="false">E21*($C21-E$3)</f>
        <v>-1025</v>
      </c>
      <c r="T21" s="0" t="n">
        <f aca="false">F21*($C21-F$3)</f>
        <v>-974.999999999999</v>
      </c>
      <c r="U21" s="0" t="n">
        <f aca="false">G21*($C21-G$3)</f>
        <v>-924.999999999998</v>
      </c>
      <c r="V21" s="0" t="n">
        <f aca="false">H21*($C21-H$3)</f>
        <v>19.9999999999996</v>
      </c>
      <c r="W21" s="0" t="n">
        <f aca="false">I21*($C21-I$3)</f>
        <v>0</v>
      </c>
      <c r="X21" s="0" t="n">
        <f aca="false">J21*($C21-J$3)</f>
        <v>0</v>
      </c>
      <c r="Y21" s="0" t="n">
        <f aca="false">K21*($C21-K$3)</f>
        <v>0</v>
      </c>
      <c r="Z21" s="0" t="n">
        <f aca="false">L21*($C21-L$3)</f>
        <v>0</v>
      </c>
      <c r="AA21" s="0" t="n">
        <f aca="false">M21*($C21-M$3)</f>
        <v>0</v>
      </c>
      <c r="AB21" s="0" t="n">
        <f aca="false">N21*($C21-N$3)</f>
        <v>0</v>
      </c>
      <c r="AF21" s="0" t="n">
        <f aca="false">SUM(R21:AB21)</f>
        <v>180.634999999991</v>
      </c>
    </row>
    <row r="22" customFormat="false" ht="12.75" hidden="false" customHeight="false" outlineLevel="0" collapsed="false">
      <c r="A22" s="45" t="n">
        <v>36969</v>
      </c>
      <c r="B22" s="0" t="n">
        <f aca="false">B$2+B$3</f>
        <v>5.3</v>
      </c>
      <c r="C22" s="44" t="n">
        <f aca="false">GasDaily!R22</f>
        <v>3.845</v>
      </c>
      <c r="D22" s="26" t="n">
        <v>29387</v>
      </c>
      <c r="E22" s="26" t="n">
        <v>-5000</v>
      </c>
      <c r="F22" s="26" t="n">
        <v>-5000</v>
      </c>
      <c r="G22" s="26" t="n">
        <v>-5000</v>
      </c>
      <c r="H22" s="26" t="n">
        <v>1000</v>
      </c>
      <c r="I22" s="26"/>
      <c r="J22" s="26"/>
      <c r="K22" s="26"/>
      <c r="L22" s="26"/>
      <c r="M22" s="26"/>
      <c r="N22" s="26"/>
      <c r="O22" s="26"/>
      <c r="P22" s="13" t="n">
        <f aca="false">SUM(D22:O22)</f>
        <v>15387</v>
      </c>
      <c r="Q22" s="46"/>
      <c r="R22" s="0" t="n">
        <f aca="false">D22*($C22-D$3)</f>
        <v>3085.63499999999</v>
      </c>
      <c r="S22" s="0" t="n">
        <f aca="false">E22*($C22-E$3)</f>
        <v>-1025</v>
      </c>
      <c r="T22" s="0" t="n">
        <f aca="false">F22*($C22-F$3)</f>
        <v>-974.999999999999</v>
      </c>
      <c r="U22" s="0" t="n">
        <f aca="false">G22*($C22-G$3)</f>
        <v>-924.999999999998</v>
      </c>
      <c r="V22" s="0" t="n">
        <f aca="false">H22*($C22-H$3)</f>
        <v>19.9999999999996</v>
      </c>
      <c r="W22" s="0" t="n">
        <f aca="false">I22*($C22-I$3)</f>
        <v>0</v>
      </c>
      <c r="X22" s="0" t="n">
        <f aca="false">J22*($C22-J$3)</f>
        <v>0</v>
      </c>
      <c r="Y22" s="0" t="n">
        <f aca="false">K22*($C22-K$3)</f>
        <v>0</v>
      </c>
      <c r="Z22" s="0" t="n">
        <f aca="false">L22*($C22-L$3)</f>
        <v>0</v>
      </c>
      <c r="AA22" s="0" t="n">
        <f aca="false">M22*($C22-M$3)</f>
        <v>0</v>
      </c>
      <c r="AB22" s="0" t="n">
        <f aca="false">N22*($C22-N$3)</f>
        <v>0</v>
      </c>
      <c r="AF22" s="0" t="n">
        <f aca="false">SUM(R22:AB22)</f>
        <v>180.634999999991</v>
      </c>
    </row>
    <row r="23" customFormat="false" ht="12.75" hidden="false" customHeight="false" outlineLevel="0" collapsed="false">
      <c r="A23" s="45" t="n">
        <v>36970</v>
      </c>
      <c r="B23" s="0" t="n">
        <f aca="false">B$2+B$3</f>
        <v>5.3</v>
      </c>
      <c r="C23" s="44" t="n">
        <f aca="false">GasDaily!R23</f>
        <v>3.845</v>
      </c>
      <c r="D23" s="26" t="n">
        <v>29387</v>
      </c>
      <c r="E23" s="26" t="n">
        <v>-5000</v>
      </c>
      <c r="F23" s="26" t="n">
        <v>-5000</v>
      </c>
      <c r="G23" s="26" t="n">
        <v>-5000</v>
      </c>
      <c r="H23" s="26" t="n">
        <v>1000</v>
      </c>
      <c r="I23" s="26"/>
      <c r="J23" s="26"/>
      <c r="K23" s="26"/>
      <c r="L23" s="26"/>
      <c r="M23" s="26"/>
      <c r="N23" s="26"/>
      <c r="O23" s="26"/>
      <c r="P23" s="13" t="n">
        <f aca="false">SUM(D23:O23)</f>
        <v>15387</v>
      </c>
      <c r="Q23" s="46"/>
      <c r="R23" s="0" t="n">
        <f aca="false">D23*($C23-D$3)</f>
        <v>3085.63499999999</v>
      </c>
      <c r="S23" s="0" t="n">
        <f aca="false">E23*($C23-E$3)</f>
        <v>-1025</v>
      </c>
      <c r="T23" s="0" t="n">
        <f aca="false">F23*($C23-F$3)</f>
        <v>-974.999999999999</v>
      </c>
      <c r="U23" s="0" t="n">
        <f aca="false">G23*($C23-G$3)</f>
        <v>-924.999999999998</v>
      </c>
      <c r="V23" s="0" t="n">
        <f aca="false">H23*($C23-H$3)</f>
        <v>19.9999999999996</v>
      </c>
      <c r="W23" s="0" t="n">
        <f aca="false">I23*($C23-I$3)</f>
        <v>0</v>
      </c>
      <c r="X23" s="0" t="n">
        <f aca="false">J23*($C23-J$3)</f>
        <v>0</v>
      </c>
      <c r="Y23" s="0" t="n">
        <f aca="false">K23*($C23-K$3)</f>
        <v>0</v>
      </c>
      <c r="Z23" s="0" t="n">
        <f aca="false">L23*($C23-L$3)</f>
        <v>0</v>
      </c>
      <c r="AA23" s="0" t="n">
        <f aca="false">M23*($C23-M$3)</f>
        <v>0</v>
      </c>
      <c r="AB23" s="0" t="n">
        <f aca="false">N23*($C23-N$3)</f>
        <v>0</v>
      </c>
      <c r="AF23" s="0" t="n">
        <f aca="false">SUM(R23:AB23)</f>
        <v>180.634999999991</v>
      </c>
    </row>
    <row r="24" customFormat="false" ht="12.75" hidden="false" customHeight="false" outlineLevel="0" collapsed="false">
      <c r="A24" s="45" t="n">
        <v>36971</v>
      </c>
      <c r="B24" s="0" t="n">
        <f aca="false">B$2+B$3</f>
        <v>5.3</v>
      </c>
      <c r="C24" s="44" t="n">
        <f aca="false">GasDaily!R24</f>
        <v>3.845</v>
      </c>
      <c r="D24" s="26" t="n">
        <v>29387</v>
      </c>
      <c r="E24" s="26" t="n">
        <v>-5000</v>
      </c>
      <c r="F24" s="26" t="n">
        <v>-5000</v>
      </c>
      <c r="G24" s="26" t="n">
        <v>-5000</v>
      </c>
      <c r="H24" s="26" t="n">
        <v>1000</v>
      </c>
      <c r="I24" s="26"/>
      <c r="J24" s="26"/>
      <c r="K24" s="26"/>
      <c r="L24" s="26"/>
      <c r="M24" s="26"/>
      <c r="N24" s="26"/>
      <c r="O24" s="26"/>
      <c r="P24" s="13" t="n">
        <f aca="false">SUM(D24:O24)</f>
        <v>15387</v>
      </c>
      <c r="Q24" s="46"/>
      <c r="R24" s="0" t="n">
        <f aca="false">D24*($C24-D$3)</f>
        <v>3085.63499999999</v>
      </c>
      <c r="S24" s="0" t="n">
        <f aca="false">E24*($C24-E$3)</f>
        <v>-1025</v>
      </c>
      <c r="T24" s="0" t="n">
        <f aca="false">F24*($C24-F$3)</f>
        <v>-974.999999999999</v>
      </c>
      <c r="U24" s="0" t="n">
        <f aca="false">G24*($C24-G$3)</f>
        <v>-924.999999999998</v>
      </c>
      <c r="V24" s="0" t="n">
        <f aca="false">H24*($C24-H$3)</f>
        <v>19.9999999999996</v>
      </c>
      <c r="W24" s="0" t="n">
        <f aca="false">I24*($C24-I$3)</f>
        <v>0</v>
      </c>
      <c r="X24" s="0" t="n">
        <f aca="false">J24*($C24-J$3)</f>
        <v>0</v>
      </c>
      <c r="Y24" s="0" t="n">
        <f aca="false">K24*($C24-K$3)</f>
        <v>0</v>
      </c>
      <c r="Z24" s="0" t="n">
        <f aca="false">L24*($C24-L$3)</f>
        <v>0</v>
      </c>
      <c r="AA24" s="0" t="n">
        <f aca="false">M24*($C24-M$3)</f>
        <v>0</v>
      </c>
      <c r="AB24" s="0" t="n">
        <f aca="false">N24*($C24-N$3)</f>
        <v>0</v>
      </c>
      <c r="AF24" s="0" t="n">
        <f aca="false">SUM(R24:AB24)</f>
        <v>180.634999999991</v>
      </c>
    </row>
    <row r="25" customFormat="false" ht="12.75" hidden="false" customHeight="false" outlineLevel="0" collapsed="false">
      <c r="A25" s="45" t="n">
        <v>36972</v>
      </c>
      <c r="B25" s="0" t="n">
        <f aca="false">B$2+B$3</f>
        <v>5.3</v>
      </c>
      <c r="C25" s="44" t="n">
        <f aca="false">GasDaily!R25</f>
        <v>3.845</v>
      </c>
      <c r="D25" s="26" t="n">
        <v>29387</v>
      </c>
      <c r="E25" s="26" t="n">
        <v>-5000</v>
      </c>
      <c r="F25" s="26" t="n">
        <v>-5000</v>
      </c>
      <c r="G25" s="26" t="n">
        <v>-5000</v>
      </c>
      <c r="H25" s="26" t="n">
        <v>1000</v>
      </c>
      <c r="I25" s="26"/>
      <c r="J25" s="26"/>
      <c r="K25" s="26"/>
      <c r="L25" s="26"/>
      <c r="M25" s="26"/>
      <c r="N25" s="26"/>
      <c r="O25" s="26"/>
      <c r="P25" s="13" t="n">
        <f aca="false">SUM(D25:O25)</f>
        <v>15387</v>
      </c>
      <c r="Q25" s="46"/>
      <c r="R25" s="0" t="n">
        <f aca="false">D25*($C25-D$3)</f>
        <v>3085.63499999999</v>
      </c>
      <c r="S25" s="0" t="n">
        <f aca="false">E25*($C25-E$3)</f>
        <v>-1025</v>
      </c>
      <c r="T25" s="0" t="n">
        <f aca="false">F25*($C25-F$3)</f>
        <v>-974.999999999999</v>
      </c>
      <c r="U25" s="0" t="n">
        <f aca="false">G25*($C25-G$3)</f>
        <v>-924.999999999998</v>
      </c>
      <c r="V25" s="0" t="n">
        <f aca="false">H25*($C25-H$3)</f>
        <v>19.9999999999996</v>
      </c>
      <c r="W25" s="0" t="n">
        <f aca="false">I25*($C25-I$3)</f>
        <v>0</v>
      </c>
      <c r="X25" s="0" t="n">
        <f aca="false">J25*($C25-J$3)</f>
        <v>0</v>
      </c>
      <c r="Y25" s="0" t="n">
        <f aca="false">K25*($C25-K$3)</f>
        <v>0</v>
      </c>
      <c r="Z25" s="0" t="n">
        <f aca="false">L25*($C25-L$3)</f>
        <v>0</v>
      </c>
      <c r="AA25" s="0" t="n">
        <f aca="false">M25*($C25-M$3)</f>
        <v>0</v>
      </c>
      <c r="AB25" s="0" t="n">
        <f aca="false">N25*($C25-N$3)</f>
        <v>0</v>
      </c>
      <c r="AF25" s="0" t="n">
        <f aca="false">SUM(R25:AB25)</f>
        <v>180.634999999991</v>
      </c>
    </row>
    <row r="26" customFormat="false" ht="12.75" hidden="false" customHeight="false" outlineLevel="0" collapsed="false">
      <c r="A26" s="45" t="n">
        <v>36973</v>
      </c>
      <c r="B26" s="0" t="n">
        <f aca="false">B$2+B$3</f>
        <v>5.3</v>
      </c>
      <c r="C26" s="44" t="n">
        <f aca="false">GasDaily!R26</f>
        <v>3.845</v>
      </c>
      <c r="D26" s="26" t="n">
        <v>29387</v>
      </c>
      <c r="E26" s="26" t="n">
        <v>-5000</v>
      </c>
      <c r="F26" s="26" t="n">
        <v>-5000</v>
      </c>
      <c r="G26" s="26" t="n">
        <v>-5000</v>
      </c>
      <c r="H26" s="26" t="n">
        <v>1000</v>
      </c>
      <c r="I26" s="26"/>
      <c r="J26" s="26"/>
      <c r="K26" s="26"/>
      <c r="L26" s="26"/>
      <c r="M26" s="26"/>
      <c r="N26" s="26"/>
      <c r="O26" s="26"/>
      <c r="P26" s="13" t="n">
        <f aca="false">SUM(D26:O26)</f>
        <v>15387</v>
      </c>
      <c r="Q26" s="46"/>
      <c r="R26" s="0" t="n">
        <f aca="false">D26*($C26-D$3)</f>
        <v>3085.63499999999</v>
      </c>
      <c r="S26" s="0" t="n">
        <f aca="false">E26*($C26-E$3)</f>
        <v>-1025</v>
      </c>
      <c r="T26" s="0" t="n">
        <f aca="false">F26*($C26-F$3)</f>
        <v>-974.999999999999</v>
      </c>
      <c r="U26" s="0" t="n">
        <f aca="false">G26*($C26-G$3)</f>
        <v>-924.999999999998</v>
      </c>
      <c r="V26" s="0" t="n">
        <f aca="false">H26*($C26-H$3)</f>
        <v>19.9999999999996</v>
      </c>
      <c r="W26" s="0" t="n">
        <f aca="false">I26*($C26-I$3)</f>
        <v>0</v>
      </c>
      <c r="X26" s="0" t="n">
        <f aca="false">J26*($C26-J$3)</f>
        <v>0</v>
      </c>
      <c r="Y26" s="0" t="n">
        <f aca="false">K26*($C26-K$3)</f>
        <v>0</v>
      </c>
      <c r="Z26" s="0" t="n">
        <f aca="false">L26*($C26-L$3)</f>
        <v>0</v>
      </c>
      <c r="AA26" s="0" t="n">
        <f aca="false">M26*($C26-M$3)</f>
        <v>0</v>
      </c>
      <c r="AB26" s="0" t="n">
        <f aca="false">N26*($C26-N$3)</f>
        <v>0</v>
      </c>
      <c r="AF26" s="0" t="n">
        <f aca="false">SUM(R26:AB26)</f>
        <v>180.634999999991</v>
      </c>
    </row>
    <row r="27" customFormat="false" ht="12.75" hidden="false" customHeight="false" outlineLevel="0" collapsed="false">
      <c r="A27" s="45" t="n">
        <v>36974</v>
      </c>
      <c r="B27" s="0" t="n">
        <f aca="false">B$2+B$3</f>
        <v>5.3</v>
      </c>
      <c r="C27" s="44" t="n">
        <f aca="false">GasDaily!R27</f>
        <v>3.845</v>
      </c>
      <c r="D27" s="26" t="n">
        <v>29387</v>
      </c>
      <c r="E27" s="26" t="n">
        <v>-5000</v>
      </c>
      <c r="F27" s="26" t="n">
        <v>-5000</v>
      </c>
      <c r="G27" s="26" t="n">
        <v>-5000</v>
      </c>
      <c r="H27" s="26" t="n">
        <v>1000</v>
      </c>
      <c r="I27" s="26"/>
      <c r="J27" s="26"/>
      <c r="K27" s="26"/>
      <c r="L27" s="26"/>
      <c r="M27" s="26"/>
      <c r="N27" s="26"/>
      <c r="O27" s="26"/>
      <c r="P27" s="13" t="n">
        <f aca="false">SUM(D27:O27)</f>
        <v>15387</v>
      </c>
      <c r="Q27" s="46"/>
      <c r="R27" s="0" t="n">
        <f aca="false">D27*($C27-D$3)</f>
        <v>3085.63499999999</v>
      </c>
      <c r="S27" s="0" t="n">
        <f aca="false">E27*($C27-E$3)</f>
        <v>-1025</v>
      </c>
      <c r="T27" s="0" t="n">
        <f aca="false">F27*($C27-F$3)</f>
        <v>-974.999999999999</v>
      </c>
      <c r="U27" s="0" t="n">
        <f aca="false">G27*($C27-G$3)</f>
        <v>-924.999999999998</v>
      </c>
      <c r="V27" s="0" t="n">
        <f aca="false">H27*($C27-H$3)</f>
        <v>19.9999999999996</v>
      </c>
      <c r="W27" s="0" t="n">
        <f aca="false">I27*($C27-I$3)</f>
        <v>0</v>
      </c>
      <c r="X27" s="0" t="n">
        <f aca="false">J27*($C27-J$3)</f>
        <v>0</v>
      </c>
      <c r="Y27" s="0" t="n">
        <f aca="false">K27*($C27-K$3)</f>
        <v>0</v>
      </c>
      <c r="Z27" s="0" t="n">
        <f aca="false">L27*($C27-L$3)</f>
        <v>0</v>
      </c>
      <c r="AA27" s="0" t="n">
        <f aca="false">M27*($C27-M$3)</f>
        <v>0</v>
      </c>
      <c r="AB27" s="0" t="n">
        <f aca="false">N27*($C27-N$3)</f>
        <v>0</v>
      </c>
      <c r="AF27" s="0" t="n">
        <f aca="false">SUM(R27:AB27)</f>
        <v>180.634999999991</v>
      </c>
    </row>
    <row r="28" customFormat="false" ht="12.75" hidden="false" customHeight="false" outlineLevel="0" collapsed="false">
      <c r="A28" s="45" t="n">
        <v>36975</v>
      </c>
      <c r="B28" s="0" t="n">
        <f aca="false">B$2+B$3</f>
        <v>5.3</v>
      </c>
      <c r="C28" s="44" t="n">
        <f aca="false">GasDaily!R28</f>
        <v>3.845</v>
      </c>
      <c r="D28" s="26" t="n">
        <v>29387</v>
      </c>
      <c r="E28" s="26" t="n">
        <v>-5000</v>
      </c>
      <c r="F28" s="26" t="n">
        <v>-5000</v>
      </c>
      <c r="G28" s="26" t="n">
        <v>-5000</v>
      </c>
      <c r="H28" s="26" t="n">
        <v>1000</v>
      </c>
      <c r="I28" s="26"/>
      <c r="J28" s="26"/>
      <c r="K28" s="26"/>
      <c r="L28" s="26"/>
      <c r="M28" s="26"/>
      <c r="N28" s="26"/>
      <c r="O28" s="26"/>
      <c r="P28" s="13" t="n">
        <f aca="false">SUM(D28:O28)</f>
        <v>15387</v>
      </c>
      <c r="Q28" s="46"/>
      <c r="R28" s="0" t="n">
        <f aca="false">D28*($C28-D$3)</f>
        <v>3085.63499999999</v>
      </c>
      <c r="S28" s="0" t="n">
        <f aca="false">E28*($C28-E$3)</f>
        <v>-1025</v>
      </c>
      <c r="T28" s="0" t="n">
        <f aca="false">F28*($C28-F$3)</f>
        <v>-974.999999999999</v>
      </c>
      <c r="U28" s="0" t="n">
        <f aca="false">G28*($C28-G$3)</f>
        <v>-924.999999999998</v>
      </c>
      <c r="V28" s="0" t="n">
        <f aca="false">H28*($C28-H$3)</f>
        <v>19.9999999999996</v>
      </c>
      <c r="W28" s="0" t="n">
        <f aca="false">I28*($C28-I$3)</f>
        <v>0</v>
      </c>
      <c r="X28" s="0" t="n">
        <f aca="false">J28*($C28-J$3)</f>
        <v>0</v>
      </c>
      <c r="Y28" s="0" t="n">
        <f aca="false">K28*($C28-K$3)</f>
        <v>0</v>
      </c>
      <c r="Z28" s="0" t="n">
        <f aca="false">L28*($C28-L$3)</f>
        <v>0</v>
      </c>
      <c r="AA28" s="0" t="n">
        <f aca="false">M28*($C28-M$3)</f>
        <v>0</v>
      </c>
      <c r="AB28" s="0" t="n">
        <f aca="false">N28*($C28-N$3)</f>
        <v>0</v>
      </c>
      <c r="AF28" s="0" t="n">
        <f aca="false">SUM(R28:AB28)</f>
        <v>180.634999999991</v>
      </c>
    </row>
    <row r="29" customFormat="false" ht="12.75" hidden="false" customHeight="false" outlineLevel="0" collapsed="false">
      <c r="A29" s="45" t="n">
        <v>36976</v>
      </c>
      <c r="B29" s="0" t="n">
        <f aca="false">B$2+B$3</f>
        <v>5.3</v>
      </c>
      <c r="C29" s="44" t="n">
        <f aca="false">GasDaily!R29</f>
        <v>3.845</v>
      </c>
      <c r="D29" s="26" t="n">
        <v>29387</v>
      </c>
      <c r="E29" s="26" t="n">
        <v>-5000</v>
      </c>
      <c r="F29" s="26" t="n">
        <v>-5000</v>
      </c>
      <c r="G29" s="26" t="n">
        <v>-5000</v>
      </c>
      <c r="H29" s="26" t="n">
        <v>1000</v>
      </c>
      <c r="I29" s="26"/>
      <c r="J29" s="26"/>
      <c r="K29" s="26"/>
      <c r="L29" s="26"/>
      <c r="M29" s="26"/>
      <c r="N29" s="26"/>
      <c r="O29" s="26"/>
      <c r="P29" s="13" t="n">
        <f aca="false">SUM(D29:O29)</f>
        <v>15387</v>
      </c>
      <c r="Q29" s="46"/>
      <c r="R29" s="0" t="n">
        <f aca="false">D29*($C29-D$3)</f>
        <v>3085.63499999999</v>
      </c>
      <c r="S29" s="0" t="n">
        <f aca="false">E29*($C29-E$3)</f>
        <v>-1025</v>
      </c>
      <c r="T29" s="0" t="n">
        <f aca="false">F29*($C29-F$3)</f>
        <v>-974.999999999999</v>
      </c>
      <c r="U29" s="0" t="n">
        <f aca="false">G29*($C29-G$3)</f>
        <v>-924.999999999998</v>
      </c>
      <c r="V29" s="0" t="n">
        <f aca="false">H29*($C29-H$3)</f>
        <v>19.9999999999996</v>
      </c>
      <c r="W29" s="0" t="n">
        <f aca="false">I29*($C29-I$3)</f>
        <v>0</v>
      </c>
      <c r="X29" s="0" t="n">
        <f aca="false">J29*($C29-J$3)</f>
        <v>0</v>
      </c>
      <c r="Y29" s="0" t="n">
        <f aca="false">K29*($C29-K$3)</f>
        <v>0</v>
      </c>
      <c r="Z29" s="0" t="n">
        <f aca="false">L29*($C29-L$3)</f>
        <v>0</v>
      </c>
      <c r="AA29" s="0" t="n">
        <f aca="false">M29*($C29-M$3)</f>
        <v>0</v>
      </c>
      <c r="AB29" s="0" t="n">
        <f aca="false">N29*($C29-N$3)</f>
        <v>0</v>
      </c>
      <c r="AF29" s="0" t="n">
        <f aca="false">SUM(R29:AB29)</f>
        <v>180.634999999991</v>
      </c>
    </row>
    <row r="30" customFormat="false" ht="12.75" hidden="false" customHeight="false" outlineLevel="0" collapsed="false">
      <c r="A30" s="45" t="n">
        <v>36977</v>
      </c>
      <c r="B30" s="0" t="n">
        <f aca="false">B$2+B$3</f>
        <v>5.3</v>
      </c>
      <c r="C30" s="44" t="n">
        <f aca="false">GasDaily!R30</f>
        <v>3.845</v>
      </c>
      <c r="D30" s="26" t="n">
        <v>29387</v>
      </c>
      <c r="E30" s="26" t="n">
        <v>-5000</v>
      </c>
      <c r="F30" s="26" t="n">
        <v>-5000</v>
      </c>
      <c r="G30" s="26" t="n">
        <v>-5000</v>
      </c>
      <c r="H30" s="26" t="n">
        <v>1000</v>
      </c>
      <c r="I30" s="26"/>
      <c r="J30" s="26"/>
      <c r="K30" s="26"/>
      <c r="L30" s="26"/>
      <c r="M30" s="26"/>
      <c r="N30" s="26"/>
      <c r="O30" s="26"/>
      <c r="P30" s="13" t="n">
        <f aca="false">SUM(D30:O30)</f>
        <v>15387</v>
      </c>
      <c r="Q30" s="46"/>
      <c r="R30" s="0" t="n">
        <f aca="false">D30*($C30-D$3)</f>
        <v>3085.63499999999</v>
      </c>
      <c r="S30" s="0" t="n">
        <f aca="false">E30*($C30-E$3)</f>
        <v>-1025</v>
      </c>
      <c r="T30" s="0" t="n">
        <f aca="false">F30*($C30-F$3)</f>
        <v>-974.999999999999</v>
      </c>
      <c r="U30" s="0" t="n">
        <f aca="false">G30*($C30-G$3)</f>
        <v>-924.999999999998</v>
      </c>
      <c r="V30" s="0" t="n">
        <f aca="false">H30*($C30-H$3)</f>
        <v>19.9999999999996</v>
      </c>
      <c r="W30" s="0" t="n">
        <f aca="false">I30*($C30-I$3)</f>
        <v>0</v>
      </c>
      <c r="X30" s="0" t="n">
        <f aca="false">J30*($C30-J$3)</f>
        <v>0</v>
      </c>
      <c r="Y30" s="0" t="n">
        <f aca="false">K30*($C30-K$3)</f>
        <v>0</v>
      </c>
      <c r="Z30" s="0" t="n">
        <f aca="false">L30*($C30-L$3)</f>
        <v>0</v>
      </c>
      <c r="AA30" s="0" t="n">
        <f aca="false">M30*($C30-M$3)</f>
        <v>0</v>
      </c>
      <c r="AB30" s="0" t="n">
        <f aca="false">N30*($C30-N$3)</f>
        <v>0</v>
      </c>
      <c r="AF30" s="0" t="n">
        <f aca="false">SUM(R30:AB30)</f>
        <v>180.634999999991</v>
      </c>
    </row>
    <row r="31" customFormat="false" ht="12.75" hidden="false" customHeight="false" outlineLevel="0" collapsed="false">
      <c r="A31" s="45" t="n">
        <v>36978</v>
      </c>
      <c r="B31" s="0" t="n">
        <f aca="false">B$2+B$3</f>
        <v>5.3</v>
      </c>
      <c r="C31" s="44" t="n">
        <f aca="false">GasDaily!R31</f>
        <v>3.845</v>
      </c>
      <c r="D31" s="26" t="n">
        <v>29387</v>
      </c>
      <c r="E31" s="26" t="n">
        <v>-5000</v>
      </c>
      <c r="F31" s="26" t="n">
        <v>-5000</v>
      </c>
      <c r="G31" s="26" t="n">
        <v>-5000</v>
      </c>
      <c r="H31" s="26" t="n">
        <v>1000</v>
      </c>
      <c r="I31" s="26"/>
      <c r="J31" s="26"/>
      <c r="K31" s="26"/>
      <c r="L31" s="26"/>
      <c r="M31" s="26"/>
      <c r="N31" s="26"/>
      <c r="O31" s="26"/>
      <c r="P31" s="13" t="n">
        <f aca="false">SUM(D31:O31)</f>
        <v>15387</v>
      </c>
      <c r="Q31" s="46"/>
      <c r="R31" s="0" t="n">
        <f aca="false">D31*($C31-D$3)</f>
        <v>3085.63499999999</v>
      </c>
      <c r="S31" s="0" t="n">
        <f aca="false">E31*($C31-E$3)</f>
        <v>-1025</v>
      </c>
      <c r="T31" s="0" t="n">
        <f aca="false">F31*($C31-F$3)</f>
        <v>-974.999999999999</v>
      </c>
      <c r="U31" s="0" t="n">
        <f aca="false">G31*($C31-G$3)</f>
        <v>-924.999999999998</v>
      </c>
      <c r="V31" s="0" t="n">
        <f aca="false">H31*($C31-H$3)</f>
        <v>19.9999999999996</v>
      </c>
      <c r="W31" s="0" t="n">
        <f aca="false">I31*($C31-I$3)</f>
        <v>0</v>
      </c>
      <c r="X31" s="0" t="n">
        <f aca="false">J31*($C31-J$3)</f>
        <v>0</v>
      </c>
      <c r="Y31" s="0" t="n">
        <f aca="false">K31*($C31-K$3)</f>
        <v>0</v>
      </c>
      <c r="Z31" s="0" t="n">
        <f aca="false">L31*($C31-L$3)</f>
        <v>0</v>
      </c>
      <c r="AA31" s="0" t="n">
        <f aca="false">M31*($C31-M$3)</f>
        <v>0</v>
      </c>
      <c r="AB31" s="0" t="n">
        <f aca="false">N31*($C31-N$3)</f>
        <v>0</v>
      </c>
      <c r="AF31" s="0" t="n">
        <f aca="false">SUM(R31:AB31)</f>
        <v>180.634999999991</v>
      </c>
    </row>
    <row r="32" customFormat="false" ht="12.75" hidden="false" customHeight="false" outlineLevel="0" collapsed="false">
      <c r="A32" s="45" t="n">
        <v>36979</v>
      </c>
      <c r="B32" s="0" t="n">
        <f aca="false">B$2+B$3</f>
        <v>5.3</v>
      </c>
      <c r="C32" s="44" t="n">
        <f aca="false">GasDaily!R32</f>
        <v>3.845</v>
      </c>
      <c r="D32" s="26" t="n">
        <v>29387</v>
      </c>
      <c r="E32" s="26" t="n">
        <v>-5000</v>
      </c>
      <c r="F32" s="26" t="n">
        <v>-5000</v>
      </c>
      <c r="G32" s="26" t="n">
        <v>-5000</v>
      </c>
      <c r="H32" s="26" t="n">
        <v>1000</v>
      </c>
      <c r="I32" s="26"/>
      <c r="J32" s="26"/>
      <c r="K32" s="26"/>
      <c r="L32" s="26"/>
      <c r="M32" s="26"/>
      <c r="N32" s="26"/>
      <c r="O32" s="26"/>
      <c r="P32" s="13" t="n">
        <f aca="false">SUM(D32:O32)</f>
        <v>15387</v>
      </c>
      <c r="Q32" s="46"/>
      <c r="R32" s="0" t="n">
        <f aca="false">D32*(C32-D$3)</f>
        <v>3085.63499999999</v>
      </c>
      <c r="S32" s="0" t="n">
        <f aca="false">E32*($C32-E$3)</f>
        <v>-1025</v>
      </c>
      <c r="T32" s="0" t="n">
        <f aca="false">F32*($C32-F$3)</f>
        <v>-974.999999999999</v>
      </c>
      <c r="U32" s="0" t="n">
        <f aca="false">G32*($C32-G$3)</f>
        <v>-924.999999999998</v>
      </c>
      <c r="V32" s="0" t="n">
        <f aca="false">H32*($C32-H$3)</f>
        <v>19.9999999999996</v>
      </c>
      <c r="W32" s="0" t="n">
        <f aca="false">I32*($C32-I$3)</f>
        <v>0</v>
      </c>
      <c r="X32" s="0" t="n">
        <f aca="false">J32*($C32-J$3)</f>
        <v>0</v>
      </c>
      <c r="Y32" s="0" t="n">
        <f aca="false">K32*($C32-K$3)</f>
        <v>0</v>
      </c>
      <c r="Z32" s="0" t="n">
        <f aca="false">L32*($C32-L$3)</f>
        <v>0</v>
      </c>
      <c r="AA32" s="0" t="n">
        <f aca="false">M32*($C32-M$3)</f>
        <v>0</v>
      </c>
      <c r="AB32" s="0" t="n">
        <f aca="false">N32*($C32-N$3)</f>
        <v>0</v>
      </c>
      <c r="AF32" s="0" t="n">
        <f aca="false">SUM(R32:AB32)</f>
        <v>180.634999999991</v>
      </c>
    </row>
    <row r="33" customFormat="false" ht="12.75" hidden="false" customHeight="false" outlineLevel="0" collapsed="false">
      <c r="A33" s="45" t="n">
        <v>36980</v>
      </c>
      <c r="B33" s="0" t="n">
        <f aca="false">B$2+B$3</f>
        <v>5.3</v>
      </c>
      <c r="C33" s="44" t="n">
        <f aca="false">GasDaily!R33</f>
        <v>3.845</v>
      </c>
      <c r="D33" s="26" t="n">
        <v>29387</v>
      </c>
      <c r="E33" s="26" t="n">
        <v>-5000</v>
      </c>
      <c r="F33" s="26" t="n">
        <v>-5000</v>
      </c>
      <c r="G33" s="26" t="n">
        <v>-5000</v>
      </c>
      <c r="H33" s="26" t="n">
        <v>1000</v>
      </c>
      <c r="I33" s="26"/>
      <c r="J33" s="26"/>
      <c r="K33" s="26"/>
      <c r="L33" s="26"/>
      <c r="M33" s="26"/>
      <c r="N33" s="26"/>
      <c r="P33" s="13" t="n">
        <f aca="false">SUM(D33:O33)</f>
        <v>15387</v>
      </c>
      <c r="R33" s="0" t="n">
        <f aca="false">D33*(C33-D$3)</f>
        <v>3085.63499999999</v>
      </c>
      <c r="S33" s="0" t="n">
        <f aca="false">E33*($C33-E$3)</f>
        <v>-1025</v>
      </c>
      <c r="T33" s="0" t="n">
        <f aca="false">F33*($C33-F$3)</f>
        <v>-974.999999999999</v>
      </c>
      <c r="U33" s="0" t="n">
        <f aca="false">G33*($C33-G$3)</f>
        <v>-924.999999999998</v>
      </c>
      <c r="V33" s="0" t="n">
        <f aca="false">H33*($C33-H$3)</f>
        <v>19.9999999999996</v>
      </c>
      <c r="W33" s="0" t="n">
        <f aca="false">I33*($C33-I$3)</f>
        <v>0</v>
      </c>
      <c r="X33" s="0" t="n">
        <f aca="false">J33*($C33-J$3)</f>
        <v>0</v>
      </c>
      <c r="Y33" s="0" t="n">
        <f aca="false">K33*($C33-K$3)</f>
        <v>0</v>
      </c>
      <c r="Z33" s="0" t="n">
        <f aca="false">L33*($C33-L$3)</f>
        <v>0</v>
      </c>
      <c r="AA33" s="0" t="n">
        <f aca="false">M33*($C33-M$3)</f>
        <v>0</v>
      </c>
      <c r="AB33" s="0" t="n">
        <f aca="false">N33*($C33-N$3)</f>
        <v>0</v>
      </c>
      <c r="AF33" s="0" t="n">
        <f aca="false">SUM(R33:AB33)</f>
        <v>180.634999999991</v>
      </c>
    </row>
    <row r="34" customFormat="false" ht="12.75" hidden="false" customHeight="false" outlineLevel="0" collapsed="false">
      <c r="A34" s="45" t="n">
        <v>36981</v>
      </c>
      <c r="B34" s="0" t="n">
        <f aca="false">B$2+B$3</f>
        <v>5.3</v>
      </c>
      <c r="C34" s="44" t="n">
        <f aca="false">GasDaily!F34</f>
        <v>0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P34" s="13" t="n">
        <f aca="false">SUM(D34:O34)</f>
        <v>0</v>
      </c>
      <c r="R34" s="0" t="n">
        <f aca="false">D34*(C34-D$3)</f>
        <v>-0</v>
      </c>
      <c r="S34" s="0" t="n">
        <f aca="false">E34*($C34-E$3)</f>
        <v>-0</v>
      </c>
      <c r="T34" s="0" t="n">
        <f aca="false">F34*($C34-F$3)</f>
        <v>-0</v>
      </c>
      <c r="U34" s="0" t="n">
        <f aca="false">G34*($C34-G$3)</f>
        <v>-0</v>
      </c>
      <c r="V34" s="0" t="n">
        <f aca="false">H34*($C34-H$3)</f>
        <v>-0</v>
      </c>
      <c r="W34" s="0" t="n">
        <f aca="false">I34*($C34-I$3)</f>
        <v>0</v>
      </c>
      <c r="X34" s="0" t="n">
        <f aca="false">J34*($C34-J$3)</f>
        <v>0</v>
      </c>
      <c r="Y34" s="0" t="n">
        <f aca="false">K34*($C34-K$3)</f>
        <v>0</v>
      </c>
      <c r="Z34" s="0" t="n">
        <f aca="false">L34*($C34-L$3)</f>
        <v>0</v>
      </c>
      <c r="AA34" s="0" t="n">
        <f aca="false">M34*($C34-M$3)</f>
        <v>0</v>
      </c>
      <c r="AB34" s="0" t="n">
        <f aca="false">N34*($C34-N$3)</f>
        <v>0</v>
      </c>
      <c r="AF34" s="0" t="n">
        <f aca="false">SUM(R34:AB34)</f>
        <v>0</v>
      </c>
    </row>
    <row r="35" customFormat="false" ht="12.75" hidden="false" customHeight="false" outlineLevel="0" collapsed="false">
      <c r="A35" s="47"/>
      <c r="C35" s="44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customFormat="false" ht="12.75" hidden="false" customHeight="false" outlineLevel="0" collapsed="false">
      <c r="P36" s="13" t="n">
        <f aca="false">SUM(P8:P34)</f>
        <v>400062</v>
      </c>
      <c r="AF36" s="48" t="n">
        <f aca="false">SUM(AF4:AF34)</f>
        <v>5188.24499999973</v>
      </c>
    </row>
    <row r="37" customFormat="false" ht="12.75" hidden="false" customHeight="false" outlineLevel="0" collapsed="false">
      <c r="A37" s="0" t="n">
        <f aca="false">COUNT(A4:A33)</f>
        <v>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37"/>
  <sheetViews>
    <sheetView showFormulas="false" showGridLines="true" showRowColHeaders="true" showZeros="true" rightToLeft="false" tabSelected="false" showOutlineSymbols="true" defaultGridColor="true" view="normal" topLeftCell="A2" colorId="64" zoomScale="85" zoomScaleNormal="85" zoomScalePageLayoutView="100" workbookViewId="0">
      <selection pane="topLeft" activeCell="M37" activeCellId="0" sqref="M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13" min="13" style="40" width="13.14"/>
    <col collapsed="false" customWidth="true" hidden="false" outlineLevel="0" max="14" min="14" style="41" width="2.84"/>
    <col collapsed="false" customWidth="true" hidden="false" outlineLevel="0" max="25" min="25" style="41" width="2.7"/>
    <col collapsed="false" customWidth="true" hidden="false" outlineLevel="0" max="26" min="26" style="0" width="10.85"/>
  </cols>
  <sheetData>
    <row r="1" customFormat="false" ht="12.75" hidden="false" customHeight="false" outlineLevel="0" collapsed="false">
      <c r="B1" s="40" t="s">
        <v>43</v>
      </c>
    </row>
    <row r="2" customFormat="false" ht="12.75" hidden="false" customHeight="false" outlineLevel="0" collapsed="false">
      <c r="B2" s="42" t="n">
        <v>5.31</v>
      </c>
      <c r="C2" s="43"/>
      <c r="M2" s="40" t="s">
        <v>44</v>
      </c>
    </row>
    <row r="3" customFormat="false" ht="12.75" hidden="false" customHeight="false" outlineLevel="0" collapsed="false">
      <c r="B3" s="44"/>
      <c r="C3" s="0" t="s">
        <v>45</v>
      </c>
      <c r="D3" s="0" t="n">
        <v>3.77</v>
      </c>
      <c r="Z3" s="0" t="s">
        <v>46</v>
      </c>
    </row>
    <row r="4" customFormat="false" ht="12.75" hidden="false" customHeight="false" outlineLevel="0" collapsed="false">
      <c r="A4" s="45" t="n">
        <v>36861</v>
      </c>
      <c r="B4" s="0" t="n">
        <f aca="false">B$2+B$3</f>
        <v>5.31</v>
      </c>
      <c r="C4" s="44" t="n">
        <f aca="false">GasDaily!V4</f>
        <v>3.63</v>
      </c>
      <c r="D4" s="26" t="n">
        <v>-20000</v>
      </c>
      <c r="E4" s="26"/>
      <c r="F4" s="26"/>
      <c r="G4" s="26"/>
      <c r="H4" s="26"/>
      <c r="I4" s="26"/>
      <c r="J4" s="26"/>
      <c r="K4" s="26"/>
      <c r="L4" s="26"/>
      <c r="M4" s="13" t="n">
        <f aca="false">SUM(D4:L4)</f>
        <v>-20000</v>
      </c>
      <c r="N4" s="46"/>
      <c r="O4" s="0" t="n">
        <f aca="false">D4*($C4-D$3)</f>
        <v>2800</v>
      </c>
      <c r="P4" s="0" t="n">
        <f aca="false">E4*($C4-E$3)</f>
        <v>0</v>
      </c>
      <c r="Q4" s="0" t="n">
        <f aca="false">F4*($C4-F$3)</f>
        <v>0</v>
      </c>
      <c r="R4" s="0" t="n">
        <f aca="false">G4*($C4-G$3)</f>
        <v>0</v>
      </c>
      <c r="S4" s="0" t="n">
        <f aca="false">H4*($C4-H$3)</f>
        <v>0</v>
      </c>
      <c r="T4" s="0" t="n">
        <f aca="false">I4*($C4-I$3)</f>
        <v>0</v>
      </c>
      <c r="U4" s="0" t="n">
        <f aca="false">J4*($C4-J$3)</f>
        <v>0</v>
      </c>
      <c r="V4" s="0" t="n">
        <f aca="false">K4*($C4-K$3)</f>
        <v>0</v>
      </c>
      <c r="Z4" s="0" t="n">
        <f aca="false">SUM(O4:Y4)</f>
        <v>2800</v>
      </c>
    </row>
    <row r="5" customFormat="false" ht="12.75" hidden="false" customHeight="false" outlineLevel="0" collapsed="false">
      <c r="A5" s="45" t="n">
        <v>36862</v>
      </c>
      <c r="B5" s="0" t="n">
        <f aca="false">B$2+B$3</f>
        <v>5.31</v>
      </c>
      <c r="C5" s="44" t="n">
        <f aca="false">GasDaily!V5</f>
        <v>3.755</v>
      </c>
      <c r="D5" s="26" t="n">
        <v>-20000</v>
      </c>
      <c r="E5" s="26"/>
      <c r="F5" s="26"/>
      <c r="G5" s="26"/>
      <c r="H5" s="26"/>
      <c r="I5" s="26"/>
      <c r="J5" s="26"/>
      <c r="K5" s="26"/>
      <c r="L5" s="26"/>
      <c r="M5" s="13" t="n">
        <f aca="false">SUM(D5:L5)</f>
        <v>-20000</v>
      </c>
      <c r="N5" s="46"/>
      <c r="O5" s="0" t="n">
        <f aca="false">D5*($C5-D$3)</f>
        <v>300.000000000003</v>
      </c>
      <c r="P5" s="0" t="n">
        <f aca="false">E5*($C5-E$3)</f>
        <v>0</v>
      </c>
      <c r="Q5" s="0" t="n">
        <f aca="false">F5*($C5-F$3)</f>
        <v>0</v>
      </c>
      <c r="R5" s="0" t="n">
        <f aca="false">G5*($C5-G$3)</f>
        <v>0</v>
      </c>
      <c r="S5" s="0" t="n">
        <f aca="false">H5*($C5-H$3)</f>
        <v>0</v>
      </c>
      <c r="T5" s="0" t="n">
        <f aca="false">I5*($C5-I$3)</f>
        <v>0</v>
      </c>
      <c r="U5" s="0" t="n">
        <f aca="false">J5*($C5-J$3)</f>
        <v>0</v>
      </c>
      <c r="V5" s="0" t="n">
        <f aca="false">K5*($C5-K$3)</f>
        <v>0</v>
      </c>
      <c r="Z5" s="0" t="n">
        <f aca="false">SUM(O5:Y5)</f>
        <v>300.000000000003</v>
      </c>
    </row>
    <row r="6" customFormat="false" ht="12.75" hidden="false" customHeight="false" outlineLevel="0" collapsed="false">
      <c r="A6" s="45" t="n">
        <v>36863</v>
      </c>
      <c r="B6" s="0" t="n">
        <f aca="false">B$2+B$3</f>
        <v>5.31</v>
      </c>
      <c r="C6" s="44" t="n">
        <f aca="false">GasDaily!V6</f>
        <v>3.755</v>
      </c>
      <c r="D6" s="26" t="n">
        <v>-20000</v>
      </c>
      <c r="E6" s="26"/>
      <c r="F6" s="26"/>
      <c r="G6" s="26"/>
      <c r="H6" s="26"/>
      <c r="I6" s="26"/>
      <c r="J6" s="26"/>
      <c r="K6" s="26"/>
      <c r="L6" s="26"/>
      <c r="M6" s="13" t="n">
        <f aca="false">SUM(D6:L6)</f>
        <v>-20000</v>
      </c>
      <c r="N6" s="46"/>
      <c r="O6" s="0" t="n">
        <f aca="false">D6*($C6-D$3)</f>
        <v>300.000000000003</v>
      </c>
      <c r="P6" s="0" t="n">
        <f aca="false">E6*($C6-E$3)</f>
        <v>0</v>
      </c>
      <c r="Q6" s="0" t="n">
        <f aca="false">F6*($C6-F$3)</f>
        <v>0</v>
      </c>
      <c r="R6" s="0" t="n">
        <f aca="false">G6*($C6-G$3)</f>
        <v>0</v>
      </c>
      <c r="S6" s="0" t="n">
        <f aca="false">H6*($C6-H$3)</f>
        <v>0</v>
      </c>
      <c r="T6" s="0" t="n">
        <f aca="false">I6*($C6-I$3)</f>
        <v>0</v>
      </c>
      <c r="U6" s="0" t="n">
        <f aca="false">J6*($C6-J$3)</f>
        <v>0</v>
      </c>
      <c r="V6" s="0" t="n">
        <f aca="false">K6*($C6-K$3)</f>
        <v>0</v>
      </c>
      <c r="Z6" s="0" t="n">
        <f aca="false">SUM(O6:Y6)</f>
        <v>300.000000000003</v>
      </c>
    </row>
    <row r="7" customFormat="false" ht="12.75" hidden="false" customHeight="false" outlineLevel="0" collapsed="false">
      <c r="A7" s="45" t="n">
        <v>36864</v>
      </c>
      <c r="B7" s="0" t="n">
        <f aca="false">B$2+B$3</f>
        <v>5.31</v>
      </c>
      <c r="C7" s="44" t="n">
        <f aca="false">GasDaily!V7</f>
        <v>3.755</v>
      </c>
      <c r="D7" s="26" t="n">
        <v>-20000</v>
      </c>
      <c r="E7" s="26"/>
      <c r="F7" s="26"/>
      <c r="G7" s="26"/>
      <c r="H7" s="26"/>
      <c r="I7" s="26"/>
      <c r="J7" s="26"/>
      <c r="K7" s="26"/>
      <c r="L7" s="26"/>
      <c r="M7" s="13" t="n">
        <f aca="false">SUM(D7:L7)</f>
        <v>-20000</v>
      </c>
      <c r="N7" s="46"/>
      <c r="O7" s="0" t="n">
        <f aca="false">D7*($C7-D$3)</f>
        <v>300.000000000003</v>
      </c>
      <c r="P7" s="0" t="n">
        <f aca="false">E7*($C7-E$3)</f>
        <v>0</v>
      </c>
      <c r="Q7" s="0" t="n">
        <f aca="false">F7*($C7-F$3)</f>
        <v>0</v>
      </c>
      <c r="R7" s="0" t="n">
        <f aca="false">G7*($C7-G$3)</f>
        <v>0</v>
      </c>
      <c r="S7" s="0" t="n">
        <f aca="false">H7*($C7-H$3)</f>
        <v>0</v>
      </c>
      <c r="T7" s="0" t="n">
        <f aca="false">I7*($C7-I$3)</f>
        <v>0</v>
      </c>
      <c r="U7" s="0" t="n">
        <f aca="false">J7*($C7-J$3)</f>
        <v>0</v>
      </c>
      <c r="V7" s="0" t="n">
        <f aca="false">K7*($C7-K$3)</f>
        <v>0</v>
      </c>
      <c r="Z7" s="0" t="n">
        <f aca="false">SUM(O7:Y7)</f>
        <v>300.000000000003</v>
      </c>
    </row>
    <row r="8" customFormat="false" ht="12.75" hidden="false" customHeight="false" outlineLevel="0" collapsed="false">
      <c r="A8" s="45" t="n">
        <v>36865</v>
      </c>
      <c r="B8" s="0" t="n">
        <f aca="false">B$2+B$3</f>
        <v>5.31</v>
      </c>
      <c r="C8" s="44" t="n">
        <f aca="false">GasDaily!V8</f>
        <v>3.755</v>
      </c>
      <c r="D8" s="26" t="n">
        <v>-20000</v>
      </c>
      <c r="E8" s="26"/>
      <c r="F8" s="26"/>
      <c r="G8" s="26"/>
      <c r="H8" s="26"/>
      <c r="I8" s="26"/>
      <c r="J8" s="26"/>
      <c r="K8" s="26"/>
      <c r="L8" s="26"/>
      <c r="M8" s="13" t="n">
        <f aca="false">SUM(D8:L8)</f>
        <v>-20000</v>
      </c>
      <c r="N8" s="46"/>
      <c r="O8" s="0" t="n">
        <f aca="false">D8*($C8-D$3)</f>
        <v>300.000000000003</v>
      </c>
      <c r="P8" s="0" t="n">
        <f aca="false">E8*($C8-E$3)</f>
        <v>0</v>
      </c>
      <c r="Q8" s="0" t="n">
        <f aca="false">F8*($C8-F$3)</f>
        <v>0</v>
      </c>
      <c r="R8" s="0" t="n">
        <f aca="false">G8*($C8-G$3)</f>
        <v>0</v>
      </c>
      <c r="S8" s="0" t="n">
        <f aca="false">H8*($C8-H$3)</f>
        <v>0</v>
      </c>
      <c r="T8" s="0" t="n">
        <f aca="false">I8*($C8-I$3)</f>
        <v>0</v>
      </c>
      <c r="U8" s="0" t="n">
        <f aca="false">J8*($C8-J$3)</f>
        <v>0</v>
      </c>
      <c r="V8" s="0" t="n">
        <f aca="false">K8*($C8-K$3)</f>
        <v>0</v>
      </c>
      <c r="Z8" s="0" t="n">
        <f aca="false">SUM(O8:Y8)</f>
        <v>300.000000000003</v>
      </c>
    </row>
    <row r="9" customFormat="false" ht="12.75" hidden="false" customHeight="false" outlineLevel="0" collapsed="false">
      <c r="A9" s="45" t="n">
        <v>36866</v>
      </c>
      <c r="B9" s="0" t="n">
        <f aca="false">B$2+B$3</f>
        <v>5.31</v>
      </c>
      <c r="C9" s="44" t="n">
        <f aca="false">GasDaily!V9</f>
        <v>3.755</v>
      </c>
      <c r="D9" s="26" t="n">
        <v>-20000</v>
      </c>
      <c r="E9" s="26"/>
      <c r="F9" s="26"/>
      <c r="G9" s="26"/>
      <c r="H9" s="26"/>
      <c r="I9" s="26"/>
      <c r="J9" s="26"/>
      <c r="K9" s="26"/>
      <c r="L9" s="26"/>
      <c r="M9" s="13" t="n">
        <f aca="false">SUM(D9:L9)</f>
        <v>-20000</v>
      </c>
      <c r="N9" s="46"/>
      <c r="O9" s="0" t="n">
        <f aca="false">D9*($C9-D$3)</f>
        <v>300.000000000003</v>
      </c>
      <c r="P9" s="0" t="n">
        <f aca="false">E9*($C9-E$3)</f>
        <v>0</v>
      </c>
      <c r="Q9" s="0" t="n">
        <f aca="false">F9*($C9-F$3)</f>
        <v>0</v>
      </c>
      <c r="R9" s="0" t="n">
        <f aca="false">G9*($C9-G$3)</f>
        <v>0</v>
      </c>
      <c r="S9" s="0" t="n">
        <f aca="false">H9*($C9-H$3)</f>
        <v>0</v>
      </c>
      <c r="T9" s="0" t="n">
        <f aca="false">I9*($C9-I$3)</f>
        <v>0</v>
      </c>
      <c r="U9" s="0" t="n">
        <f aca="false">J9*($C9-J$3)</f>
        <v>0</v>
      </c>
      <c r="V9" s="0" t="n">
        <f aca="false">K9*($C9-K$3)</f>
        <v>0</v>
      </c>
      <c r="Z9" s="0" t="n">
        <f aca="false">SUM(O9:Y9)</f>
        <v>300.000000000003</v>
      </c>
    </row>
    <row r="10" customFormat="false" ht="12.75" hidden="false" customHeight="false" outlineLevel="0" collapsed="false">
      <c r="A10" s="45" t="n">
        <v>36867</v>
      </c>
      <c r="B10" s="0" t="n">
        <f aca="false">B$2+B$3</f>
        <v>5.31</v>
      </c>
      <c r="C10" s="44" t="n">
        <f aca="false">GasDaily!V10</f>
        <v>3.755</v>
      </c>
      <c r="D10" s="26" t="n">
        <v>-20000</v>
      </c>
      <c r="E10" s="26"/>
      <c r="F10" s="26"/>
      <c r="G10" s="26"/>
      <c r="H10" s="26"/>
      <c r="I10" s="26"/>
      <c r="J10" s="26"/>
      <c r="K10" s="26"/>
      <c r="L10" s="26"/>
      <c r="M10" s="13" t="n">
        <f aca="false">SUM(D10:L10)</f>
        <v>-20000</v>
      </c>
      <c r="N10" s="46"/>
      <c r="O10" s="0" t="n">
        <f aca="false">D10*($C10-D$3)</f>
        <v>300.000000000003</v>
      </c>
      <c r="P10" s="0" t="n">
        <f aca="false">E10*($C10-E$3)</f>
        <v>0</v>
      </c>
      <c r="Q10" s="0" t="n">
        <f aca="false">F10*($C10-F$3)</f>
        <v>0</v>
      </c>
      <c r="R10" s="0" t="n">
        <f aca="false">G10*($C10-G$3)</f>
        <v>0</v>
      </c>
      <c r="S10" s="0" t="n">
        <f aca="false">H10*($C10-H$3)</f>
        <v>0</v>
      </c>
      <c r="T10" s="0" t="n">
        <f aca="false">I10*($C10-I$3)</f>
        <v>0</v>
      </c>
      <c r="U10" s="0" t="n">
        <f aca="false">J10*($C10-J$3)</f>
        <v>0</v>
      </c>
      <c r="V10" s="0" t="n">
        <f aca="false">K10*($C10-K$3)</f>
        <v>0</v>
      </c>
      <c r="Z10" s="0" t="n">
        <f aca="false">SUM(O10:Y10)</f>
        <v>300.000000000003</v>
      </c>
    </row>
    <row r="11" customFormat="false" ht="12.75" hidden="false" customHeight="false" outlineLevel="0" collapsed="false">
      <c r="A11" s="45" t="n">
        <v>36868</v>
      </c>
      <c r="B11" s="0" t="n">
        <f aca="false">B$2+B$3</f>
        <v>5.31</v>
      </c>
      <c r="C11" s="44" t="n">
        <f aca="false">GasDaily!V11</f>
        <v>3.755</v>
      </c>
      <c r="D11" s="26" t="n">
        <v>-20000</v>
      </c>
      <c r="E11" s="26"/>
      <c r="F11" s="26"/>
      <c r="G11" s="26"/>
      <c r="H11" s="26"/>
      <c r="I11" s="26"/>
      <c r="J11" s="26"/>
      <c r="K11" s="26"/>
      <c r="L11" s="26"/>
      <c r="M11" s="13" t="n">
        <f aca="false">SUM(D11:L11)</f>
        <v>-20000</v>
      </c>
      <c r="N11" s="46"/>
      <c r="O11" s="0" t="n">
        <f aca="false">D11*($C11-D$3)</f>
        <v>300.000000000003</v>
      </c>
      <c r="P11" s="0" t="n">
        <f aca="false">E11*($C11-E$3)</f>
        <v>0</v>
      </c>
      <c r="Q11" s="0" t="n">
        <f aca="false">F11*($C11-F$3)</f>
        <v>0</v>
      </c>
      <c r="R11" s="0" t="n">
        <f aca="false">G11*($C11-G$3)</f>
        <v>0</v>
      </c>
      <c r="S11" s="0" t="n">
        <f aca="false">H11*($C11-H$3)</f>
        <v>0</v>
      </c>
      <c r="T11" s="0" t="n">
        <f aca="false">I11*($C11-I$3)</f>
        <v>0</v>
      </c>
      <c r="U11" s="0" t="n">
        <f aca="false">J11*($C11-J$3)</f>
        <v>0</v>
      </c>
      <c r="V11" s="0" t="n">
        <f aca="false">K11*($C11-K$3)</f>
        <v>0</v>
      </c>
      <c r="Z11" s="0" t="n">
        <f aca="false">SUM(O11:Y11)</f>
        <v>300.000000000003</v>
      </c>
    </row>
    <row r="12" customFormat="false" ht="12.75" hidden="false" customHeight="false" outlineLevel="0" collapsed="false">
      <c r="A12" s="45" t="n">
        <v>36869</v>
      </c>
      <c r="B12" s="0" t="n">
        <f aca="false">B$2+B$3</f>
        <v>5.31</v>
      </c>
      <c r="C12" s="44" t="n">
        <f aca="false">GasDaily!V12</f>
        <v>3.755</v>
      </c>
      <c r="D12" s="26" t="n">
        <v>-20000</v>
      </c>
      <c r="E12" s="26"/>
      <c r="F12" s="26"/>
      <c r="G12" s="26"/>
      <c r="H12" s="26"/>
      <c r="I12" s="26"/>
      <c r="J12" s="26"/>
      <c r="K12" s="26"/>
      <c r="L12" s="26"/>
      <c r="M12" s="13" t="n">
        <f aca="false">SUM(D12:L12)</f>
        <v>-20000</v>
      </c>
      <c r="N12" s="46"/>
      <c r="O12" s="0" t="n">
        <f aca="false">D12*($C12-D$3)</f>
        <v>300.000000000003</v>
      </c>
      <c r="P12" s="0" t="n">
        <f aca="false">E12*($C12-E$3)</f>
        <v>0</v>
      </c>
      <c r="Q12" s="0" t="n">
        <f aca="false">F12*($C12-F$3)</f>
        <v>0</v>
      </c>
      <c r="R12" s="0" t="n">
        <f aca="false">G12*($C12-G$3)</f>
        <v>0</v>
      </c>
      <c r="S12" s="0" t="n">
        <f aca="false">H12*($C12-H$3)</f>
        <v>0</v>
      </c>
      <c r="T12" s="0" t="n">
        <f aca="false">I12*($C12-I$3)</f>
        <v>0</v>
      </c>
      <c r="U12" s="0" t="n">
        <f aca="false">J12*($C12-J$3)</f>
        <v>0</v>
      </c>
      <c r="V12" s="0" t="n">
        <f aca="false">K12*($C12-K$3)</f>
        <v>0</v>
      </c>
      <c r="Z12" s="0" t="n">
        <f aca="false">SUM(O12:Y12)</f>
        <v>300.000000000003</v>
      </c>
    </row>
    <row r="13" customFormat="false" ht="12.75" hidden="false" customHeight="false" outlineLevel="0" collapsed="false">
      <c r="A13" s="45" t="n">
        <v>36870</v>
      </c>
      <c r="B13" s="0" t="n">
        <f aca="false">B$2+B$3</f>
        <v>5.31</v>
      </c>
      <c r="C13" s="44" t="n">
        <f aca="false">GasDaily!V13</f>
        <v>3.755</v>
      </c>
      <c r="D13" s="26" t="n">
        <v>-20000</v>
      </c>
      <c r="E13" s="26"/>
      <c r="F13" s="26"/>
      <c r="G13" s="26"/>
      <c r="H13" s="26"/>
      <c r="I13" s="26"/>
      <c r="J13" s="26"/>
      <c r="K13" s="26"/>
      <c r="L13" s="26"/>
      <c r="M13" s="13" t="n">
        <f aca="false">SUM(D13:L13)</f>
        <v>-20000</v>
      </c>
      <c r="N13" s="46"/>
      <c r="O13" s="0" t="n">
        <f aca="false">D13*($C13-D$3)</f>
        <v>300.000000000003</v>
      </c>
      <c r="P13" s="0" t="n">
        <f aca="false">E13*($C13-E$3)</f>
        <v>0</v>
      </c>
      <c r="Q13" s="0" t="n">
        <f aca="false">F13*($C13-F$3)</f>
        <v>0</v>
      </c>
      <c r="R13" s="0" t="n">
        <f aca="false">G13*($C13-G$3)</f>
        <v>0</v>
      </c>
      <c r="S13" s="0" t="n">
        <f aca="false">H13*($C13-H$3)</f>
        <v>0</v>
      </c>
      <c r="T13" s="0" t="n">
        <f aca="false">I13*($C13-I$3)</f>
        <v>0</v>
      </c>
      <c r="U13" s="0" t="n">
        <f aca="false">J13*($C13-J$3)</f>
        <v>0</v>
      </c>
      <c r="V13" s="0" t="n">
        <f aca="false">K13*($C13-K$3)</f>
        <v>0</v>
      </c>
      <c r="Z13" s="0" t="n">
        <f aca="false">SUM(O13:Y13)</f>
        <v>300.000000000003</v>
      </c>
    </row>
    <row r="14" customFormat="false" ht="12.75" hidden="false" customHeight="false" outlineLevel="0" collapsed="false">
      <c r="A14" s="45" t="n">
        <v>36871</v>
      </c>
      <c r="B14" s="0" t="n">
        <f aca="false">B$2+B$3</f>
        <v>5.31</v>
      </c>
      <c r="C14" s="44" t="n">
        <f aca="false">GasDaily!V14</f>
        <v>3.755</v>
      </c>
      <c r="D14" s="26" t="n">
        <v>-20000</v>
      </c>
      <c r="E14" s="26"/>
      <c r="F14" s="26"/>
      <c r="G14" s="26"/>
      <c r="H14" s="26"/>
      <c r="I14" s="26"/>
      <c r="J14" s="26"/>
      <c r="K14" s="26"/>
      <c r="L14" s="26"/>
      <c r="M14" s="13" t="n">
        <f aca="false">SUM(D14:L14)</f>
        <v>-20000</v>
      </c>
      <c r="N14" s="46"/>
      <c r="O14" s="0" t="n">
        <f aca="false">D14*($C14-D$3)</f>
        <v>300.000000000003</v>
      </c>
      <c r="P14" s="0" t="n">
        <f aca="false">E14*($C14-E$3)</f>
        <v>0</v>
      </c>
      <c r="Q14" s="0" t="n">
        <f aca="false">F14*($C14-F$3)</f>
        <v>0</v>
      </c>
      <c r="R14" s="0" t="n">
        <f aca="false">G14*($C14-G$3)</f>
        <v>0</v>
      </c>
      <c r="S14" s="0" t="n">
        <f aca="false">H14*($C14-H$3)</f>
        <v>0</v>
      </c>
      <c r="T14" s="0" t="n">
        <f aca="false">I14*($C14-I$3)</f>
        <v>0</v>
      </c>
      <c r="U14" s="0" t="n">
        <f aca="false">J14*($C14-J$3)</f>
        <v>0</v>
      </c>
      <c r="V14" s="0" t="n">
        <f aca="false">K14*($C14-K$3)</f>
        <v>0</v>
      </c>
      <c r="Z14" s="0" t="n">
        <f aca="false">SUM(O14:Y14)</f>
        <v>300.000000000003</v>
      </c>
    </row>
    <row r="15" customFormat="false" ht="12.75" hidden="false" customHeight="false" outlineLevel="0" collapsed="false">
      <c r="A15" s="45" t="n">
        <v>36872</v>
      </c>
      <c r="B15" s="0" t="n">
        <f aca="false">B$2+B$3</f>
        <v>5.31</v>
      </c>
      <c r="C15" s="44" t="n">
        <f aca="false">GasDaily!V15</f>
        <v>3.755</v>
      </c>
      <c r="D15" s="26" t="n">
        <v>-20000</v>
      </c>
      <c r="E15" s="26"/>
      <c r="F15" s="26"/>
      <c r="G15" s="26"/>
      <c r="H15" s="26"/>
      <c r="I15" s="26"/>
      <c r="J15" s="26"/>
      <c r="K15" s="26"/>
      <c r="L15" s="26"/>
      <c r="M15" s="13" t="n">
        <f aca="false">SUM(D15:L15)</f>
        <v>-20000</v>
      </c>
      <c r="N15" s="46"/>
      <c r="O15" s="0" t="n">
        <f aca="false">D15*($C15-D$3)</f>
        <v>300.000000000003</v>
      </c>
      <c r="P15" s="0" t="n">
        <f aca="false">E15*($C15-E$3)</f>
        <v>0</v>
      </c>
      <c r="Q15" s="0" t="n">
        <f aca="false">F15*($C15-F$3)</f>
        <v>0</v>
      </c>
      <c r="R15" s="0" t="n">
        <f aca="false">G15*($C15-G$3)</f>
        <v>0</v>
      </c>
      <c r="S15" s="0" t="n">
        <f aca="false">H15*($C15-H$3)</f>
        <v>0</v>
      </c>
      <c r="T15" s="0" t="n">
        <f aca="false">I15*($C15-I$3)</f>
        <v>0</v>
      </c>
      <c r="U15" s="0" t="n">
        <f aca="false">J15*($C15-J$3)</f>
        <v>0</v>
      </c>
      <c r="V15" s="0" t="n">
        <f aca="false">K15*($C15-K$3)</f>
        <v>0</v>
      </c>
      <c r="Z15" s="0" t="n">
        <f aca="false">SUM(O15:Y15)</f>
        <v>300.000000000003</v>
      </c>
    </row>
    <row r="16" customFormat="false" ht="12.75" hidden="false" customHeight="false" outlineLevel="0" collapsed="false">
      <c r="A16" s="45" t="n">
        <v>36873</v>
      </c>
      <c r="B16" s="0" t="n">
        <f aca="false">B$2+B$3</f>
        <v>5.31</v>
      </c>
      <c r="C16" s="44" t="n">
        <f aca="false">GasDaily!V16</f>
        <v>3.755</v>
      </c>
      <c r="D16" s="26" t="n">
        <v>-20000</v>
      </c>
      <c r="E16" s="26"/>
      <c r="F16" s="26"/>
      <c r="G16" s="26"/>
      <c r="H16" s="26"/>
      <c r="I16" s="26"/>
      <c r="J16" s="26"/>
      <c r="K16" s="26"/>
      <c r="L16" s="26"/>
      <c r="M16" s="13" t="n">
        <f aca="false">SUM(D16:L16)</f>
        <v>-20000</v>
      </c>
      <c r="N16" s="46"/>
      <c r="O16" s="0" t="n">
        <f aca="false">D16*($C16-D$3)</f>
        <v>300.000000000003</v>
      </c>
      <c r="P16" s="0" t="n">
        <f aca="false">E16*($C16-E$3)</f>
        <v>0</v>
      </c>
      <c r="Q16" s="0" t="n">
        <f aca="false">F16*($C16-F$3)</f>
        <v>0</v>
      </c>
      <c r="R16" s="0" t="n">
        <f aca="false">G16*($C16-G$3)</f>
        <v>0</v>
      </c>
      <c r="S16" s="0" t="n">
        <f aca="false">H16*($C16-H$3)</f>
        <v>0</v>
      </c>
      <c r="T16" s="0" t="n">
        <f aca="false">I16*($C16-I$3)</f>
        <v>0</v>
      </c>
      <c r="U16" s="0" t="n">
        <f aca="false">J16*($C16-J$3)</f>
        <v>0</v>
      </c>
      <c r="V16" s="0" t="n">
        <f aca="false">K16*($C16-K$3)</f>
        <v>0</v>
      </c>
      <c r="Z16" s="0" t="n">
        <f aca="false">SUM(O16:Y16)</f>
        <v>300.000000000003</v>
      </c>
    </row>
    <row r="17" customFormat="false" ht="12.75" hidden="false" customHeight="false" outlineLevel="0" collapsed="false">
      <c r="A17" s="45" t="n">
        <v>36874</v>
      </c>
      <c r="B17" s="0" t="n">
        <f aca="false">B$2+B$3</f>
        <v>5.31</v>
      </c>
      <c r="C17" s="44" t="n">
        <f aca="false">GasDaily!V17</f>
        <v>3.755</v>
      </c>
      <c r="D17" s="26" t="n">
        <v>-20000</v>
      </c>
      <c r="E17" s="26"/>
      <c r="F17" s="26"/>
      <c r="G17" s="26"/>
      <c r="H17" s="26"/>
      <c r="I17" s="26"/>
      <c r="J17" s="26"/>
      <c r="K17" s="26"/>
      <c r="L17" s="26"/>
      <c r="M17" s="13" t="n">
        <f aca="false">SUM(D17:L17)</f>
        <v>-20000</v>
      </c>
      <c r="N17" s="46"/>
      <c r="O17" s="0" t="n">
        <f aca="false">D17*($C17-D$3)</f>
        <v>300.000000000003</v>
      </c>
      <c r="P17" s="0" t="n">
        <f aca="false">E17*($C17-E$3)</f>
        <v>0</v>
      </c>
      <c r="Q17" s="0" t="n">
        <f aca="false">F17*($C17-F$3)</f>
        <v>0</v>
      </c>
      <c r="R17" s="0" t="n">
        <f aca="false">G17*($C17-G$3)</f>
        <v>0</v>
      </c>
      <c r="S17" s="0" t="n">
        <f aca="false">H17*($C17-H$3)</f>
        <v>0</v>
      </c>
      <c r="T17" s="0" t="n">
        <f aca="false">I17*($C17-I$3)</f>
        <v>0</v>
      </c>
      <c r="U17" s="0" t="n">
        <f aca="false">J17*($C17-J$3)</f>
        <v>0</v>
      </c>
      <c r="V17" s="0" t="n">
        <f aca="false">K17*($C17-K$3)</f>
        <v>0</v>
      </c>
      <c r="Z17" s="0" t="n">
        <f aca="false">SUM(O17:Y17)</f>
        <v>300.000000000003</v>
      </c>
    </row>
    <row r="18" customFormat="false" ht="12.75" hidden="false" customHeight="false" outlineLevel="0" collapsed="false">
      <c r="A18" s="45" t="n">
        <v>36875</v>
      </c>
      <c r="B18" s="0" t="n">
        <f aca="false">B$2+B$3</f>
        <v>5.31</v>
      </c>
      <c r="C18" s="44" t="n">
        <f aca="false">GasDaily!V18</f>
        <v>3.755</v>
      </c>
      <c r="D18" s="26" t="n">
        <v>-20000</v>
      </c>
      <c r="E18" s="26"/>
      <c r="F18" s="26"/>
      <c r="G18" s="26"/>
      <c r="H18" s="26"/>
      <c r="I18" s="26"/>
      <c r="J18" s="26"/>
      <c r="K18" s="26"/>
      <c r="L18" s="26"/>
      <c r="M18" s="13" t="n">
        <f aca="false">SUM(D18:L18)</f>
        <v>-20000</v>
      </c>
      <c r="N18" s="46"/>
      <c r="O18" s="0" t="n">
        <f aca="false">D18*($C18-D$3)</f>
        <v>300.000000000003</v>
      </c>
      <c r="P18" s="0" t="n">
        <f aca="false">E18*($C18-E$3)</f>
        <v>0</v>
      </c>
      <c r="Q18" s="0" t="n">
        <f aca="false">F18*($C18-F$3)</f>
        <v>0</v>
      </c>
      <c r="R18" s="0" t="n">
        <f aca="false">G18*($C18-G$3)</f>
        <v>0</v>
      </c>
      <c r="S18" s="0" t="n">
        <f aca="false">H18*($C18-H$3)</f>
        <v>0</v>
      </c>
      <c r="T18" s="0" t="n">
        <f aca="false">I18*($C18-I$3)</f>
        <v>0</v>
      </c>
      <c r="U18" s="0" t="n">
        <f aca="false">J18*($C18-J$3)</f>
        <v>0</v>
      </c>
      <c r="V18" s="0" t="n">
        <f aca="false">K18*($C18-K$3)</f>
        <v>0</v>
      </c>
      <c r="Z18" s="0" t="n">
        <f aca="false">SUM(O18:Y18)</f>
        <v>300.000000000003</v>
      </c>
    </row>
    <row r="19" customFormat="false" ht="12.75" hidden="false" customHeight="false" outlineLevel="0" collapsed="false">
      <c r="A19" s="45" t="n">
        <v>36876</v>
      </c>
      <c r="B19" s="0" t="n">
        <f aca="false">B$2+B$3</f>
        <v>5.31</v>
      </c>
      <c r="C19" s="44" t="n">
        <f aca="false">GasDaily!V19</f>
        <v>3.755</v>
      </c>
      <c r="D19" s="26" t="n">
        <v>-20000</v>
      </c>
      <c r="E19" s="26"/>
      <c r="F19" s="26"/>
      <c r="G19" s="26"/>
      <c r="H19" s="26"/>
      <c r="I19" s="26"/>
      <c r="J19" s="26"/>
      <c r="K19" s="26"/>
      <c r="L19" s="26"/>
      <c r="M19" s="13" t="n">
        <f aca="false">SUM(D19:L19)</f>
        <v>-20000</v>
      </c>
      <c r="N19" s="46"/>
      <c r="O19" s="0" t="n">
        <f aca="false">D19*($C19-D$3)</f>
        <v>300.000000000003</v>
      </c>
      <c r="P19" s="0" t="n">
        <f aca="false">E19*($C19-E$3)</f>
        <v>0</v>
      </c>
      <c r="Q19" s="0" t="n">
        <f aca="false">F19*($C19-F$3)</f>
        <v>0</v>
      </c>
      <c r="R19" s="0" t="n">
        <f aca="false">G19*($C19-G$3)</f>
        <v>0</v>
      </c>
      <c r="S19" s="0" t="n">
        <f aca="false">H19*($C19-H$3)</f>
        <v>0</v>
      </c>
      <c r="T19" s="0" t="n">
        <f aca="false">I19*($C19-I$3)</f>
        <v>0</v>
      </c>
      <c r="U19" s="0" t="n">
        <f aca="false">J19*($C19-J$3)</f>
        <v>0</v>
      </c>
      <c r="V19" s="0" t="n">
        <f aca="false">K19*($C19-K$3)</f>
        <v>0</v>
      </c>
      <c r="Z19" s="0" t="n">
        <f aca="false">SUM(O19:Y19)</f>
        <v>300.000000000003</v>
      </c>
    </row>
    <row r="20" customFormat="false" ht="12.75" hidden="false" customHeight="false" outlineLevel="0" collapsed="false">
      <c r="A20" s="45" t="n">
        <v>36877</v>
      </c>
      <c r="B20" s="0" t="n">
        <f aca="false">B$2+B$3</f>
        <v>5.31</v>
      </c>
      <c r="C20" s="44" t="n">
        <f aca="false">GasDaily!V20</f>
        <v>3.755</v>
      </c>
      <c r="D20" s="26" t="n">
        <v>-20000</v>
      </c>
      <c r="E20" s="26"/>
      <c r="F20" s="26"/>
      <c r="G20" s="26"/>
      <c r="H20" s="26"/>
      <c r="I20" s="26"/>
      <c r="J20" s="26"/>
      <c r="K20" s="26"/>
      <c r="L20" s="26"/>
      <c r="M20" s="13" t="n">
        <f aca="false">SUM(D20:L20)</f>
        <v>-20000</v>
      </c>
      <c r="N20" s="46"/>
      <c r="O20" s="0" t="n">
        <f aca="false">D20*($C20-D$3)</f>
        <v>300.000000000003</v>
      </c>
      <c r="P20" s="0" t="n">
        <f aca="false">E20*($C20-E$3)</f>
        <v>0</v>
      </c>
      <c r="Q20" s="0" t="n">
        <f aca="false">F20*($C20-F$3)</f>
        <v>0</v>
      </c>
      <c r="R20" s="0" t="n">
        <f aca="false">G20*($C20-G$3)</f>
        <v>0</v>
      </c>
      <c r="S20" s="0" t="n">
        <f aca="false">H20*($C20-H$3)</f>
        <v>0</v>
      </c>
      <c r="T20" s="0" t="n">
        <f aca="false">I20*($C20-I$3)</f>
        <v>0</v>
      </c>
      <c r="U20" s="0" t="n">
        <f aca="false">J20*($C20-J$3)</f>
        <v>0</v>
      </c>
      <c r="V20" s="0" t="n">
        <f aca="false">K20*($C20-K$3)</f>
        <v>0</v>
      </c>
      <c r="Z20" s="0" t="n">
        <f aca="false">SUM(O20:Y20)</f>
        <v>300.000000000003</v>
      </c>
    </row>
    <row r="21" customFormat="false" ht="12.75" hidden="false" customHeight="false" outlineLevel="0" collapsed="false">
      <c r="A21" s="45" t="n">
        <v>36878</v>
      </c>
      <c r="B21" s="0" t="n">
        <f aca="false">B$2+B$3</f>
        <v>5.31</v>
      </c>
      <c r="C21" s="44" t="n">
        <f aca="false">GasDaily!V21</f>
        <v>3.755</v>
      </c>
      <c r="D21" s="26" t="n">
        <v>-20000</v>
      </c>
      <c r="E21" s="26"/>
      <c r="F21" s="26"/>
      <c r="G21" s="26"/>
      <c r="H21" s="26"/>
      <c r="I21" s="26"/>
      <c r="J21" s="26"/>
      <c r="K21" s="26"/>
      <c r="L21" s="26"/>
      <c r="M21" s="13" t="n">
        <f aca="false">SUM(D21:L21)</f>
        <v>-20000</v>
      </c>
      <c r="N21" s="46"/>
      <c r="O21" s="0" t="n">
        <f aca="false">D21*($C21-D$3)</f>
        <v>300.000000000003</v>
      </c>
      <c r="P21" s="0" t="n">
        <f aca="false">E21*($C21-E$3)</f>
        <v>0</v>
      </c>
      <c r="Q21" s="0" t="n">
        <f aca="false">F21*($C21-F$3)</f>
        <v>0</v>
      </c>
      <c r="R21" s="0" t="n">
        <f aca="false">G21*($C21-G$3)</f>
        <v>0</v>
      </c>
      <c r="S21" s="0" t="n">
        <f aca="false">H21*($C21-H$3)</f>
        <v>0</v>
      </c>
      <c r="T21" s="0" t="n">
        <f aca="false">I21*($C21-I$3)</f>
        <v>0</v>
      </c>
      <c r="U21" s="0" t="n">
        <f aca="false">J21*($C21-J$3)</f>
        <v>0</v>
      </c>
      <c r="V21" s="0" t="n">
        <f aca="false">K21*($C21-K$3)</f>
        <v>0</v>
      </c>
      <c r="Z21" s="0" t="n">
        <f aca="false">SUM(O21:Y21)</f>
        <v>300.000000000003</v>
      </c>
    </row>
    <row r="22" customFormat="false" ht="12.75" hidden="false" customHeight="false" outlineLevel="0" collapsed="false">
      <c r="A22" s="45" t="n">
        <v>36879</v>
      </c>
      <c r="B22" s="0" t="n">
        <f aca="false">B$2+B$3</f>
        <v>5.31</v>
      </c>
      <c r="C22" s="44" t="n">
        <f aca="false">GasDaily!V22</f>
        <v>3.755</v>
      </c>
      <c r="D22" s="26" t="n">
        <v>-20000</v>
      </c>
      <c r="E22" s="26"/>
      <c r="F22" s="26"/>
      <c r="G22" s="26"/>
      <c r="H22" s="26"/>
      <c r="I22" s="26"/>
      <c r="J22" s="26"/>
      <c r="K22" s="26"/>
      <c r="L22" s="26"/>
      <c r="M22" s="13" t="n">
        <f aca="false">SUM(D22:L22)</f>
        <v>-20000</v>
      </c>
      <c r="N22" s="46"/>
      <c r="O22" s="0" t="n">
        <f aca="false">D22*($C22-D$3)</f>
        <v>300.000000000003</v>
      </c>
      <c r="P22" s="0" t="n">
        <f aca="false">E22*($C22-E$3)</f>
        <v>0</v>
      </c>
      <c r="Q22" s="0" t="n">
        <f aca="false">F22*($C22-F$3)</f>
        <v>0</v>
      </c>
      <c r="R22" s="0" t="n">
        <f aca="false">G22*($C22-G$3)</f>
        <v>0</v>
      </c>
      <c r="S22" s="0" t="n">
        <f aca="false">H22*($C22-H$3)</f>
        <v>0</v>
      </c>
      <c r="T22" s="0" t="n">
        <f aca="false">I22*($C22-I$3)</f>
        <v>0</v>
      </c>
      <c r="U22" s="0" t="n">
        <f aca="false">J22*($C22-J$3)</f>
        <v>0</v>
      </c>
      <c r="V22" s="0" t="n">
        <f aca="false">K22*($C22-K$3)</f>
        <v>0</v>
      </c>
      <c r="Z22" s="0" t="n">
        <f aca="false">SUM(O22:Y22)</f>
        <v>300.000000000003</v>
      </c>
    </row>
    <row r="23" customFormat="false" ht="12.75" hidden="false" customHeight="false" outlineLevel="0" collapsed="false">
      <c r="A23" s="45" t="n">
        <v>36880</v>
      </c>
      <c r="B23" s="0" t="n">
        <f aca="false">B$2+B$3</f>
        <v>5.31</v>
      </c>
      <c r="C23" s="44" t="n">
        <f aca="false">GasDaily!V23</f>
        <v>3.755</v>
      </c>
      <c r="D23" s="26" t="n">
        <v>-20000</v>
      </c>
      <c r="E23" s="26"/>
      <c r="F23" s="26"/>
      <c r="G23" s="26"/>
      <c r="H23" s="26"/>
      <c r="I23" s="26"/>
      <c r="J23" s="26"/>
      <c r="K23" s="26"/>
      <c r="L23" s="26"/>
      <c r="M23" s="13" t="n">
        <f aca="false">SUM(D23:L23)</f>
        <v>-20000</v>
      </c>
      <c r="N23" s="46"/>
      <c r="O23" s="0" t="n">
        <f aca="false">D23*($C23-D$3)</f>
        <v>300.000000000003</v>
      </c>
      <c r="P23" s="0" t="n">
        <f aca="false">E23*($C23-E$3)</f>
        <v>0</v>
      </c>
      <c r="Q23" s="0" t="n">
        <f aca="false">F23*($C23-F$3)</f>
        <v>0</v>
      </c>
      <c r="R23" s="0" t="n">
        <f aca="false">G23*($C23-G$3)</f>
        <v>0</v>
      </c>
      <c r="S23" s="0" t="n">
        <f aca="false">H23*($C23-H$3)</f>
        <v>0</v>
      </c>
      <c r="T23" s="0" t="n">
        <f aca="false">I23*($C23-I$3)</f>
        <v>0</v>
      </c>
      <c r="U23" s="0" t="n">
        <f aca="false">J23*($C23-J$3)</f>
        <v>0</v>
      </c>
      <c r="V23" s="0" t="n">
        <f aca="false">K23*($C23-K$3)</f>
        <v>0</v>
      </c>
      <c r="Z23" s="0" t="n">
        <f aca="false">SUM(O23:Y23)</f>
        <v>300.000000000003</v>
      </c>
    </row>
    <row r="24" customFormat="false" ht="12.75" hidden="false" customHeight="false" outlineLevel="0" collapsed="false">
      <c r="A24" s="45" t="n">
        <v>36881</v>
      </c>
      <c r="B24" s="0" t="n">
        <f aca="false">B$2+B$3</f>
        <v>5.31</v>
      </c>
      <c r="C24" s="44" t="n">
        <f aca="false">GasDaily!V24</f>
        <v>3.755</v>
      </c>
      <c r="D24" s="26" t="n">
        <v>-20000</v>
      </c>
      <c r="E24" s="26"/>
      <c r="F24" s="26"/>
      <c r="G24" s="26"/>
      <c r="H24" s="26"/>
      <c r="I24" s="26"/>
      <c r="J24" s="26"/>
      <c r="K24" s="26"/>
      <c r="L24" s="26"/>
      <c r="M24" s="13" t="n">
        <f aca="false">SUM(D24:L24)</f>
        <v>-20000</v>
      </c>
      <c r="N24" s="46"/>
      <c r="O24" s="0" t="n">
        <f aca="false">D24*($C24-D$3)</f>
        <v>300.000000000003</v>
      </c>
      <c r="P24" s="0" t="n">
        <f aca="false">E24*($C24-E$3)</f>
        <v>0</v>
      </c>
      <c r="Q24" s="0" t="n">
        <f aca="false">F24*($C24-F$3)</f>
        <v>0</v>
      </c>
      <c r="R24" s="0" t="n">
        <f aca="false">G24*($C24-G$3)</f>
        <v>0</v>
      </c>
      <c r="S24" s="0" t="n">
        <f aca="false">H24*($C24-H$3)</f>
        <v>0</v>
      </c>
      <c r="T24" s="0" t="n">
        <f aca="false">I24*($C24-I$3)</f>
        <v>0</v>
      </c>
      <c r="U24" s="0" t="n">
        <f aca="false">J24*($C24-J$3)</f>
        <v>0</v>
      </c>
      <c r="V24" s="0" t="n">
        <f aca="false">K24*($C24-K$3)</f>
        <v>0</v>
      </c>
      <c r="Z24" s="0" t="n">
        <f aca="false">SUM(O24:Y24)</f>
        <v>300.000000000003</v>
      </c>
    </row>
    <row r="25" customFormat="false" ht="12.75" hidden="false" customHeight="false" outlineLevel="0" collapsed="false">
      <c r="A25" s="45" t="n">
        <v>36882</v>
      </c>
      <c r="B25" s="0" t="n">
        <f aca="false">B$2+B$3</f>
        <v>5.31</v>
      </c>
      <c r="C25" s="44" t="n">
        <f aca="false">GasDaily!V25</f>
        <v>3.755</v>
      </c>
      <c r="D25" s="26" t="n">
        <v>-20000</v>
      </c>
      <c r="E25" s="26"/>
      <c r="F25" s="26"/>
      <c r="G25" s="26"/>
      <c r="H25" s="26"/>
      <c r="I25" s="26"/>
      <c r="J25" s="26"/>
      <c r="K25" s="26"/>
      <c r="L25" s="26"/>
      <c r="M25" s="13" t="n">
        <f aca="false">SUM(D25:L25)</f>
        <v>-20000</v>
      </c>
      <c r="N25" s="46"/>
      <c r="O25" s="0" t="n">
        <f aca="false">D25*($C25-D$3)</f>
        <v>300.000000000003</v>
      </c>
      <c r="P25" s="0" t="n">
        <f aca="false">E25*($C25-E$3)</f>
        <v>0</v>
      </c>
      <c r="Q25" s="0" t="n">
        <f aca="false">F25*($C25-F$3)</f>
        <v>0</v>
      </c>
      <c r="R25" s="0" t="n">
        <f aca="false">G25*($C25-G$3)</f>
        <v>0</v>
      </c>
      <c r="S25" s="0" t="n">
        <f aca="false">H25*($C25-H$3)</f>
        <v>0</v>
      </c>
      <c r="T25" s="0" t="n">
        <f aca="false">I25*($C25-I$3)</f>
        <v>0</v>
      </c>
      <c r="U25" s="0" t="n">
        <f aca="false">J25*($C25-J$3)</f>
        <v>0</v>
      </c>
      <c r="V25" s="0" t="n">
        <f aca="false">K25*($C25-K$3)</f>
        <v>0</v>
      </c>
      <c r="Z25" s="0" t="n">
        <f aca="false">SUM(O25:Y25)</f>
        <v>300.000000000003</v>
      </c>
    </row>
    <row r="26" customFormat="false" ht="12.75" hidden="false" customHeight="false" outlineLevel="0" collapsed="false">
      <c r="A26" s="45" t="n">
        <v>36883</v>
      </c>
      <c r="B26" s="0" t="n">
        <f aca="false">B$2+B$3</f>
        <v>5.31</v>
      </c>
      <c r="C26" s="44" t="n">
        <f aca="false">GasDaily!V26</f>
        <v>3.755</v>
      </c>
      <c r="D26" s="26" t="n">
        <v>-20000</v>
      </c>
      <c r="E26" s="26"/>
      <c r="F26" s="26"/>
      <c r="G26" s="26"/>
      <c r="H26" s="26"/>
      <c r="I26" s="26"/>
      <c r="J26" s="26"/>
      <c r="K26" s="26"/>
      <c r="L26" s="26"/>
      <c r="M26" s="13" t="n">
        <f aca="false">SUM(D26:L26)</f>
        <v>-20000</v>
      </c>
      <c r="N26" s="46"/>
      <c r="O26" s="0" t="n">
        <f aca="false">D26*($C26-D$3)</f>
        <v>300.000000000003</v>
      </c>
      <c r="P26" s="0" t="n">
        <f aca="false">E26*($C26-E$3)</f>
        <v>0</v>
      </c>
      <c r="Q26" s="0" t="n">
        <f aca="false">F26*($C26-F$3)</f>
        <v>0</v>
      </c>
      <c r="R26" s="0" t="n">
        <f aca="false">G26*($C26-G$3)</f>
        <v>0</v>
      </c>
      <c r="S26" s="0" t="n">
        <f aca="false">H26*($C26-H$3)</f>
        <v>0</v>
      </c>
      <c r="T26" s="0" t="n">
        <f aca="false">I26*($C26-I$3)</f>
        <v>0</v>
      </c>
      <c r="U26" s="0" t="n">
        <f aca="false">J26*($C26-J$3)</f>
        <v>0</v>
      </c>
      <c r="V26" s="0" t="n">
        <f aca="false">K26*($C26-K$3)</f>
        <v>0</v>
      </c>
      <c r="Z26" s="0" t="n">
        <f aca="false">SUM(O26:Y26)</f>
        <v>300.000000000003</v>
      </c>
    </row>
    <row r="27" customFormat="false" ht="12.75" hidden="false" customHeight="false" outlineLevel="0" collapsed="false">
      <c r="A27" s="45" t="n">
        <v>36884</v>
      </c>
      <c r="B27" s="0" t="n">
        <f aca="false">B$2+B$3</f>
        <v>5.31</v>
      </c>
      <c r="C27" s="44" t="n">
        <f aca="false">GasDaily!V27</f>
        <v>3.755</v>
      </c>
      <c r="D27" s="26" t="n">
        <v>-20000</v>
      </c>
      <c r="E27" s="26"/>
      <c r="F27" s="26"/>
      <c r="G27" s="26"/>
      <c r="H27" s="26"/>
      <c r="I27" s="26"/>
      <c r="J27" s="26"/>
      <c r="K27" s="26"/>
      <c r="L27" s="26"/>
      <c r="M27" s="13" t="n">
        <f aca="false">SUM(D27:L27)</f>
        <v>-20000</v>
      </c>
      <c r="N27" s="46"/>
      <c r="O27" s="0" t="n">
        <f aca="false">D27*($C27-D$3)</f>
        <v>300.000000000003</v>
      </c>
      <c r="P27" s="0" t="n">
        <f aca="false">E27*($C27-E$3)</f>
        <v>0</v>
      </c>
      <c r="Q27" s="0" t="n">
        <f aca="false">F27*($C27-F$3)</f>
        <v>0</v>
      </c>
      <c r="R27" s="0" t="n">
        <f aca="false">G27*($C27-G$3)</f>
        <v>0</v>
      </c>
      <c r="S27" s="0" t="n">
        <f aca="false">H27*($C27-H$3)</f>
        <v>0</v>
      </c>
      <c r="T27" s="0" t="n">
        <f aca="false">I27*($C27-I$3)</f>
        <v>0</v>
      </c>
      <c r="U27" s="0" t="n">
        <f aca="false">J27*($C27-J$3)</f>
        <v>0</v>
      </c>
      <c r="V27" s="0" t="n">
        <f aca="false">K27*($C27-K$3)</f>
        <v>0</v>
      </c>
      <c r="Z27" s="0" t="n">
        <f aca="false">SUM(O27:Y27)</f>
        <v>300.000000000003</v>
      </c>
    </row>
    <row r="28" customFormat="false" ht="12.75" hidden="false" customHeight="false" outlineLevel="0" collapsed="false">
      <c r="A28" s="45" t="n">
        <v>36885</v>
      </c>
      <c r="B28" s="0" t="n">
        <f aca="false">B$2+B$3</f>
        <v>5.31</v>
      </c>
      <c r="C28" s="44" t="n">
        <f aca="false">GasDaily!V28</f>
        <v>3.755</v>
      </c>
      <c r="D28" s="26" t="n">
        <v>-20000</v>
      </c>
      <c r="E28" s="26"/>
      <c r="F28" s="26"/>
      <c r="G28" s="26"/>
      <c r="H28" s="26"/>
      <c r="I28" s="26"/>
      <c r="J28" s="26"/>
      <c r="K28" s="26"/>
      <c r="L28" s="26"/>
      <c r="M28" s="13" t="n">
        <f aca="false">SUM(D28:L28)</f>
        <v>-20000</v>
      </c>
      <c r="N28" s="46"/>
      <c r="O28" s="0" t="n">
        <f aca="false">D28*($C28-D$3)</f>
        <v>300.000000000003</v>
      </c>
      <c r="P28" s="0" t="n">
        <f aca="false">E28*($C28-E$3)</f>
        <v>0</v>
      </c>
      <c r="Q28" s="0" t="n">
        <f aca="false">F28*($C28-F$3)</f>
        <v>0</v>
      </c>
      <c r="R28" s="0" t="n">
        <f aca="false">G28*($C28-G$3)</f>
        <v>0</v>
      </c>
      <c r="S28" s="0" t="n">
        <f aca="false">H28*($C28-H$3)</f>
        <v>0</v>
      </c>
      <c r="T28" s="0" t="n">
        <f aca="false">I28*($C28-I$3)</f>
        <v>0</v>
      </c>
      <c r="U28" s="0" t="n">
        <f aca="false">J28*($C28-J$3)</f>
        <v>0</v>
      </c>
      <c r="V28" s="0" t="n">
        <f aca="false">K28*($C28-K$3)</f>
        <v>0</v>
      </c>
      <c r="Z28" s="0" t="n">
        <f aca="false">SUM(O28:Y28)</f>
        <v>300.000000000003</v>
      </c>
    </row>
    <row r="29" customFormat="false" ht="12.75" hidden="false" customHeight="false" outlineLevel="0" collapsed="false">
      <c r="A29" s="45" t="n">
        <v>36886</v>
      </c>
      <c r="B29" s="0" t="n">
        <f aca="false">B$2+B$3</f>
        <v>5.31</v>
      </c>
      <c r="C29" s="44" t="n">
        <f aca="false">GasDaily!V29</f>
        <v>3.755</v>
      </c>
      <c r="D29" s="26" t="n">
        <v>-20000</v>
      </c>
      <c r="E29" s="26"/>
      <c r="F29" s="26"/>
      <c r="G29" s="26"/>
      <c r="H29" s="26"/>
      <c r="I29" s="26"/>
      <c r="J29" s="26"/>
      <c r="K29" s="26"/>
      <c r="L29" s="26"/>
      <c r="M29" s="13" t="n">
        <f aca="false">SUM(D29:L29)</f>
        <v>-20000</v>
      </c>
      <c r="N29" s="46"/>
      <c r="O29" s="0" t="n">
        <f aca="false">D29*($C29-D$3)</f>
        <v>300.000000000003</v>
      </c>
      <c r="P29" s="0" t="n">
        <f aca="false">E29*($C29-E$3)</f>
        <v>0</v>
      </c>
      <c r="Q29" s="0" t="n">
        <f aca="false">F29*($C29-F$3)</f>
        <v>0</v>
      </c>
      <c r="R29" s="0" t="n">
        <f aca="false">G29*($C29-G$3)</f>
        <v>0</v>
      </c>
      <c r="S29" s="0" t="n">
        <f aca="false">H29*($C29-H$3)</f>
        <v>0</v>
      </c>
      <c r="T29" s="0" t="n">
        <f aca="false">I29*($C29-I$3)</f>
        <v>0</v>
      </c>
      <c r="U29" s="0" t="n">
        <f aca="false">J29*($C29-J$3)</f>
        <v>0</v>
      </c>
      <c r="V29" s="0" t="n">
        <f aca="false">K29*($C29-K$3)</f>
        <v>0</v>
      </c>
      <c r="Z29" s="0" t="n">
        <f aca="false">SUM(O29:Y29)</f>
        <v>300.000000000003</v>
      </c>
    </row>
    <row r="30" customFormat="false" ht="12.75" hidden="false" customHeight="false" outlineLevel="0" collapsed="false">
      <c r="A30" s="45" t="n">
        <v>36887</v>
      </c>
      <c r="B30" s="0" t="n">
        <f aca="false">B$2+B$3</f>
        <v>5.31</v>
      </c>
      <c r="C30" s="44" t="n">
        <f aca="false">GasDaily!V30</f>
        <v>3.755</v>
      </c>
      <c r="D30" s="26" t="n">
        <v>-20000</v>
      </c>
      <c r="E30" s="26"/>
      <c r="F30" s="26"/>
      <c r="G30" s="26"/>
      <c r="H30" s="26"/>
      <c r="I30" s="26"/>
      <c r="J30" s="26"/>
      <c r="K30" s="26"/>
      <c r="L30" s="26"/>
      <c r="M30" s="13" t="n">
        <f aca="false">SUM(D30:L30)</f>
        <v>-20000</v>
      </c>
      <c r="N30" s="46"/>
      <c r="O30" s="0" t="n">
        <f aca="false">D30*($C30-D$3)</f>
        <v>300.000000000003</v>
      </c>
      <c r="P30" s="0" t="n">
        <f aca="false">E30*($C30-E$3)</f>
        <v>0</v>
      </c>
      <c r="Q30" s="0" t="n">
        <f aca="false">F30*($C30-F$3)</f>
        <v>0</v>
      </c>
      <c r="R30" s="0" t="n">
        <f aca="false">G30*($C30-G$3)</f>
        <v>0</v>
      </c>
      <c r="S30" s="0" t="n">
        <f aca="false">H30*($C30-H$3)</f>
        <v>0</v>
      </c>
      <c r="T30" s="0" t="n">
        <f aca="false">I30*($C30-I$3)</f>
        <v>0</v>
      </c>
      <c r="U30" s="0" t="n">
        <f aca="false">J30*($C30-J$3)</f>
        <v>0</v>
      </c>
      <c r="V30" s="0" t="n">
        <f aca="false">K30*($C30-K$3)</f>
        <v>0</v>
      </c>
      <c r="Z30" s="0" t="n">
        <f aca="false">SUM(O30:Y30)</f>
        <v>300.000000000003</v>
      </c>
    </row>
    <row r="31" customFormat="false" ht="12.75" hidden="false" customHeight="false" outlineLevel="0" collapsed="false">
      <c r="A31" s="45" t="n">
        <v>36888</v>
      </c>
      <c r="B31" s="0" t="n">
        <f aca="false">B$2+B$3</f>
        <v>5.31</v>
      </c>
      <c r="C31" s="44" t="n">
        <f aca="false">GasDaily!V31</f>
        <v>3.755</v>
      </c>
      <c r="D31" s="26" t="n">
        <v>-20000</v>
      </c>
      <c r="E31" s="26"/>
      <c r="F31" s="26"/>
      <c r="G31" s="26"/>
      <c r="H31" s="26"/>
      <c r="I31" s="26"/>
      <c r="J31" s="26"/>
      <c r="K31" s="26"/>
      <c r="L31" s="26"/>
      <c r="M31" s="13" t="n">
        <f aca="false">SUM(D31:L31)</f>
        <v>-20000</v>
      </c>
      <c r="N31" s="46"/>
      <c r="O31" s="0" t="n">
        <f aca="false">D31*($C31-D$3)</f>
        <v>300.000000000003</v>
      </c>
      <c r="P31" s="0" t="n">
        <f aca="false">E31*($C31-E$3)</f>
        <v>0</v>
      </c>
      <c r="Q31" s="0" t="n">
        <f aca="false">F31*($C31-F$3)</f>
        <v>0</v>
      </c>
      <c r="R31" s="0" t="n">
        <f aca="false">G31*($C31-G$3)</f>
        <v>0</v>
      </c>
      <c r="S31" s="0" t="n">
        <f aca="false">H31*($C31-H$3)</f>
        <v>0</v>
      </c>
      <c r="T31" s="0" t="n">
        <f aca="false">I31*($C31-I$3)</f>
        <v>0</v>
      </c>
      <c r="U31" s="0" t="n">
        <f aca="false">J31*($C31-J$3)</f>
        <v>0</v>
      </c>
      <c r="V31" s="0" t="n">
        <f aca="false">K31*($C31-K$3)</f>
        <v>0</v>
      </c>
      <c r="Z31" s="0" t="n">
        <f aca="false">SUM(O31:Y31)</f>
        <v>300.000000000003</v>
      </c>
    </row>
    <row r="32" customFormat="false" ht="12.75" hidden="false" customHeight="false" outlineLevel="0" collapsed="false">
      <c r="A32" s="45" t="n">
        <v>36889</v>
      </c>
      <c r="B32" s="0" t="n">
        <f aca="false">B$2+B$3</f>
        <v>5.31</v>
      </c>
      <c r="C32" s="44" t="n">
        <f aca="false">GasDaily!V32</f>
        <v>3.755</v>
      </c>
      <c r="D32" s="26" t="n">
        <v>-20000</v>
      </c>
      <c r="E32" s="26"/>
      <c r="F32" s="26"/>
      <c r="G32" s="26"/>
      <c r="H32" s="26"/>
      <c r="I32" s="26"/>
      <c r="J32" s="26"/>
      <c r="K32" s="26"/>
      <c r="L32" s="26"/>
      <c r="M32" s="13" t="n">
        <f aca="false">SUM(D32:L32)</f>
        <v>-20000</v>
      </c>
      <c r="N32" s="46"/>
      <c r="O32" s="0" t="n">
        <f aca="false">D32*(C32-D$3)</f>
        <v>300.000000000003</v>
      </c>
      <c r="P32" s="0" t="n">
        <f aca="false">E32*($C32-E$3)</f>
        <v>0</v>
      </c>
      <c r="Q32" s="0" t="n">
        <f aca="false">F32*($C32-F$3)</f>
        <v>0</v>
      </c>
      <c r="R32" s="0" t="n">
        <f aca="false">G32*($C32-G$3)</f>
        <v>0</v>
      </c>
      <c r="S32" s="0" t="n">
        <f aca="false">H32*($C32-H$3)</f>
        <v>0</v>
      </c>
      <c r="T32" s="0" t="n">
        <f aca="false">I32*($C32-I$3)</f>
        <v>0</v>
      </c>
      <c r="U32" s="0" t="n">
        <f aca="false">J32*($C32-J$3)</f>
        <v>0</v>
      </c>
      <c r="V32" s="0" t="n">
        <f aca="false">K32*($C32-K$3)</f>
        <v>0</v>
      </c>
      <c r="Z32" s="0" t="n">
        <f aca="false">SUM(O32:Y32)</f>
        <v>300.000000000003</v>
      </c>
    </row>
    <row r="33" customFormat="false" ht="12.75" hidden="false" customHeight="false" outlineLevel="0" collapsed="false">
      <c r="A33" s="45" t="n">
        <v>36890</v>
      </c>
      <c r="B33" s="0" t="n">
        <f aca="false">B$2+B$3</f>
        <v>5.31</v>
      </c>
      <c r="C33" s="44" t="n">
        <f aca="false">GasDaily!V33</f>
        <v>3.755</v>
      </c>
      <c r="D33" s="26" t="n">
        <v>-20000</v>
      </c>
      <c r="E33" s="26"/>
      <c r="F33" s="26"/>
      <c r="G33" s="26"/>
      <c r="H33" s="26"/>
      <c r="I33" s="26"/>
      <c r="J33" s="26"/>
      <c r="K33" s="26"/>
      <c r="M33" s="13" t="n">
        <f aca="false">SUM(D33:L33)</f>
        <v>-20000</v>
      </c>
      <c r="N33" s="46"/>
      <c r="O33" s="0" t="n">
        <f aca="false">D33*(C33-D$3)</f>
        <v>300.000000000003</v>
      </c>
      <c r="P33" s="0" t="n">
        <f aca="false">E33*($C33-E$3)</f>
        <v>0</v>
      </c>
      <c r="Q33" s="0" t="n">
        <f aca="false">F33*($C33-F$3)</f>
        <v>0</v>
      </c>
      <c r="R33" s="0" t="n">
        <f aca="false">G33*($C33-G$3)</f>
        <v>0</v>
      </c>
      <c r="S33" s="0" t="n">
        <f aca="false">H33*($C33-H$3)</f>
        <v>0</v>
      </c>
      <c r="T33" s="0" t="n">
        <f aca="false">I33*($C33-I$3)</f>
        <v>0</v>
      </c>
      <c r="U33" s="0" t="n">
        <f aca="false">J33*($C33-J$3)</f>
        <v>0</v>
      </c>
      <c r="V33" s="0" t="n">
        <f aca="false">K33*($C33-K$3)</f>
        <v>0</v>
      </c>
      <c r="Z33" s="0" t="n">
        <f aca="false">SUM(O33:Y33)</f>
        <v>300.000000000003</v>
      </c>
    </row>
    <row r="34" customFormat="false" ht="12.75" hidden="false" customHeight="false" outlineLevel="0" collapsed="false">
      <c r="A34" s="45" t="n">
        <v>36891</v>
      </c>
      <c r="B34" s="0" t="n">
        <f aca="false">B$2+B$3</f>
        <v>5.31</v>
      </c>
      <c r="C34" s="44"/>
      <c r="D34" s="26"/>
      <c r="E34" s="26"/>
      <c r="F34" s="26"/>
      <c r="G34" s="26"/>
      <c r="H34" s="26"/>
      <c r="I34" s="26"/>
      <c r="J34" s="26"/>
      <c r="K34" s="26"/>
      <c r="M34" s="13" t="n">
        <f aca="false">SUM(D34:L34)</f>
        <v>0</v>
      </c>
      <c r="N34" s="46"/>
      <c r="O34" s="0" t="n">
        <f aca="false">D34*(C34-D$3)</f>
        <v>-0</v>
      </c>
      <c r="P34" s="0" t="n">
        <f aca="false">E34*($C34-E$3)</f>
        <v>0</v>
      </c>
      <c r="Q34" s="0" t="n">
        <f aca="false">F34*($C34-F$3)</f>
        <v>0</v>
      </c>
      <c r="R34" s="0" t="n">
        <f aca="false">G34*($C34-G$3)</f>
        <v>0</v>
      </c>
      <c r="S34" s="0" t="n">
        <f aca="false">H34*($C34-H$3)</f>
        <v>0</v>
      </c>
      <c r="T34" s="0" t="n">
        <f aca="false">I34*($C34-I$3)</f>
        <v>0</v>
      </c>
      <c r="U34" s="0" t="n">
        <f aca="false">J34*($C34-J$3)</f>
        <v>0</v>
      </c>
      <c r="V34" s="0" t="n">
        <f aca="false">K34*($C34-K$3)</f>
        <v>0</v>
      </c>
      <c r="Z34" s="0" t="n">
        <f aca="false">SUM(O34:Y34)</f>
        <v>0</v>
      </c>
    </row>
    <row r="35" customFormat="false" ht="12.75" hidden="false" customHeight="false" outlineLevel="0" collapsed="false">
      <c r="A35" s="47"/>
      <c r="C35" s="44"/>
      <c r="D35" s="26"/>
      <c r="E35" s="26"/>
      <c r="F35" s="26"/>
      <c r="G35" s="26"/>
      <c r="H35" s="26" t="n">
        <f aca="false">(102.3*10000)/22</f>
        <v>46500</v>
      </c>
      <c r="I35" s="26"/>
      <c r="J35" s="26"/>
      <c r="K35" s="26"/>
    </row>
    <row r="36" customFormat="false" ht="12.75" hidden="false" customHeight="false" outlineLevel="0" collapsed="false">
      <c r="M36" s="13" t="n">
        <f aca="false">SUM(M8:M34)</f>
        <v>-520000</v>
      </c>
      <c r="Z36" s="48" t="n">
        <f aca="false">SUM(Z4:Z34)</f>
        <v>11500.0000000001</v>
      </c>
    </row>
    <row r="37" customFormat="false" ht="12.75" hidden="false" customHeight="false" outlineLevel="0" collapsed="false">
      <c r="A37" s="0" t="n">
        <f aca="false">COUNT(A13:A33)</f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T37"/>
  <sheetViews>
    <sheetView showFormulas="false" showGridLines="true" showRowColHeaders="true" showZeros="true" rightToLeft="false" tabSelected="false" showOutlineSymbols="true" defaultGridColor="true" view="normal" topLeftCell="L2" colorId="64" zoomScale="85" zoomScaleNormal="85" zoomScalePageLayoutView="100" workbookViewId="0">
      <selection pane="topLeft" activeCell="W37" activeCellId="0" sqref="W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3" min="23" style="40" width="13.14"/>
    <col collapsed="false" customWidth="true" hidden="false" outlineLevel="0" max="24" min="24" style="41" width="2.84"/>
    <col collapsed="false" customWidth="true" hidden="false" outlineLevel="0" max="45" min="45" style="41" width="2.7"/>
    <col collapsed="false" customWidth="true" hidden="false" outlineLevel="0" max="46" min="46" style="0" width="10.85"/>
  </cols>
  <sheetData>
    <row r="1" customFormat="false" ht="12.75" hidden="false" customHeight="false" outlineLevel="0" collapsed="false">
      <c r="B1" s="40" t="s">
        <v>43</v>
      </c>
    </row>
    <row r="2" customFormat="false" ht="12.75" hidden="false" customHeight="false" outlineLevel="0" collapsed="false">
      <c r="B2" s="42" t="n">
        <v>5.25</v>
      </c>
      <c r="C2" s="43"/>
      <c r="W2" s="40" t="s">
        <v>44</v>
      </c>
    </row>
    <row r="3" customFormat="false" ht="12.75" hidden="false" customHeight="false" outlineLevel="0" collapsed="false">
      <c r="B3" s="44" t="n">
        <v>0</v>
      </c>
      <c r="C3" s="0" t="s">
        <v>45</v>
      </c>
      <c r="D3" s="0" t="n">
        <v>3.645</v>
      </c>
      <c r="E3" s="0" t="n">
        <v>3.6275</v>
      </c>
      <c r="F3" s="0" t="n">
        <v>3.84</v>
      </c>
      <c r="G3" s="0" t="n">
        <v>3.78</v>
      </c>
      <c r="H3" s="0" t="n">
        <v>3.75</v>
      </c>
      <c r="I3" s="0" t="n">
        <v>3.865</v>
      </c>
      <c r="AT3" s="0" t="s">
        <v>46</v>
      </c>
    </row>
    <row r="4" customFormat="false" ht="12.75" hidden="false" customHeight="false" outlineLevel="0" collapsed="false">
      <c r="A4" s="45" t="n">
        <v>37012</v>
      </c>
      <c r="B4" s="0" t="n">
        <f aca="false">B$2+B$3</f>
        <v>5.25</v>
      </c>
      <c r="C4" s="44" t="n">
        <f aca="false">GasDaily!R4</f>
        <v>3.83</v>
      </c>
      <c r="D4" s="26" t="n">
        <v>10000</v>
      </c>
      <c r="E4" s="26" t="n">
        <v>-10000</v>
      </c>
      <c r="F4" s="26" t="n">
        <v>-10000</v>
      </c>
      <c r="G4" s="26" t="n">
        <v>10000</v>
      </c>
      <c r="H4" s="26" t="n">
        <v>-10000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13" t="n">
        <f aca="false">SUM(D4:Q4)</f>
        <v>-10000</v>
      </c>
      <c r="X4" s="46"/>
      <c r="Y4" s="0" t="n">
        <f aca="false">D4*($C4-D$3)</f>
        <v>1850</v>
      </c>
      <c r="Z4" s="0" t="n">
        <f aca="false">E4*($C4-E$3)</f>
        <v>-2025</v>
      </c>
      <c r="AA4" s="0" t="n">
        <f aca="false">F4*($C4-F$3)</f>
        <v>99.9999999999979</v>
      </c>
      <c r="AB4" s="0" t="n">
        <f aca="false">G4*($C4-G$3)</f>
        <v>500.000000000003</v>
      </c>
      <c r="AC4" s="0" t="n">
        <f aca="false">H4*($C4-H$3)</f>
        <v>-800.000000000001</v>
      </c>
      <c r="AD4" s="0" t="n">
        <f aca="false">I4*($C4-I$3)</f>
        <v>-0</v>
      </c>
      <c r="AE4" s="0" t="n">
        <f aca="false">J4*($C4-J$3)</f>
        <v>0</v>
      </c>
      <c r="AF4" s="0" t="n">
        <f aca="false">K4*($C4-K$3)</f>
        <v>0</v>
      </c>
      <c r="AG4" s="0" t="n">
        <f aca="false">L4*($C4-L$3)</f>
        <v>0</v>
      </c>
      <c r="AH4" s="26" t="n">
        <f aca="false">M4*($C4-M$3)</f>
        <v>0</v>
      </c>
      <c r="AI4" s="0" t="n">
        <f aca="false">N4*($C4-N$3)</f>
        <v>0</v>
      </c>
      <c r="AJ4" s="26" t="n">
        <f aca="false">O4*($C4-O$3)</f>
        <v>0</v>
      </c>
      <c r="AK4" s="26" t="n">
        <f aca="false">P4*($C4-P$3)</f>
        <v>0</v>
      </c>
      <c r="AL4" s="26" t="n">
        <f aca="false">Q4*($C4-Q$3)</f>
        <v>0</v>
      </c>
      <c r="AM4" s="26" t="n">
        <f aca="false">R4*($C4-R$3)</f>
        <v>0</v>
      </c>
      <c r="AN4" s="26" t="n">
        <f aca="false">S4*($C4-S$3)</f>
        <v>0</v>
      </c>
      <c r="AO4" s="26" t="n">
        <f aca="false">T4*($C4-T$3)</f>
        <v>0</v>
      </c>
      <c r="AP4" s="26" t="n">
        <f aca="false">V4*($C4-V$3)</f>
        <v>0</v>
      </c>
      <c r="AT4" s="0" t="n">
        <f aca="false">SUM(Y4:AS4)</f>
        <v>-375.000000000001</v>
      </c>
    </row>
    <row r="5" customFormat="false" ht="12.75" hidden="false" customHeight="false" outlineLevel="0" collapsed="false">
      <c r="A5" s="45" t="n">
        <v>37013</v>
      </c>
      <c r="B5" s="0" t="n">
        <f aca="false">B$2+B$3</f>
        <v>5.25</v>
      </c>
      <c r="C5" s="44" t="n">
        <f aca="false">GasDaily!R5</f>
        <v>3.845</v>
      </c>
      <c r="D5" s="26" t="n">
        <v>10000</v>
      </c>
      <c r="E5" s="26" t="n">
        <v>-10000</v>
      </c>
      <c r="F5" s="26" t="n">
        <v>-10000</v>
      </c>
      <c r="G5" s="26" t="n">
        <v>10000</v>
      </c>
      <c r="H5" s="26" t="n">
        <v>-10000</v>
      </c>
      <c r="I5" s="26" t="n">
        <v>-10000</v>
      </c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13" t="n">
        <f aca="false">SUM(D5:Q5)</f>
        <v>-20000</v>
      </c>
      <c r="X5" s="46"/>
      <c r="Y5" s="0" t="n">
        <f aca="false">D5*($C5-D$3)</f>
        <v>2000</v>
      </c>
      <c r="Z5" s="0" t="n">
        <f aca="false">E5*($C5-E$3)</f>
        <v>-2175</v>
      </c>
      <c r="AA5" s="0" t="n">
        <f aca="false">F5*($C5-F$3)</f>
        <v>-49.9999999999989</v>
      </c>
      <c r="AB5" s="0" t="n">
        <f aca="false">G5*($C5-G$3)</f>
        <v>649.999999999999</v>
      </c>
      <c r="AC5" s="0" t="n">
        <f aca="false">H5*($C5-H$3)</f>
        <v>-949.999999999998</v>
      </c>
      <c r="AD5" s="0" t="n">
        <f aca="false">I5*($C5-I$3)</f>
        <v>200.000000000005</v>
      </c>
      <c r="AE5" s="0" t="n">
        <f aca="false">J5*($C5-J$3)</f>
        <v>0</v>
      </c>
      <c r="AF5" s="0" t="n">
        <f aca="false">K5*($C5-K$3)</f>
        <v>0</v>
      </c>
      <c r="AG5" s="0" t="n">
        <f aca="false">L5*($C5-L$3)</f>
        <v>0</v>
      </c>
      <c r="AH5" s="26" t="n">
        <f aca="false">M5*($C5-M$3)</f>
        <v>0</v>
      </c>
      <c r="AI5" s="0" t="n">
        <f aca="false">N5*($C5-N$3)</f>
        <v>0</v>
      </c>
      <c r="AJ5" s="26" t="n">
        <f aca="false">O5*($C5-O$3)</f>
        <v>0</v>
      </c>
      <c r="AK5" s="26" t="n">
        <f aca="false">P5*($C5-P$3)</f>
        <v>0</v>
      </c>
      <c r="AL5" s="26" t="n">
        <f aca="false">Q5*($C5-Q$3)</f>
        <v>0</v>
      </c>
      <c r="AM5" s="26" t="n">
        <f aca="false">R5*($C5-R$3)</f>
        <v>0</v>
      </c>
      <c r="AN5" s="26" t="n">
        <f aca="false">S5*($C5-S$3)</f>
        <v>0</v>
      </c>
      <c r="AO5" s="26" t="n">
        <f aca="false">T5*($C5-T$3)</f>
        <v>0</v>
      </c>
      <c r="AP5" s="26" t="n">
        <f aca="false">U5*($C5-U$3)</f>
        <v>0</v>
      </c>
      <c r="AT5" s="0" t="n">
        <f aca="false">SUM(Y5:AS5)</f>
        <v>-324.999999999993</v>
      </c>
    </row>
    <row r="6" customFormat="false" ht="12.75" hidden="false" customHeight="false" outlineLevel="0" collapsed="false">
      <c r="A6" s="45" t="n">
        <v>37014</v>
      </c>
      <c r="B6" s="0" t="n">
        <f aca="false">B$2+B$3</f>
        <v>5.25</v>
      </c>
      <c r="C6" s="44" t="n">
        <f aca="false">GasDaily!R6</f>
        <v>3.845</v>
      </c>
      <c r="D6" s="26" t="n">
        <v>10000</v>
      </c>
      <c r="E6" s="26" t="n">
        <v>-10000</v>
      </c>
      <c r="F6" s="26" t="n">
        <v>-10000</v>
      </c>
      <c r="G6" s="26" t="n">
        <v>10000</v>
      </c>
      <c r="H6" s="26" t="n">
        <v>-10000</v>
      </c>
      <c r="I6" s="26" t="n">
        <v>-10000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13" t="n">
        <f aca="false">SUM(D6:Q6)</f>
        <v>-20000</v>
      </c>
      <c r="X6" s="46"/>
      <c r="Y6" s="0" t="n">
        <f aca="false">D6*($C6-D$3)</f>
        <v>2000</v>
      </c>
      <c r="Z6" s="0" t="n">
        <f aca="false">E6*($C6-E$3)</f>
        <v>-2175</v>
      </c>
      <c r="AA6" s="0" t="n">
        <f aca="false">F6*($C6-F$3)</f>
        <v>-49.9999999999989</v>
      </c>
      <c r="AB6" s="0" t="n">
        <f aca="false">G6*($C6-G$3)</f>
        <v>649.999999999999</v>
      </c>
      <c r="AC6" s="0" t="n">
        <f aca="false">H6*($C6-H$3)</f>
        <v>-949.999999999998</v>
      </c>
      <c r="AD6" s="0" t="n">
        <f aca="false">I6*($C6-I$3)</f>
        <v>200.000000000005</v>
      </c>
      <c r="AE6" s="0" t="n">
        <f aca="false">J6*($C6-J$3)</f>
        <v>0</v>
      </c>
      <c r="AF6" s="0" t="n">
        <f aca="false">K6*($C6-K$3)</f>
        <v>0</v>
      </c>
      <c r="AG6" s="0" t="n">
        <f aca="false">L6*($C6-L$3)</f>
        <v>0</v>
      </c>
      <c r="AH6" s="26" t="n">
        <f aca="false">M6*($C6-M$3)</f>
        <v>0</v>
      </c>
      <c r="AI6" s="0" t="n">
        <f aca="false">N6*($C6-N$3)</f>
        <v>0</v>
      </c>
      <c r="AJ6" s="26" t="n">
        <f aca="false">O6*($C6-O$3)</f>
        <v>0</v>
      </c>
      <c r="AK6" s="26" t="n">
        <f aca="false">P6*($C6-P$3)</f>
        <v>0</v>
      </c>
      <c r="AL6" s="26" t="n">
        <f aca="false">Q6*($C6-Q$3)</f>
        <v>0</v>
      </c>
      <c r="AM6" s="26" t="n">
        <f aca="false">R6*($C6-R$3)</f>
        <v>0</v>
      </c>
      <c r="AN6" s="26" t="n">
        <f aca="false">S6*($C6-S$3)</f>
        <v>0</v>
      </c>
      <c r="AO6" s="26" t="n">
        <f aca="false">T6*($C6-T$3)</f>
        <v>0</v>
      </c>
      <c r="AP6" s="26" t="n">
        <f aca="false">U6*($C6-U$3)</f>
        <v>0</v>
      </c>
      <c r="AT6" s="0" t="n">
        <f aca="false">SUM(Y6:AS6)</f>
        <v>-324.999999999993</v>
      </c>
    </row>
    <row r="7" customFormat="false" ht="12.75" hidden="false" customHeight="false" outlineLevel="0" collapsed="false">
      <c r="A7" s="45" t="n">
        <v>37015</v>
      </c>
      <c r="B7" s="0" t="n">
        <f aca="false">B$2+B$3</f>
        <v>5.25</v>
      </c>
      <c r="C7" s="44" t="n">
        <f aca="false">GasDaily!R7</f>
        <v>3.845</v>
      </c>
      <c r="D7" s="26" t="n">
        <v>10000</v>
      </c>
      <c r="E7" s="26" t="n">
        <v>-10000</v>
      </c>
      <c r="F7" s="26" t="n">
        <v>-10000</v>
      </c>
      <c r="G7" s="26" t="n">
        <v>10000</v>
      </c>
      <c r="H7" s="26" t="n">
        <v>-10000</v>
      </c>
      <c r="I7" s="26" t="n">
        <v>-10000</v>
      </c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13" t="n">
        <f aca="false">SUM(D7:Q7)</f>
        <v>-20000</v>
      </c>
      <c r="X7" s="46"/>
      <c r="Y7" s="0" t="n">
        <f aca="false">D7*($C7-D$3)</f>
        <v>2000</v>
      </c>
      <c r="Z7" s="0" t="n">
        <f aca="false">E7*($C7-E$3)</f>
        <v>-2175</v>
      </c>
      <c r="AA7" s="0" t="n">
        <f aca="false">F7*($C7-F$3)</f>
        <v>-49.9999999999989</v>
      </c>
      <c r="AB7" s="0" t="n">
        <f aca="false">G7*($C7-G$3)</f>
        <v>649.999999999999</v>
      </c>
      <c r="AC7" s="0" t="n">
        <f aca="false">H7*($C7-H$3)</f>
        <v>-949.999999999998</v>
      </c>
      <c r="AD7" s="0" t="n">
        <f aca="false">I7*($C7-I$3)</f>
        <v>200.000000000005</v>
      </c>
      <c r="AE7" s="0" t="n">
        <f aca="false">J7*($C7-J$3)</f>
        <v>0</v>
      </c>
      <c r="AF7" s="0" t="n">
        <f aca="false">K7*($C7-K$3)</f>
        <v>0</v>
      </c>
      <c r="AG7" s="0" t="n">
        <f aca="false">L7*($C7-L$3)</f>
        <v>0</v>
      </c>
      <c r="AH7" s="26" t="n">
        <f aca="false">M7*($C7-M$3)</f>
        <v>0</v>
      </c>
      <c r="AI7" s="0" t="n">
        <f aca="false">N7*($C7-N$3)</f>
        <v>0</v>
      </c>
      <c r="AJ7" s="26" t="n">
        <f aca="false">O7*($C7-O$3)</f>
        <v>0</v>
      </c>
      <c r="AK7" s="26" t="n">
        <f aca="false">P7*($C7-P$3)</f>
        <v>0</v>
      </c>
      <c r="AL7" s="26" t="n">
        <f aca="false">Q7*($C7-Q$3)</f>
        <v>0</v>
      </c>
      <c r="AM7" s="26" t="n">
        <f aca="false">R7*($C7-R$3)</f>
        <v>0</v>
      </c>
      <c r="AN7" s="26" t="n">
        <f aca="false">S7*($C7-S$3)</f>
        <v>0</v>
      </c>
      <c r="AO7" s="26" t="n">
        <f aca="false">T7*($C7-T$3)</f>
        <v>0</v>
      </c>
      <c r="AP7" s="26" t="n">
        <f aca="false">U7*($C7-U$3)</f>
        <v>0</v>
      </c>
      <c r="AT7" s="0" t="n">
        <f aca="false">SUM(Y7:AS7)</f>
        <v>-324.999999999993</v>
      </c>
    </row>
    <row r="8" customFormat="false" ht="12.75" hidden="false" customHeight="false" outlineLevel="0" collapsed="false">
      <c r="A8" s="45" t="n">
        <v>37016</v>
      </c>
      <c r="B8" s="0" t="n">
        <f aca="false">B$2+B$3</f>
        <v>5.25</v>
      </c>
      <c r="C8" s="44" t="n">
        <f aca="false">GasDaily!R8</f>
        <v>3.845</v>
      </c>
      <c r="D8" s="26" t="n">
        <v>10000</v>
      </c>
      <c r="E8" s="26" t="n">
        <v>-10000</v>
      </c>
      <c r="F8" s="26" t="n">
        <v>-10000</v>
      </c>
      <c r="G8" s="26" t="n">
        <v>10000</v>
      </c>
      <c r="H8" s="26" t="n">
        <v>-10000</v>
      </c>
      <c r="I8" s="26" t="n">
        <v>-10000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13" t="n">
        <f aca="false">SUM(D8:Q8)</f>
        <v>-20000</v>
      </c>
      <c r="X8" s="46"/>
      <c r="Y8" s="0" t="n">
        <f aca="false">D8*($C8-D$3)</f>
        <v>2000</v>
      </c>
      <c r="Z8" s="0" t="n">
        <f aca="false">E8*($C8-E$3)</f>
        <v>-2175</v>
      </c>
      <c r="AA8" s="0" t="n">
        <f aca="false">F8*($C8-F$3)</f>
        <v>-49.9999999999989</v>
      </c>
      <c r="AB8" s="0" t="n">
        <f aca="false">G8*($C8-G$3)</f>
        <v>649.999999999999</v>
      </c>
      <c r="AC8" s="0" t="n">
        <f aca="false">H8*($C8-H$3)</f>
        <v>-949.999999999998</v>
      </c>
      <c r="AD8" s="0" t="n">
        <f aca="false">I8*($C8-I$3)</f>
        <v>200.000000000005</v>
      </c>
      <c r="AE8" s="0" t="n">
        <f aca="false">J8*($C8-J$3)</f>
        <v>0</v>
      </c>
      <c r="AF8" s="0" t="n">
        <f aca="false">K8*($C8-K$3)</f>
        <v>0</v>
      </c>
      <c r="AG8" s="0" t="n">
        <f aca="false">L8*($C8-L$3)</f>
        <v>0</v>
      </c>
      <c r="AH8" s="26" t="n">
        <f aca="false">M8*($C8-M$3)</f>
        <v>0</v>
      </c>
      <c r="AI8" s="0" t="n">
        <f aca="false">N8*($C8-N$3)</f>
        <v>0</v>
      </c>
      <c r="AJ8" s="26" t="n">
        <f aca="false">O8*($C8-O$3)</f>
        <v>0</v>
      </c>
      <c r="AK8" s="26" t="n">
        <f aca="false">P8*($C8-P$3)</f>
        <v>0</v>
      </c>
      <c r="AL8" s="26" t="n">
        <f aca="false">Q8*($C8-Q$3)</f>
        <v>0</v>
      </c>
      <c r="AM8" s="26" t="n">
        <f aca="false">R8*($C8-R$3)</f>
        <v>0</v>
      </c>
      <c r="AN8" s="26" t="n">
        <f aca="false">S8*($C8-S$3)</f>
        <v>0</v>
      </c>
      <c r="AO8" s="26" t="n">
        <f aca="false">T8*($C8-T$3)</f>
        <v>0</v>
      </c>
      <c r="AP8" s="26" t="n">
        <f aca="false">U8*($C8-U$3)</f>
        <v>0</v>
      </c>
      <c r="AT8" s="0" t="n">
        <f aca="false">SUM(Y8:AS8)</f>
        <v>-324.999999999993</v>
      </c>
    </row>
    <row r="9" customFormat="false" ht="12.75" hidden="false" customHeight="false" outlineLevel="0" collapsed="false">
      <c r="A9" s="45" t="n">
        <v>37017</v>
      </c>
      <c r="B9" s="0" t="n">
        <f aca="false">B$2+B$3</f>
        <v>5.25</v>
      </c>
      <c r="C9" s="44" t="n">
        <f aca="false">GasDaily!R9</f>
        <v>3.845</v>
      </c>
      <c r="D9" s="26" t="n">
        <v>10000</v>
      </c>
      <c r="E9" s="26" t="n">
        <v>-10000</v>
      </c>
      <c r="F9" s="26" t="n">
        <v>-10000</v>
      </c>
      <c r="G9" s="26" t="n">
        <v>10000</v>
      </c>
      <c r="H9" s="26" t="n">
        <v>-10000</v>
      </c>
      <c r="I9" s="26" t="n">
        <v>-10000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13" t="n">
        <f aca="false">SUM(D9:Q9)</f>
        <v>-20000</v>
      </c>
      <c r="X9" s="46"/>
      <c r="Y9" s="0" t="n">
        <f aca="false">D9*($C9-D$3)</f>
        <v>2000</v>
      </c>
      <c r="Z9" s="0" t="n">
        <f aca="false">E9*($C9-E$3)</f>
        <v>-2175</v>
      </c>
      <c r="AA9" s="0" t="n">
        <f aca="false">F9*($C9-F$3)</f>
        <v>-49.9999999999989</v>
      </c>
      <c r="AB9" s="0" t="n">
        <f aca="false">G9*($C9-G$3)</f>
        <v>649.999999999999</v>
      </c>
      <c r="AC9" s="0" t="n">
        <f aca="false">H9*($C9-H$3)</f>
        <v>-949.999999999998</v>
      </c>
      <c r="AD9" s="0" t="n">
        <f aca="false">I9*($C9-I$3)</f>
        <v>200.000000000005</v>
      </c>
      <c r="AE9" s="0" t="n">
        <f aca="false">J9*($C9-J$3)</f>
        <v>0</v>
      </c>
      <c r="AF9" s="0" t="n">
        <f aca="false">K9*($C9-K$3)</f>
        <v>0</v>
      </c>
      <c r="AG9" s="0" t="n">
        <f aca="false">L9*($C9-L$3)</f>
        <v>0</v>
      </c>
      <c r="AH9" s="26" t="n">
        <f aca="false">M9*($C9-M$3)</f>
        <v>0</v>
      </c>
      <c r="AI9" s="0" t="n">
        <f aca="false">N9*($C9-N$3)</f>
        <v>0</v>
      </c>
      <c r="AJ9" s="26" t="n">
        <f aca="false">O9*($C9-O$3)</f>
        <v>0</v>
      </c>
      <c r="AK9" s="26" t="n">
        <f aca="false">P9*($C9-P$3)</f>
        <v>0</v>
      </c>
      <c r="AL9" s="26" t="n">
        <f aca="false">Q9*($C9-Q$3)</f>
        <v>0</v>
      </c>
      <c r="AM9" s="26" t="n">
        <f aca="false">R9*($C9-R$3)</f>
        <v>0</v>
      </c>
      <c r="AN9" s="26" t="n">
        <f aca="false">S9*($C9-S$3)</f>
        <v>0</v>
      </c>
      <c r="AO9" s="26" t="n">
        <f aca="false">T9*($C9-T$3)</f>
        <v>0</v>
      </c>
      <c r="AP9" s="26" t="n">
        <f aca="false">U9*($C9-U$3)</f>
        <v>0</v>
      </c>
      <c r="AT9" s="0" t="n">
        <f aca="false">SUM(Y9:AS9)</f>
        <v>-324.999999999993</v>
      </c>
    </row>
    <row r="10" customFormat="false" ht="12.75" hidden="false" customHeight="false" outlineLevel="0" collapsed="false">
      <c r="A10" s="45" t="n">
        <v>37018</v>
      </c>
      <c r="B10" s="0" t="n">
        <f aca="false">B$2+B$3</f>
        <v>5.25</v>
      </c>
      <c r="C10" s="44" t="n">
        <f aca="false">GasDaily!R10</f>
        <v>3.845</v>
      </c>
      <c r="D10" s="26" t="n">
        <v>10000</v>
      </c>
      <c r="E10" s="26" t="n">
        <v>-10000</v>
      </c>
      <c r="F10" s="26" t="n">
        <v>-10000</v>
      </c>
      <c r="G10" s="26" t="n">
        <v>10000</v>
      </c>
      <c r="H10" s="26" t="n">
        <v>-10000</v>
      </c>
      <c r="I10" s="26" t="n">
        <v>-10000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13" t="n">
        <f aca="false">SUM(D10:Q10)</f>
        <v>-20000</v>
      </c>
      <c r="X10" s="46"/>
      <c r="Y10" s="0" t="n">
        <f aca="false">D10*($C10-D$3)</f>
        <v>2000</v>
      </c>
      <c r="Z10" s="0" t="n">
        <f aca="false">E10*($C10-E$3)</f>
        <v>-2175</v>
      </c>
      <c r="AA10" s="0" t="n">
        <f aca="false">F10*($C10-F$3)</f>
        <v>-49.9999999999989</v>
      </c>
      <c r="AB10" s="0" t="n">
        <f aca="false">G10*($C10-G$3)</f>
        <v>649.999999999999</v>
      </c>
      <c r="AC10" s="0" t="n">
        <f aca="false">H10*($C10-H$3)</f>
        <v>-949.999999999998</v>
      </c>
      <c r="AD10" s="0" t="n">
        <f aca="false">I10*($C10-I$3)</f>
        <v>200.000000000005</v>
      </c>
      <c r="AE10" s="0" t="n">
        <f aca="false">J10*($C10-J$3)</f>
        <v>0</v>
      </c>
      <c r="AF10" s="0" t="n">
        <f aca="false">K10*($C10-K$3)</f>
        <v>0</v>
      </c>
      <c r="AG10" s="0" t="n">
        <f aca="false">L10*($C10-L$3)</f>
        <v>0</v>
      </c>
      <c r="AH10" s="26" t="n">
        <f aca="false">M10*($C10-M$3)</f>
        <v>0</v>
      </c>
      <c r="AI10" s="0" t="n">
        <f aca="false">N10*($C10-N$3)</f>
        <v>0</v>
      </c>
      <c r="AJ10" s="26" t="n">
        <f aca="false">O10*($C10-O$3)</f>
        <v>0</v>
      </c>
      <c r="AK10" s="26" t="n">
        <f aca="false">P10*($C10-P$3)</f>
        <v>0</v>
      </c>
      <c r="AL10" s="26" t="n">
        <f aca="false">Q10*($C10-Q$3)</f>
        <v>0</v>
      </c>
      <c r="AM10" s="26" t="n">
        <f aca="false">R10*($C10-R$3)</f>
        <v>0</v>
      </c>
      <c r="AN10" s="26" t="n">
        <f aca="false">S10*($C10-S$3)</f>
        <v>0</v>
      </c>
      <c r="AO10" s="26" t="n">
        <f aca="false">T10*($C10-T$3)</f>
        <v>0</v>
      </c>
      <c r="AP10" s="26" t="n">
        <f aca="false">U10*($C10-U$3)</f>
        <v>0</v>
      </c>
      <c r="AT10" s="0" t="n">
        <f aca="false">SUM(Y10:AS10)</f>
        <v>-324.999999999993</v>
      </c>
    </row>
    <row r="11" customFormat="false" ht="12.75" hidden="false" customHeight="false" outlineLevel="0" collapsed="false">
      <c r="A11" s="45" t="n">
        <v>37019</v>
      </c>
      <c r="B11" s="0" t="n">
        <f aca="false">B$2+B$3</f>
        <v>5.25</v>
      </c>
      <c r="C11" s="44" t="n">
        <f aca="false">GasDaily!R11</f>
        <v>3.845</v>
      </c>
      <c r="D11" s="26" t="n">
        <v>10000</v>
      </c>
      <c r="E11" s="26" t="n">
        <v>-10000</v>
      </c>
      <c r="F11" s="26" t="n">
        <v>-10000</v>
      </c>
      <c r="G11" s="26" t="n">
        <v>10000</v>
      </c>
      <c r="H11" s="26" t="n">
        <v>-10000</v>
      </c>
      <c r="I11" s="26" t="n">
        <v>-10000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13" t="n">
        <f aca="false">SUM(D11:Q11)</f>
        <v>-20000</v>
      </c>
      <c r="X11" s="46"/>
      <c r="Y11" s="0" t="n">
        <f aca="false">D11*($C11-D$3)</f>
        <v>2000</v>
      </c>
      <c r="Z11" s="0" t="n">
        <f aca="false">E11*($C11-E$3)</f>
        <v>-2175</v>
      </c>
      <c r="AA11" s="0" t="n">
        <f aca="false">F11*($C11-F$3)</f>
        <v>-49.9999999999989</v>
      </c>
      <c r="AB11" s="0" t="n">
        <f aca="false">G11*($C11-G$3)</f>
        <v>649.999999999999</v>
      </c>
      <c r="AC11" s="0" t="n">
        <f aca="false">H11*($C11-H$3)</f>
        <v>-949.999999999998</v>
      </c>
      <c r="AD11" s="0" t="n">
        <f aca="false">I11*($C11-I$3)</f>
        <v>200.000000000005</v>
      </c>
      <c r="AE11" s="0" t="n">
        <f aca="false">J11*($C11-J$3)</f>
        <v>0</v>
      </c>
      <c r="AF11" s="0" t="n">
        <f aca="false">K11*($C11-K$3)</f>
        <v>0</v>
      </c>
      <c r="AG11" s="0" t="n">
        <f aca="false">L11*($C11-L$3)</f>
        <v>0</v>
      </c>
      <c r="AH11" s="26" t="n">
        <f aca="false">M11*($C11-M$3)</f>
        <v>0</v>
      </c>
      <c r="AI11" s="0" t="n">
        <f aca="false">N11*($C11-N$3)</f>
        <v>0</v>
      </c>
      <c r="AJ11" s="26" t="n">
        <f aca="false">O11*($C11-O$3)</f>
        <v>0</v>
      </c>
      <c r="AK11" s="26" t="n">
        <f aca="false">P11*($C11-P$3)</f>
        <v>0</v>
      </c>
      <c r="AL11" s="26" t="n">
        <f aca="false">Q11*($C11-Q$3)</f>
        <v>0</v>
      </c>
      <c r="AM11" s="26" t="n">
        <f aca="false">R11*($C11-R$3)</f>
        <v>0</v>
      </c>
      <c r="AN11" s="26" t="n">
        <f aca="false">S11*($C11-S$3)</f>
        <v>0</v>
      </c>
      <c r="AO11" s="26" t="n">
        <f aca="false">T11*($C11-T$3)</f>
        <v>0</v>
      </c>
      <c r="AP11" s="26" t="n">
        <f aca="false">U11*($C11-U$3)</f>
        <v>0</v>
      </c>
      <c r="AT11" s="0" t="n">
        <f aca="false">SUM(Y11:AS11)</f>
        <v>-324.999999999993</v>
      </c>
    </row>
    <row r="12" customFormat="false" ht="12.75" hidden="false" customHeight="false" outlineLevel="0" collapsed="false">
      <c r="A12" s="45" t="n">
        <v>37020</v>
      </c>
      <c r="B12" s="0" t="n">
        <f aca="false">B$2+B$3</f>
        <v>5.25</v>
      </c>
      <c r="C12" s="44" t="n">
        <f aca="false">GasDaily!R12</f>
        <v>3.845</v>
      </c>
      <c r="D12" s="26" t="n">
        <v>10000</v>
      </c>
      <c r="E12" s="26" t="n">
        <v>-10000</v>
      </c>
      <c r="F12" s="26" t="n">
        <v>-10000</v>
      </c>
      <c r="G12" s="26" t="n">
        <v>10000</v>
      </c>
      <c r="H12" s="26" t="n">
        <v>-10000</v>
      </c>
      <c r="I12" s="26" t="n">
        <v>-10000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13" t="n">
        <f aca="false">SUM(D12:Q12)</f>
        <v>-20000</v>
      </c>
      <c r="X12" s="46"/>
      <c r="Y12" s="0" t="n">
        <f aca="false">D12*($C12-D$3)</f>
        <v>2000</v>
      </c>
      <c r="Z12" s="0" t="n">
        <f aca="false">E12*($C12-E$3)</f>
        <v>-2175</v>
      </c>
      <c r="AA12" s="0" t="n">
        <f aca="false">F12*($C12-F$3)</f>
        <v>-49.9999999999989</v>
      </c>
      <c r="AB12" s="0" t="n">
        <f aca="false">G12*($C12-G$3)</f>
        <v>649.999999999999</v>
      </c>
      <c r="AC12" s="0" t="n">
        <f aca="false">H12*($C12-H$3)</f>
        <v>-949.999999999998</v>
      </c>
      <c r="AD12" s="0" t="n">
        <f aca="false">I12*($C12-I$3)</f>
        <v>200.000000000005</v>
      </c>
      <c r="AE12" s="0" t="n">
        <f aca="false">J12*($C12-J$3)</f>
        <v>0</v>
      </c>
      <c r="AF12" s="0" t="n">
        <f aca="false">K12*($C12-K$3)</f>
        <v>0</v>
      </c>
      <c r="AG12" s="0" t="n">
        <f aca="false">L12*($C12-L$3)</f>
        <v>0</v>
      </c>
      <c r="AH12" s="26" t="n">
        <f aca="false">M12*($C12-M$3)</f>
        <v>0</v>
      </c>
      <c r="AI12" s="0" t="n">
        <f aca="false">N12*($C12-N$3)</f>
        <v>0</v>
      </c>
      <c r="AJ12" s="26" t="n">
        <f aca="false">O12*($C12-O$3)</f>
        <v>0</v>
      </c>
      <c r="AK12" s="26" t="n">
        <f aca="false">P12*($C12-P$3)</f>
        <v>0</v>
      </c>
      <c r="AL12" s="26" t="n">
        <f aca="false">Q12*($C12-Q$3)</f>
        <v>0</v>
      </c>
      <c r="AM12" s="26" t="n">
        <f aca="false">R12*($C12-R$3)</f>
        <v>0</v>
      </c>
      <c r="AN12" s="26" t="n">
        <f aca="false">S12*($C12-S$3)</f>
        <v>0</v>
      </c>
      <c r="AO12" s="26" t="n">
        <f aca="false">T12*($C12-T$3)</f>
        <v>0</v>
      </c>
      <c r="AP12" s="26" t="n">
        <f aca="false">U12*($C12-U$3)</f>
        <v>0</v>
      </c>
      <c r="AT12" s="0" t="n">
        <f aca="false">SUM(Y12:AS12)</f>
        <v>-324.999999999993</v>
      </c>
    </row>
    <row r="13" customFormat="false" ht="12.75" hidden="false" customHeight="false" outlineLevel="0" collapsed="false">
      <c r="A13" s="45" t="n">
        <v>37021</v>
      </c>
      <c r="B13" s="0" t="n">
        <f aca="false">B$2+B$3</f>
        <v>5.25</v>
      </c>
      <c r="C13" s="44" t="n">
        <f aca="false">GasDaily!R13</f>
        <v>3.845</v>
      </c>
      <c r="D13" s="26" t="n">
        <v>10000</v>
      </c>
      <c r="E13" s="26" t="n">
        <v>-10000</v>
      </c>
      <c r="F13" s="26" t="n">
        <v>-10000</v>
      </c>
      <c r="G13" s="26" t="n">
        <v>10000</v>
      </c>
      <c r="H13" s="26" t="n">
        <v>-10000</v>
      </c>
      <c r="I13" s="26" t="n">
        <v>-10000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13" t="n">
        <f aca="false">SUM(D13:Q13)</f>
        <v>-20000</v>
      </c>
      <c r="X13" s="46"/>
      <c r="Y13" s="0" t="n">
        <f aca="false">D13*($C13-D$3)</f>
        <v>2000</v>
      </c>
      <c r="Z13" s="0" t="n">
        <f aca="false">E13*($C13-E$3)</f>
        <v>-2175</v>
      </c>
      <c r="AA13" s="0" t="n">
        <f aca="false">F13*($C13-F$3)</f>
        <v>-49.9999999999989</v>
      </c>
      <c r="AB13" s="0" t="n">
        <f aca="false">G13*($C13-G$3)</f>
        <v>649.999999999999</v>
      </c>
      <c r="AC13" s="0" t="n">
        <f aca="false">H13*($C13-H$3)</f>
        <v>-949.999999999998</v>
      </c>
      <c r="AD13" s="0" t="n">
        <f aca="false">I13*($C13-I$3)</f>
        <v>200.000000000005</v>
      </c>
      <c r="AE13" s="0" t="n">
        <f aca="false">J13*($C13-J$3)</f>
        <v>0</v>
      </c>
      <c r="AF13" s="0" t="n">
        <f aca="false">K13*($C13-K$3)</f>
        <v>0</v>
      </c>
      <c r="AG13" s="0" t="n">
        <f aca="false">L13*($C13-L$3)</f>
        <v>0</v>
      </c>
      <c r="AH13" s="26" t="n">
        <f aca="false">M13*($C13-M$3)</f>
        <v>0</v>
      </c>
      <c r="AI13" s="0" t="n">
        <f aca="false">N13*($C13-N$3)</f>
        <v>0</v>
      </c>
      <c r="AJ13" s="26" t="n">
        <f aca="false">O13*($C13-O$3)</f>
        <v>0</v>
      </c>
      <c r="AK13" s="26" t="n">
        <f aca="false">P13*($C13-P$3)</f>
        <v>0</v>
      </c>
      <c r="AL13" s="26" t="n">
        <f aca="false">Q13*($C13-Q$3)</f>
        <v>0</v>
      </c>
      <c r="AM13" s="26" t="n">
        <f aca="false">R13*($C13-R$3)</f>
        <v>0</v>
      </c>
      <c r="AN13" s="26" t="n">
        <f aca="false">S13*($C13-S$3)</f>
        <v>0</v>
      </c>
      <c r="AO13" s="26" t="n">
        <f aca="false">T13*($C13-T$3)</f>
        <v>0</v>
      </c>
      <c r="AP13" s="26" t="n">
        <f aca="false">U13*($C13-U$3)</f>
        <v>0</v>
      </c>
      <c r="AT13" s="0" t="n">
        <f aca="false">SUM(Y13:AS13)</f>
        <v>-324.999999999993</v>
      </c>
    </row>
    <row r="14" customFormat="false" ht="12.75" hidden="false" customHeight="false" outlineLevel="0" collapsed="false">
      <c r="A14" s="45" t="n">
        <v>37022</v>
      </c>
      <c r="B14" s="0" t="n">
        <f aca="false">B$2+B$3</f>
        <v>5.25</v>
      </c>
      <c r="C14" s="44" t="n">
        <f aca="false">GasDaily!R14</f>
        <v>3.845</v>
      </c>
      <c r="D14" s="26" t="n">
        <v>10000</v>
      </c>
      <c r="E14" s="26" t="n">
        <v>-10000</v>
      </c>
      <c r="F14" s="26" t="n">
        <v>-10000</v>
      </c>
      <c r="G14" s="26" t="n">
        <v>10000</v>
      </c>
      <c r="H14" s="26" t="n">
        <v>-10000</v>
      </c>
      <c r="I14" s="26" t="n">
        <v>-10000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13" t="n">
        <f aca="false">SUM(D14:Q14)</f>
        <v>-20000</v>
      </c>
      <c r="X14" s="46"/>
      <c r="Y14" s="0" t="n">
        <f aca="false">D14*($C14-D$3)</f>
        <v>2000</v>
      </c>
      <c r="Z14" s="0" t="n">
        <f aca="false">E14*($C14-E$3)</f>
        <v>-2175</v>
      </c>
      <c r="AA14" s="0" t="n">
        <f aca="false">F14*($C14-F$3)</f>
        <v>-49.9999999999989</v>
      </c>
      <c r="AB14" s="0" t="n">
        <f aca="false">G14*($C14-G$3)</f>
        <v>649.999999999999</v>
      </c>
      <c r="AC14" s="0" t="n">
        <f aca="false">H14*($C14-H$3)</f>
        <v>-949.999999999998</v>
      </c>
      <c r="AD14" s="0" t="n">
        <f aca="false">I14*($C14-I$3)</f>
        <v>200.000000000005</v>
      </c>
      <c r="AE14" s="0" t="n">
        <f aca="false">J14*($C14-J$3)</f>
        <v>0</v>
      </c>
      <c r="AF14" s="0" t="n">
        <f aca="false">K14*($C14-K$3)</f>
        <v>0</v>
      </c>
      <c r="AG14" s="0" t="n">
        <f aca="false">L14*($C14-L$3)</f>
        <v>0</v>
      </c>
      <c r="AH14" s="26" t="n">
        <f aca="false">M14*($C14-M$3)</f>
        <v>0</v>
      </c>
      <c r="AI14" s="0" t="n">
        <f aca="false">N14*($C14-N$3)</f>
        <v>0</v>
      </c>
      <c r="AJ14" s="26" t="n">
        <f aca="false">O14*($C14-O$3)</f>
        <v>0</v>
      </c>
      <c r="AK14" s="26" t="n">
        <f aca="false">P14*($C14-P$3)</f>
        <v>0</v>
      </c>
      <c r="AL14" s="26" t="n">
        <f aca="false">Q14*($C14-Q$3)</f>
        <v>0</v>
      </c>
      <c r="AM14" s="26" t="n">
        <f aca="false">R14*($C14-R$3)</f>
        <v>0</v>
      </c>
      <c r="AN14" s="26" t="n">
        <f aca="false">S14*($C14-S$3)</f>
        <v>0</v>
      </c>
      <c r="AO14" s="26" t="n">
        <f aca="false">T14*($C14-T$3)</f>
        <v>0</v>
      </c>
      <c r="AP14" s="26" t="n">
        <f aca="false">U14*($C14-U$3)</f>
        <v>0</v>
      </c>
      <c r="AT14" s="0" t="n">
        <f aca="false">SUM(Y14:AS14)</f>
        <v>-324.999999999993</v>
      </c>
    </row>
    <row r="15" customFormat="false" ht="12.75" hidden="false" customHeight="false" outlineLevel="0" collapsed="false">
      <c r="A15" s="45" t="n">
        <v>37023</v>
      </c>
      <c r="B15" s="0" t="n">
        <f aca="false">B$2+B$3</f>
        <v>5.25</v>
      </c>
      <c r="C15" s="44" t="n">
        <f aca="false">GasDaily!R15</f>
        <v>3.845</v>
      </c>
      <c r="D15" s="26" t="n">
        <v>10000</v>
      </c>
      <c r="E15" s="26" t="n">
        <v>-10000</v>
      </c>
      <c r="F15" s="26" t="n">
        <v>-10000</v>
      </c>
      <c r="G15" s="26" t="n">
        <v>10000</v>
      </c>
      <c r="H15" s="26" t="n">
        <v>-10000</v>
      </c>
      <c r="I15" s="26" t="n">
        <v>-10000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13" t="n">
        <f aca="false">SUM(D15:Q15)</f>
        <v>-20000</v>
      </c>
      <c r="X15" s="46"/>
      <c r="Y15" s="0" t="n">
        <f aca="false">D15*($C15-D$3)</f>
        <v>2000</v>
      </c>
      <c r="Z15" s="0" t="n">
        <f aca="false">E15*($C15-E$3)</f>
        <v>-2175</v>
      </c>
      <c r="AA15" s="0" t="n">
        <f aca="false">F15*($C15-F$3)</f>
        <v>-49.9999999999989</v>
      </c>
      <c r="AB15" s="0" t="n">
        <f aca="false">G15*($C15-G$3)</f>
        <v>649.999999999999</v>
      </c>
      <c r="AC15" s="0" t="n">
        <f aca="false">H15*($C15-H$3)</f>
        <v>-949.999999999998</v>
      </c>
      <c r="AD15" s="0" t="n">
        <f aca="false">I15*($C15-I$3)</f>
        <v>200.000000000005</v>
      </c>
      <c r="AE15" s="0" t="n">
        <f aca="false">J15*($C15-J$3)</f>
        <v>0</v>
      </c>
      <c r="AF15" s="0" t="n">
        <f aca="false">K15*($C15-K$3)</f>
        <v>0</v>
      </c>
      <c r="AG15" s="0" t="n">
        <f aca="false">L15*($C15-L$3)</f>
        <v>0</v>
      </c>
      <c r="AH15" s="26" t="n">
        <f aca="false">M15*($C15-M$3)</f>
        <v>0</v>
      </c>
      <c r="AI15" s="0" t="n">
        <f aca="false">N15*($C15-N$3)</f>
        <v>0</v>
      </c>
      <c r="AJ15" s="26" t="n">
        <f aca="false">O15*($C15-O$3)</f>
        <v>0</v>
      </c>
      <c r="AK15" s="26" t="n">
        <f aca="false">P15*($C15-P$3)</f>
        <v>0</v>
      </c>
      <c r="AL15" s="26" t="n">
        <f aca="false">Q15*($C15-Q$3)</f>
        <v>0</v>
      </c>
      <c r="AM15" s="26" t="n">
        <f aca="false">R15*($C15-R$3)</f>
        <v>0</v>
      </c>
      <c r="AN15" s="26" t="n">
        <f aca="false">S15*($C15-S$3)</f>
        <v>0</v>
      </c>
      <c r="AO15" s="26" t="n">
        <f aca="false">T15*($C15-T$3)</f>
        <v>0</v>
      </c>
      <c r="AP15" s="26" t="n">
        <f aca="false">U15*($C15-U$3)</f>
        <v>0</v>
      </c>
      <c r="AT15" s="0" t="n">
        <f aca="false">SUM(Y15:AS15)</f>
        <v>-324.999999999993</v>
      </c>
    </row>
    <row r="16" customFormat="false" ht="12.75" hidden="false" customHeight="false" outlineLevel="0" collapsed="false">
      <c r="A16" s="45" t="n">
        <v>37024</v>
      </c>
      <c r="B16" s="0" t="n">
        <f aca="false">B$2+B$3</f>
        <v>5.25</v>
      </c>
      <c r="C16" s="44" t="n">
        <f aca="false">GasDaily!R16</f>
        <v>3.845</v>
      </c>
      <c r="D16" s="26" t="n">
        <v>10000</v>
      </c>
      <c r="E16" s="26" t="n">
        <v>-10000</v>
      </c>
      <c r="F16" s="26" t="n">
        <v>-10000</v>
      </c>
      <c r="G16" s="26" t="n">
        <v>10000</v>
      </c>
      <c r="H16" s="26" t="n">
        <v>-10000</v>
      </c>
      <c r="I16" s="26" t="n">
        <v>-10000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13" t="n">
        <f aca="false">SUM(D16:Q16)</f>
        <v>-20000</v>
      </c>
      <c r="X16" s="46"/>
      <c r="Y16" s="0" t="n">
        <f aca="false">D16*($C16-D$3)</f>
        <v>2000</v>
      </c>
      <c r="Z16" s="0" t="n">
        <f aca="false">E16*($C16-E$3)</f>
        <v>-2175</v>
      </c>
      <c r="AA16" s="0" t="n">
        <f aca="false">F16*($C16-F$3)</f>
        <v>-49.9999999999989</v>
      </c>
      <c r="AB16" s="0" t="n">
        <f aca="false">G16*($C16-G$3)</f>
        <v>649.999999999999</v>
      </c>
      <c r="AC16" s="0" t="n">
        <f aca="false">H16*($C16-H$3)</f>
        <v>-949.999999999998</v>
      </c>
      <c r="AD16" s="0" t="n">
        <f aca="false">I16*($C16-I$3)</f>
        <v>200.000000000005</v>
      </c>
      <c r="AE16" s="0" t="n">
        <f aca="false">J16*($C16-J$3)</f>
        <v>0</v>
      </c>
      <c r="AF16" s="0" t="n">
        <f aca="false">K16*($C16-K$3)</f>
        <v>0</v>
      </c>
      <c r="AG16" s="0" t="n">
        <f aca="false">L16*($C16-L$3)</f>
        <v>0</v>
      </c>
      <c r="AH16" s="26" t="n">
        <f aca="false">M16*($C16-M$3)</f>
        <v>0</v>
      </c>
      <c r="AI16" s="0" t="n">
        <f aca="false">N16*($C16-N$3)</f>
        <v>0</v>
      </c>
      <c r="AJ16" s="26" t="n">
        <f aca="false">O16*($C16-O$3)</f>
        <v>0</v>
      </c>
      <c r="AK16" s="26" t="n">
        <f aca="false">P16*($C16-P$3)</f>
        <v>0</v>
      </c>
      <c r="AL16" s="26" t="n">
        <f aca="false">Q16*($C16-Q$3)</f>
        <v>0</v>
      </c>
      <c r="AM16" s="26" t="n">
        <f aca="false">R16*($C16-R$3)</f>
        <v>0</v>
      </c>
      <c r="AN16" s="26" t="n">
        <f aca="false">S16*($C16-S$3)</f>
        <v>0</v>
      </c>
      <c r="AO16" s="26" t="n">
        <f aca="false">T16*($C16-T$3)</f>
        <v>0</v>
      </c>
      <c r="AP16" s="26" t="n">
        <f aca="false">U16*($C16-U$3)</f>
        <v>0</v>
      </c>
      <c r="AT16" s="0" t="n">
        <f aca="false">SUM(Y16:AS16)</f>
        <v>-324.999999999993</v>
      </c>
    </row>
    <row r="17" customFormat="false" ht="12.75" hidden="false" customHeight="false" outlineLevel="0" collapsed="false">
      <c r="A17" s="45" t="n">
        <v>37025</v>
      </c>
      <c r="B17" s="0" t="n">
        <f aca="false">B$2+B$3</f>
        <v>5.25</v>
      </c>
      <c r="C17" s="44" t="n">
        <f aca="false">GasDaily!R17</f>
        <v>3.845</v>
      </c>
      <c r="D17" s="26" t="n">
        <v>10000</v>
      </c>
      <c r="E17" s="26" t="n">
        <v>-10000</v>
      </c>
      <c r="F17" s="26" t="n">
        <v>-10000</v>
      </c>
      <c r="G17" s="26" t="n">
        <v>10000</v>
      </c>
      <c r="H17" s="26" t="n">
        <v>-10000</v>
      </c>
      <c r="I17" s="26" t="n">
        <v>-10000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13" t="n">
        <f aca="false">SUM(D17:Q17)</f>
        <v>-20000</v>
      </c>
      <c r="X17" s="46"/>
      <c r="Y17" s="0" t="n">
        <f aca="false">D17*($C17-D$3)</f>
        <v>2000</v>
      </c>
      <c r="Z17" s="0" t="n">
        <f aca="false">E17*($C17-E$3)</f>
        <v>-2175</v>
      </c>
      <c r="AA17" s="0" t="n">
        <f aca="false">F17*($C17-F$3)</f>
        <v>-49.9999999999989</v>
      </c>
      <c r="AB17" s="0" t="n">
        <f aca="false">G17*($C17-G$3)</f>
        <v>649.999999999999</v>
      </c>
      <c r="AC17" s="0" t="n">
        <f aca="false">H17*($C17-H$3)</f>
        <v>-949.999999999998</v>
      </c>
      <c r="AD17" s="0" t="n">
        <f aca="false">I17*($C17-I$3)</f>
        <v>200.000000000005</v>
      </c>
      <c r="AE17" s="0" t="n">
        <f aca="false">J17*($C17-J$3)</f>
        <v>0</v>
      </c>
      <c r="AF17" s="0" t="n">
        <f aca="false">K17*($C17-K$3)</f>
        <v>0</v>
      </c>
      <c r="AG17" s="0" t="n">
        <f aca="false">L17*($C17-L$3)</f>
        <v>0</v>
      </c>
      <c r="AH17" s="26" t="n">
        <f aca="false">M17*($C17-M$3)</f>
        <v>0</v>
      </c>
      <c r="AI17" s="0" t="n">
        <f aca="false">N17*($C17-N$3)</f>
        <v>0</v>
      </c>
      <c r="AJ17" s="26" t="n">
        <f aca="false">O17*($C17-O$3)</f>
        <v>0</v>
      </c>
      <c r="AK17" s="26" t="n">
        <f aca="false">P17*($C17-P$3)</f>
        <v>0</v>
      </c>
      <c r="AL17" s="26" t="n">
        <f aca="false">Q17*($C17-Q$3)</f>
        <v>0</v>
      </c>
      <c r="AM17" s="26" t="n">
        <f aca="false">R17*($C17-R$3)</f>
        <v>0</v>
      </c>
      <c r="AN17" s="26" t="n">
        <f aca="false">S17*($C17-S$3)</f>
        <v>0</v>
      </c>
      <c r="AO17" s="26" t="n">
        <f aca="false">T17*($C17-T$3)</f>
        <v>0</v>
      </c>
      <c r="AP17" s="26" t="n">
        <f aca="false">U17*($C17-U$3)</f>
        <v>0</v>
      </c>
      <c r="AT17" s="0" t="n">
        <f aca="false">SUM(Y17:AS17)</f>
        <v>-324.999999999993</v>
      </c>
    </row>
    <row r="18" customFormat="false" ht="12.75" hidden="false" customHeight="false" outlineLevel="0" collapsed="false">
      <c r="A18" s="45" t="n">
        <v>37026</v>
      </c>
      <c r="B18" s="0" t="n">
        <f aca="false">B$2+B$3</f>
        <v>5.25</v>
      </c>
      <c r="C18" s="44" t="n">
        <f aca="false">GasDaily!R18</f>
        <v>3.845</v>
      </c>
      <c r="D18" s="26" t="n">
        <v>10000</v>
      </c>
      <c r="E18" s="26" t="n">
        <v>-10000</v>
      </c>
      <c r="F18" s="26" t="n">
        <v>-10000</v>
      </c>
      <c r="G18" s="26" t="n">
        <v>10000</v>
      </c>
      <c r="H18" s="26" t="n">
        <v>-10000</v>
      </c>
      <c r="I18" s="26" t="n">
        <v>-10000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13" t="n">
        <f aca="false">SUM(D18:Q18)</f>
        <v>-20000</v>
      </c>
      <c r="X18" s="46"/>
      <c r="Y18" s="0" t="n">
        <f aca="false">D18*($C18-D$3)</f>
        <v>2000</v>
      </c>
      <c r="Z18" s="0" t="n">
        <f aca="false">E18*($C18-E$3)</f>
        <v>-2175</v>
      </c>
      <c r="AA18" s="0" t="n">
        <f aca="false">F18*($C18-F$3)</f>
        <v>-49.9999999999989</v>
      </c>
      <c r="AB18" s="0" t="n">
        <f aca="false">G18*($C18-G$3)</f>
        <v>649.999999999999</v>
      </c>
      <c r="AC18" s="0" t="n">
        <f aca="false">H18*($C18-H$3)</f>
        <v>-949.999999999998</v>
      </c>
      <c r="AD18" s="0" t="n">
        <f aca="false">I18*($C18-I$3)</f>
        <v>200.000000000005</v>
      </c>
      <c r="AE18" s="0" t="n">
        <f aca="false">J18*($C18-J$3)</f>
        <v>0</v>
      </c>
      <c r="AF18" s="0" t="n">
        <f aca="false">K18*($C18-K$3)</f>
        <v>0</v>
      </c>
      <c r="AG18" s="0" t="n">
        <f aca="false">L18*($C18-L$3)</f>
        <v>0</v>
      </c>
      <c r="AH18" s="26" t="n">
        <f aca="false">M18*($C18-M$3)</f>
        <v>0</v>
      </c>
      <c r="AI18" s="0" t="n">
        <f aca="false">N18*($C18-N$3)</f>
        <v>0</v>
      </c>
      <c r="AJ18" s="26" t="n">
        <f aca="false">O18*($C18-O$3)</f>
        <v>0</v>
      </c>
      <c r="AK18" s="26" t="n">
        <f aca="false">P18*($C18-P$3)</f>
        <v>0</v>
      </c>
      <c r="AL18" s="26" t="n">
        <f aca="false">Q18*($C18-Q$3)</f>
        <v>0</v>
      </c>
      <c r="AM18" s="26" t="n">
        <f aca="false">R18*($C18-R$3)</f>
        <v>0</v>
      </c>
      <c r="AN18" s="26" t="n">
        <f aca="false">S18*($C18-S$3)</f>
        <v>0</v>
      </c>
      <c r="AO18" s="26" t="n">
        <f aca="false">T18*($C18-T$3)</f>
        <v>0</v>
      </c>
      <c r="AP18" s="26" t="n">
        <f aca="false">U18*($C18-U$3)</f>
        <v>0</v>
      </c>
      <c r="AT18" s="0" t="n">
        <f aca="false">SUM(Y18:AS18)</f>
        <v>-324.999999999993</v>
      </c>
    </row>
    <row r="19" customFormat="false" ht="12.75" hidden="false" customHeight="false" outlineLevel="0" collapsed="false">
      <c r="A19" s="45" t="n">
        <v>37027</v>
      </c>
      <c r="B19" s="0" t="n">
        <f aca="false">B$2+B$3</f>
        <v>5.25</v>
      </c>
      <c r="C19" s="44" t="n">
        <f aca="false">GasDaily!R19</f>
        <v>3.845</v>
      </c>
      <c r="D19" s="26" t="n">
        <v>10000</v>
      </c>
      <c r="E19" s="26" t="n">
        <v>-10000</v>
      </c>
      <c r="F19" s="26" t="n">
        <v>-10000</v>
      </c>
      <c r="G19" s="26" t="n">
        <v>10000</v>
      </c>
      <c r="H19" s="26" t="n">
        <v>-10000</v>
      </c>
      <c r="I19" s="26" t="n">
        <v>-10000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13" t="n">
        <f aca="false">SUM(D19:Q19)</f>
        <v>-20000</v>
      </c>
      <c r="X19" s="46"/>
      <c r="Y19" s="0" t="n">
        <f aca="false">D19*($C19-D$3)</f>
        <v>2000</v>
      </c>
      <c r="Z19" s="0" t="n">
        <f aca="false">E19*($C19-E$3)</f>
        <v>-2175</v>
      </c>
      <c r="AA19" s="0" t="n">
        <f aca="false">F19*($C19-F$3)</f>
        <v>-49.9999999999989</v>
      </c>
      <c r="AB19" s="0" t="n">
        <f aca="false">G19*($C19-G$3)</f>
        <v>649.999999999999</v>
      </c>
      <c r="AC19" s="0" t="n">
        <f aca="false">H19*($C19-H$3)</f>
        <v>-949.999999999998</v>
      </c>
      <c r="AD19" s="0" t="n">
        <f aca="false">I19*($C19-I$3)</f>
        <v>200.000000000005</v>
      </c>
      <c r="AE19" s="0" t="n">
        <f aca="false">J19*($C19-J$3)</f>
        <v>0</v>
      </c>
      <c r="AF19" s="0" t="n">
        <f aca="false">K19*($C19-K$3)</f>
        <v>0</v>
      </c>
      <c r="AG19" s="0" t="n">
        <f aca="false">L19*($C19-L$3)</f>
        <v>0</v>
      </c>
      <c r="AH19" s="26" t="n">
        <f aca="false">M19*($C19-M$3)</f>
        <v>0</v>
      </c>
      <c r="AI19" s="0" t="n">
        <f aca="false">N19*($C19-N$3)</f>
        <v>0</v>
      </c>
      <c r="AJ19" s="26" t="n">
        <f aca="false">O19*($C19-O$3)</f>
        <v>0</v>
      </c>
      <c r="AK19" s="26" t="n">
        <f aca="false">P19*($C19-P$3)</f>
        <v>0</v>
      </c>
      <c r="AL19" s="26" t="n">
        <f aca="false">Q19*($C19-Q$3)</f>
        <v>0</v>
      </c>
      <c r="AM19" s="26" t="n">
        <f aca="false">R19*($C19-R$3)</f>
        <v>0</v>
      </c>
      <c r="AN19" s="26" t="n">
        <f aca="false">S19*($C19-S$3)</f>
        <v>0</v>
      </c>
      <c r="AO19" s="26" t="n">
        <f aca="false">T19*($C19-T$3)</f>
        <v>0</v>
      </c>
      <c r="AP19" s="26" t="n">
        <f aca="false">U19*($C19-U$3)</f>
        <v>0</v>
      </c>
      <c r="AT19" s="0" t="n">
        <f aca="false">SUM(Y19:AS19)</f>
        <v>-324.999999999993</v>
      </c>
    </row>
    <row r="20" customFormat="false" ht="12.75" hidden="false" customHeight="false" outlineLevel="0" collapsed="false">
      <c r="A20" s="45" t="n">
        <v>37028</v>
      </c>
      <c r="B20" s="0" t="n">
        <f aca="false">B$2+B$3</f>
        <v>5.25</v>
      </c>
      <c r="C20" s="44" t="n">
        <f aca="false">GasDaily!R20</f>
        <v>3.845</v>
      </c>
      <c r="D20" s="26" t="n">
        <v>10000</v>
      </c>
      <c r="E20" s="26" t="n">
        <v>-10000</v>
      </c>
      <c r="F20" s="26" t="n">
        <v>-10000</v>
      </c>
      <c r="G20" s="26" t="n">
        <v>10000</v>
      </c>
      <c r="H20" s="26" t="n">
        <v>-10000</v>
      </c>
      <c r="I20" s="26" t="n">
        <v>-10000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13" t="n">
        <f aca="false">SUM(D20:Q20)</f>
        <v>-20000</v>
      </c>
      <c r="X20" s="46"/>
      <c r="Y20" s="0" t="n">
        <f aca="false">D20*($C20-D$3)</f>
        <v>2000</v>
      </c>
      <c r="Z20" s="0" t="n">
        <f aca="false">E20*($C20-E$3)</f>
        <v>-2175</v>
      </c>
      <c r="AA20" s="0" t="n">
        <f aca="false">F20*($C20-F$3)</f>
        <v>-49.9999999999989</v>
      </c>
      <c r="AB20" s="0" t="n">
        <f aca="false">G20*($C20-G$3)</f>
        <v>649.999999999999</v>
      </c>
      <c r="AC20" s="0" t="n">
        <f aca="false">H20*($C20-H$3)</f>
        <v>-949.999999999998</v>
      </c>
      <c r="AD20" s="0" t="n">
        <f aca="false">I20*($C20-I$3)</f>
        <v>200.000000000005</v>
      </c>
      <c r="AE20" s="0" t="n">
        <f aca="false">J20*($C20-J$3)</f>
        <v>0</v>
      </c>
      <c r="AF20" s="0" t="n">
        <f aca="false">K20*($C20-K$3)</f>
        <v>0</v>
      </c>
      <c r="AG20" s="0" t="n">
        <f aca="false">L20*($C20-L$3)</f>
        <v>0</v>
      </c>
      <c r="AH20" s="26" t="n">
        <f aca="false">M20*($C20-M$3)</f>
        <v>0</v>
      </c>
      <c r="AI20" s="0" t="n">
        <f aca="false">N20*($C20-N$3)</f>
        <v>0</v>
      </c>
      <c r="AJ20" s="26" t="n">
        <f aca="false">O20*($C20-O$3)</f>
        <v>0</v>
      </c>
      <c r="AK20" s="26" t="n">
        <f aca="false">P20*($C20-P$3)</f>
        <v>0</v>
      </c>
      <c r="AL20" s="26" t="n">
        <f aca="false">Q20*($C20-Q$3)</f>
        <v>0</v>
      </c>
      <c r="AM20" s="26" t="n">
        <f aca="false">R20*($C20-R$3)</f>
        <v>0</v>
      </c>
      <c r="AN20" s="26" t="n">
        <f aca="false">S20*($C20-S$3)</f>
        <v>0</v>
      </c>
      <c r="AO20" s="26" t="n">
        <f aca="false">T20*($C20-T$3)</f>
        <v>0</v>
      </c>
      <c r="AP20" s="26" t="n">
        <f aca="false">U20*($C20-U$3)</f>
        <v>0</v>
      </c>
      <c r="AT20" s="0" t="n">
        <f aca="false">SUM(Y20:AS20)</f>
        <v>-324.999999999993</v>
      </c>
    </row>
    <row r="21" customFormat="false" ht="12.75" hidden="false" customHeight="false" outlineLevel="0" collapsed="false">
      <c r="A21" s="45" t="n">
        <v>37029</v>
      </c>
      <c r="B21" s="0" t="n">
        <f aca="false">B$2+B$3</f>
        <v>5.25</v>
      </c>
      <c r="C21" s="44" t="n">
        <f aca="false">GasDaily!R21</f>
        <v>3.845</v>
      </c>
      <c r="D21" s="26" t="n">
        <v>10000</v>
      </c>
      <c r="E21" s="26" t="n">
        <v>-10000</v>
      </c>
      <c r="F21" s="26" t="n">
        <v>-10000</v>
      </c>
      <c r="G21" s="26" t="n">
        <v>10000</v>
      </c>
      <c r="H21" s="26" t="n">
        <v>-10000</v>
      </c>
      <c r="I21" s="26" t="n">
        <v>-10000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13" t="n">
        <f aca="false">SUM(D21:Q21)</f>
        <v>-20000</v>
      </c>
      <c r="X21" s="46"/>
      <c r="Y21" s="0" t="n">
        <f aca="false">D21*($C21-D$3)</f>
        <v>2000</v>
      </c>
      <c r="Z21" s="0" t="n">
        <f aca="false">E21*($C21-E$3)</f>
        <v>-2175</v>
      </c>
      <c r="AA21" s="0" t="n">
        <f aca="false">F21*($C21-F$3)</f>
        <v>-49.9999999999989</v>
      </c>
      <c r="AB21" s="0" t="n">
        <f aca="false">G21*($C21-G$3)</f>
        <v>649.999999999999</v>
      </c>
      <c r="AC21" s="0" t="n">
        <f aca="false">H21*($C21-H$3)</f>
        <v>-949.999999999998</v>
      </c>
      <c r="AD21" s="0" t="n">
        <f aca="false">I21*($C21-I$3)</f>
        <v>200.000000000005</v>
      </c>
      <c r="AE21" s="0" t="n">
        <f aca="false">J21*($C21-J$3)</f>
        <v>0</v>
      </c>
      <c r="AF21" s="0" t="n">
        <f aca="false">K21*($C21-K$3)</f>
        <v>0</v>
      </c>
      <c r="AG21" s="0" t="n">
        <f aca="false">L21*($C21-L$3)</f>
        <v>0</v>
      </c>
      <c r="AH21" s="26" t="n">
        <f aca="false">M21*($C21-M$3)</f>
        <v>0</v>
      </c>
      <c r="AI21" s="0" t="n">
        <f aca="false">N21*($C21-N$3)</f>
        <v>0</v>
      </c>
      <c r="AJ21" s="26" t="n">
        <f aca="false">O21*($C21-O$3)</f>
        <v>0</v>
      </c>
      <c r="AK21" s="26" t="n">
        <f aca="false">P21*($C21-P$3)</f>
        <v>0</v>
      </c>
      <c r="AL21" s="26" t="n">
        <f aca="false">Q21*($C21-Q$3)</f>
        <v>0</v>
      </c>
      <c r="AM21" s="26" t="n">
        <f aca="false">R21*($C21-R$3)</f>
        <v>0</v>
      </c>
      <c r="AN21" s="26" t="n">
        <f aca="false">S21*($C21-S$3)</f>
        <v>0</v>
      </c>
      <c r="AO21" s="26" t="n">
        <f aca="false">T21*($C21-T$3)</f>
        <v>0</v>
      </c>
      <c r="AP21" s="26" t="n">
        <f aca="false">U21*($C21-U$3)</f>
        <v>0</v>
      </c>
      <c r="AT21" s="0" t="n">
        <f aca="false">SUM(Y21:AS21)</f>
        <v>-324.999999999993</v>
      </c>
    </row>
    <row r="22" customFormat="false" ht="12.75" hidden="false" customHeight="false" outlineLevel="0" collapsed="false">
      <c r="A22" s="45" t="n">
        <v>37030</v>
      </c>
      <c r="B22" s="0" t="n">
        <f aca="false">B$2+B$3</f>
        <v>5.25</v>
      </c>
      <c r="C22" s="44" t="n">
        <f aca="false">GasDaily!R22</f>
        <v>3.845</v>
      </c>
      <c r="D22" s="26" t="n">
        <v>10000</v>
      </c>
      <c r="E22" s="26" t="n">
        <v>-10000</v>
      </c>
      <c r="F22" s="26" t="n">
        <v>-10000</v>
      </c>
      <c r="G22" s="26" t="n">
        <v>10000</v>
      </c>
      <c r="H22" s="26" t="n">
        <v>-10000</v>
      </c>
      <c r="I22" s="26" t="n">
        <v>-10000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13" t="n">
        <f aca="false">SUM(D22:Q22)</f>
        <v>-20000</v>
      </c>
      <c r="X22" s="46"/>
      <c r="Y22" s="0" t="n">
        <f aca="false">D22*($C22-D$3)</f>
        <v>2000</v>
      </c>
      <c r="Z22" s="0" t="n">
        <f aca="false">E22*($C22-E$3)</f>
        <v>-2175</v>
      </c>
      <c r="AA22" s="0" t="n">
        <f aca="false">F22*($C22-F$3)</f>
        <v>-49.9999999999989</v>
      </c>
      <c r="AB22" s="0" t="n">
        <f aca="false">G22*($C22-G$3)</f>
        <v>649.999999999999</v>
      </c>
      <c r="AC22" s="0" t="n">
        <f aca="false">H22*($C22-H$3)</f>
        <v>-949.999999999998</v>
      </c>
      <c r="AD22" s="0" t="n">
        <f aca="false">I22*($C22-I$3)</f>
        <v>200.000000000005</v>
      </c>
      <c r="AE22" s="0" t="n">
        <f aca="false">J22*($C22-J$3)</f>
        <v>0</v>
      </c>
      <c r="AF22" s="0" t="n">
        <f aca="false">K22*($C22-K$3)</f>
        <v>0</v>
      </c>
      <c r="AG22" s="0" t="n">
        <f aca="false">L22*($C22-L$3)</f>
        <v>0</v>
      </c>
      <c r="AH22" s="26" t="n">
        <f aca="false">M22*($C22-M$3)</f>
        <v>0</v>
      </c>
      <c r="AI22" s="0" t="n">
        <f aca="false">N22*($C22-N$3)</f>
        <v>0</v>
      </c>
      <c r="AJ22" s="26" t="n">
        <f aca="false">O22*($C22-O$3)</f>
        <v>0</v>
      </c>
      <c r="AK22" s="26" t="n">
        <f aca="false">P22*($C22-P$3)</f>
        <v>0</v>
      </c>
      <c r="AL22" s="26" t="n">
        <f aca="false">Q22*($C22-Q$3)</f>
        <v>0</v>
      </c>
      <c r="AM22" s="26" t="n">
        <f aca="false">R22*($C22-R$3)</f>
        <v>0</v>
      </c>
      <c r="AN22" s="26" t="n">
        <f aca="false">S22*($C22-S$3)</f>
        <v>0</v>
      </c>
      <c r="AO22" s="26" t="n">
        <f aca="false">T22*($C22-T$3)</f>
        <v>0</v>
      </c>
      <c r="AP22" s="26" t="n">
        <f aca="false">U22*($C22-U$3)</f>
        <v>0</v>
      </c>
      <c r="AT22" s="0" t="n">
        <f aca="false">SUM(Y22:AS22)</f>
        <v>-324.999999999993</v>
      </c>
    </row>
    <row r="23" customFormat="false" ht="12.75" hidden="false" customHeight="false" outlineLevel="0" collapsed="false">
      <c r="A23" s="45" t="n">
        <v>37031</v>
      </c>
      <c r="B23" s="0" t="n">
        <f aca="false">B$2+B$3</f>
        <v>5.25</v>
      </c>
      <c r="C23" s="44" t="n">
        <f aca="false">GasDaily!R23</f>
        <v>3.845</v>
      </c>
      <c r="D23" s="26" t="n">
        <v>10000</v>
      </c>
      <c r="E23" s="26" t="n">
        <v>-10000</v>
      </c>
      <c r="F23" s="26" t="n">
        <v>-10000</v>
      </c>
      <c r="G23" s="26" t="n">
        <v>10000</v>
      </c>
      <c r="H23" s="26" t="n">
        <v>-10000</v>
      </c>
      <c r="I23" s="26" t="n">
        <v>-10000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13" t="n">
        <f aca="false">SUM(D23:Q23)</f>
        <v>-20000</v>
      </c>
      <c r="X23" s="46"/>
      <c r="Y23" s="0" t="n">
        <f aca="false">D23*($C23-D$3)</f>
        <v>2000</v>
      </c>
      <c r="Z23" s="0" t="n">
        <f aca="false">E23*($C23-E$3)</f>
        <v>-2175</v>
      </c>
      <c r="AA23" s="0" t="n">
        <f aca="false">F23*($C23-F$3)</f>
        <v>-49.9999999999989</v>
      </c>
      <c r="AB23" s="0" t="n">
        <f aca="false">G23*($C23-G$3)</f>
        <v>649.999999999999</v>
      </c>
      <c r="AC23" s="0" t="n">
        <f aca="false">H23*($C23-H$3)</f>
        <v>-949.999999999998</v>
      </c>
      <c r="AD23" s="0" t="n">
        <f aca="false">I23*($C23-I$3)</f>
        <v>200.000000000005</v>
      </c>
      <c r="AE23" s="0" t="n">
        <f aca="false">J23*($C23-J$3)</f>
        <v>0</v>
      </c>
      <c r="AF23" s="0" t="n">
        <f aca="false">K23*($C23-K$3)</f>
        <v>0</v>
      </c>
      <c r="AG23" s="0" t="n">
        <f aca="false">L23*($C23-L$3)</f>
        <v>0</v>
      </c>
      <c r="AH23" s="26" t="n">
        <f aca="false">M23*($C23-M$3)</f>
        <v>0</v>
      </c>
      <c r="AI23" s="0" t="n">
        <f aca="false">N23*($C23-N$3)</f>
        <v>0</v>
      </c>
      <c r="AJ23" s="26" t="n">
        <f aca="false">O23*($C23-O$3)</f>
        <v>0</v>
      </c>
      <c r="AK23" s="26" t="n">
        <f aca="false">P23*($C23-P$3)</f>
        <v>0</v>
      </c>
      <c r="AL23" s="26" t="n">
        <f aca="false">Q23*($C23-Q$3)</f>
        <v>0</v>
      </c>
      <c r="AM23" s="26" t="n">
        <f aca="false">R23*($C23-R$3)</f>
        <v>0</v>
      </c>
      <c r="AN23" s="26" t="n">
        <f aca="false">S23*($C23-S$3)</f>
        <v>0</v>
      </c>
      <c r="AO23" s="26" t="n">
        <f aca="false">T23*($C23-T$3)</f>
        <v>0</v>
      </c>
      <c r="AP23" s="26" t="n">
        <f aca="false">U23*($C23-U$3)</f>
        <v>0</v>
      </c>
      <c r="AT23" s="0" t="n">
        <f aca="false">SUM(Y23:AS23)</f>
        <v>-324.999999999993</v>
      </c>
    </row>
    <row r="24" customFormat="false" ht="12.75" hidden="false" customHeight="false" outlineLevel="0" collapsed="false">
      <c r="A24" s="45" t="n">
        <v>37032</v>
      </c>
      <c r="B24" s="0" t="n">
        <f aca="false">B$2+B$3</f>
        <v>5.25</v>
      </c>
      <c r="C24" s="44" t="n">
        <f aca="false">GasDaily!R24</f>
        <v>3.845</v>
      </c>
      <c r="D24" s="26" t="n">
        <v>10000</v>
      </c>
      <c r="E24" s="26" t="n">
        <v>-10000</v>
      </c>
      <c r="F24" s="26" t="n">
        <v>-10000</v>
      </c>
      <c r="G24" s="26" t="n">
        <v>10000</v>
      </c>
      <c r="H24" s="26" t="n">
        <v>-10000</v>
      </c>
      <c r="I24" s="26" t="n">
        <v>-10000</v>
      </c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13" t="n">
        <f aca="false">SUM(D24:Q24)</f>
        <v>-20000</v>
      </c>
      <c r="X24" s="46"/>
      <c r="Y24" s="0" t="n">
        <f aca="false">D24*($C24-D$3)</f>
        <v>2000</v>
      </c>
      <c r="Z24" s="0" t="n">
        <f aca="false">E24*($C24-E$3)</f>
        <v>-2175</v>
      </c>
      <c r="AA24" s="0" t="n">
        <f aca="false">F24*($C24-F$3)</f>
        <v>-49.9999999999989</v>
      </c>
      <c r="AB24" s="0" t="n">
        <f aca="false">G24*($C24-G$3)</f>
        <v>649.999999999999</v>
      </c>
      <c r="AC24" s="0" t="n">
        <f aca="false">H24*($C24-H$3)</f>
        <v>-949.999999999998</v>
      </c>
      <c r="AD24" s="0" t="n">
        <f aca="false">I24*($C24-I$3)</f>
        <v>200.000000000005</v>
      </c>
      <c r="AE24" s="0" t="n">
        <f aca="false">J24*($C24-J$3)</f>
        <v>0</v>
      </c>
      <c r="AF24" s="0" t="n">
        <f aca="false">K24*($C24-K$3)</f>
        <v>0</v>
      </c>
      <c r="AG24" s="0" t="n">
        <f aca="false">L24*($C24-L$3)</f>
        <v>0</v>
      </c>
      <c r="AH24" s="26" t="n">
        <f aca="false">M24*($C24-M$3)</f>
        <v>0</v>
      </c>
      <c r="AI24" s="0" t="n">
        <f aca="false">N24*($C24-N$3)</f>
        <v>0</v>
      </c>
      <c r="AJ24" s="26" t="n">
        <f aca="false">O24*($C24-O$3)</f>
        <v>0</v>
      </c>
      <c r="AK24" s="26" t="n">
        <f aca="false">P24*($C24-P$3)</f>
        <v>0</v>
      </c>
      <c r="AL24" s="26" t="n">
        <f aca="false">Q24*($C24-Q$3)</f>
        <v>0</v>
      </c>
      <c r="AM24" s="26" t="n">
        <f aca="false">R24*($C24-R$3)</f>
        <v>0</v>
      </c>
      <c r="AN24" s="26" t="n">
        <f aca="false">S24*($C24-S$3)</f>
        <v>0</v>
      </c>
      <c r="AO24" s="26" t="n">
        <f aca="false">T24*($C24-T$3)</f>
        <v>0</v>
      </c>
      <c r="AP24" s="26" t="n">
        <f aca="false">U24*($C24-U$3)</f>
        <v>0</v>
      </c>
      <c r="AT24" s="0" t="n">
        <f aca="false">SUM(Y24:AS24)</f>
        <v>-324.999999999993</v>
      </c>
    </row>
    <row r="25" customFormat="false" ht="12.75" hidden="false" customHeight="false" outlineLevel="0" collapsed="false">
      <c r="A25" s="45" t="n">
        <v>37033</v>
      </c>
      <c r="B25" s="0" t="n">
        <f aca="false">B$2+B$3</f>
        <v>5.25</v>
      </c>
      <c r="C25" s="44" t="n">
        <f aca="false">GasDaily!R25</f>
        <v>3.845</v>
      </c>
      <c r="D25" s="26" t="n">
        <v>10000</v>
      </c>
      <c r="E25" s="26" t="n">
        <v>-10000</v>
      </c>
      <c r="F25" s="26" t="n">
        <v>-10000</v>
      </c>
      <c r="G25" s="26" t="n">
        <v>10000</v>
      </c>
      <c r="H25" s="26" t="n">
        <v>-10000</v>
      </c>
      <c r="I25" s="26" t="n">
        <v>-10000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13" t="n">
        <f aca="false">SUM(D25:Q25)</f>
        <v>-20000</v>
      </c>
      <c r="X25" s="46"/>
      <c r="Y25" s="0" t="n">
        <f aca="false">D25*($C25-D$3)</f>
        <v>2000</v>
      </c>
      <c r="Z25" s="0" t="n">
        <f aca="false">E25*($C25-E$3)</f>
        <v>-2175</v>
      </c>
      <c r="AA25" s="0" t="n">
        <f aca="false">F25*($C25-F$3)</f>
        <v>-49.9999999999989</v>
      </c>
      <c r="AB25" s="0" t="n">
        <f aca="false">G25*($C25-G$3)</f>
        <v>649.999999999999</v>
      </c>
      <c r="AC25" s="0" t="n">
        <f aca="false">H25*($C25-H$3)</f>
        <v>-949.999999999998</v>
      </c>
      <c r="AD25" s="0" t="n">
        <f aca="false">I25*($C25-I$3)</f>
        <v>200.000000000005</v>
      </c>
      <c r="AE25" s="0" t="n">
        <f aca="false">J25*($C25-J$3)</f>
        <v>0</v>
      </c>
      <c r="AF25" s="0" t="n">
        <f aca="false">K25*($C25-K$3)</f>
        <v>0</v>
      </c>
      <c r="AG25" s="0" t="n">
        <f aca="false">L25*($C25-L$3)</f>
        <v>0</v>
      </c>
      <c r="AH25" s="26" t="n">
        <f aca="false">M25*($C25-M$3)</f>
        <v>0</v>
      </c>
      <c r="AI25" s="0" t="n">
        <f aca="false">N25*($C25-N$3)</f>
        <v>0</v>
      </c>
      <c r="AJ25" s="26" t="n">
        <f aca="false">O25*($C25-O$3)</f>
        <v>0</v>
      </c>
      <c r="AK25" s="26" t="n">
        <f aca="false">P25*($C25-P$3)</f>
        <v>0</v>
      </c>
      <c r="AL25" s="26" t="n">
        <f aca="false">Q25*($C25-Q$3)</f>
        <v>0</v>
      </c>
      <c r="AM25" s="26" t="n">
        <f aca="false">R25*($C25-R$3)</f>
        <v>0</v>
      </c>
      <c r="AN25" s="26" t="n">
        <f aca="false">S25*($C25-S$3)</f>
        <v>0</v>
      </c>
      <c r="AO25" s="26" t="n">
        <f aca="false">T25*($C25-T$3)</f>
        <v>0</v>
      </c>
      <c r="AP25" s="26" t="n">
        <f aca="false">U25*($C25-U$3)</f>
        <v>0</v>
      </c>
      <c r="AT25" s="0" t="n">
        <f aca="false">SUM(Y25:AS25)</f>
        <v>-324.999999999993</v>
      </c>
    </row>
    <row r="26" customFormat="false" ht="12.75" hidden="false" customHeight="false" outlineLevel="0" collapsed="false">
      <c r="A26" s="45" t="n">
        <v>37034</v>
      </c>
      <c r="B26" s="0" t="n">
        <f aca="false">B$2+B$3</f>
        <v>5.25</v>
      </c>
      <c r="C26" s="44" t="n">
        <f aca="false">GasDaily!R26</f>
        <v>3.845</v>
      </c>
      <c r="D26" s="26" t="n">
        <v>10000</v>
      </c>
      <c r="E26" s="26" t="n">
        <v>-10000</v>
      </c>
      <c r="F26" s="26" t="n">
        <v>-10000</v>
      </c>
      <c r="G26" s="26" t="n">
        <v>10000</v>
      </c>
      <c r="H26" s="26" t="n">
        <v>-10000</v>
      </c>
      <c r="I26" s="26" t="n">
        <v>-10000</v>
      </c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13" t="n">
        <f aca="false">SUM(D26:Q26)</f>
        <v>-20000</v>
      </c>
      <c r="X26" s="46"/>
      <c r="Y26" s="0" t="n">
        <f aca="false">D26*($C26-D$3)</f>
        <v>2000</v>
      </c>
      <c r="Z26" s="0" t="n">
        <f aca="false">E26*($C26-E$3)</f>
        <v>-2175</v>
      </c>
      <c r="AA26" s="0" t="n">
        <f aca="false">F26*($C26-F$3)</f>
        <v>-49.9999999999989</v>
      </c>
      <c r="AB26" s="0" t="n">
        <f aca="false">G26*($C26-G$3)</f>
        <v>649.999999999999</v>
      </c>
      <c r="AC26" s="0" t="n">
        <f aca="false">H26*($C26-H$3)</f>
        <v>-949.999999999998</v>
      </c>
      <c r="AD26" s="0" t="n">
        <f aca="false">I26*($C26-I$3)</f>
        <v>200.000000000005</v>
      </c>
      <c r="AE26" s="0" t="n">
        <f aca="false">J26*($C26-J$3)</f>
        <v>0</v>
      </c>
      <c r="AF26" s="0" t="n">
        <f aca="false">K26*($C26-K$3)</f>
        <v>0</v>
      </c>
      <c r="AG26" s="0" t="n">
        <f aca="false">L26*($C26-L$3)</f>
        <v>0</v>
      </c>
      <c r="AH26" s="26" t="n">
        <f aca="false">M26*($C26-M$3)</f>
        <v>0</v>
      </c>
      <c r="AI26" s="0" t="n">
        <f aca="false">N26*($C26-N$3)</f>
        <v>0</v>
      </c>
      <c r="AJ26" s="26" t="n">
        <f aca="false">O26*($C26-O$3)</f>
        <v>0</v>
      </c>
      <c r="AK26" s="26" t="n">
        <f aca="false">P26*($C26-P$3)</f>
        <v>0</v>
      </c>
      <c r="AL26" s="26" t="n">
        <f aca="false">Q26*($C26-Q$3)</f>
        <v>0</v>
      </c>
      <c r="AM26" s="26" t="n">
        <f aca="false">R26*($C26-R$3)</f>
        <v>0</v>
      </c>
      <c r="AN26" s="26" t="n">
        <f aca="false">S26*($C26-S$3)</f>
        <v>0</v>
      </c>
      <c r="AO26" s="26" t="n">
        <f aca="false">T26*($C26-T$3)</f>
        <v>0</v>
      </c>
      <c r="AP26" s="26" t="n">
        <f aca="false">U26*($C26-U$3)</f>
        <v>0</v>
      </c>
      <c r="AT26" s="0" t="n">
        <f aca="false">SUM(Y26:AS26)</f>
        <v>-324.999999999993</v>
      </c>
    </row>
    <row r="27" customFormat="false" ht="12.75" hidden="false" customHeight="false" outlineLevel="0" collapsed="false">
      <c r="A27" s="45" t="n">
        <v>37035</v>
      </c>
      <c r="B27" s="0" t="n">
        <f aca="false">B$2+B$3</f>
        <v>5.25</v>
      </c>
      <c r="C27" s="44" t="n">
        <f aca="false">GasDaily!R27</f>
        <v>3.845</v>
      </c>
      <c r="D27" s="26" t="n">
        <v>10000</v>
      </c>
      <c r="E27" s="26" t="n">
        <v>-10000</v>
      </c>
      <c r="F27" s="26" t="n">
        <v>-10000</v>
      </c>
      <c r="G27" s="26" t="n">
        <v>10000</v>
      </c>
      <c r="H27" s="26" t="n">
        <v>-10000</v>
      </c>
      <c r="I27" s="26" t="n">
        <v>-10000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13" t="n">
        <f aca="false">SUM(D27:Q27)</f>
        <v>-20000</v>
      </c>
      <c r="X27" s="46"/>
      <c r="Y27" s="0" t="n">
        <f aca="false">D27*($C27-D$3)</f>
        <v>2000</v>
      </c>
      <c r="Z27" s="0" t="n">
        <f aca="false">E27*($C27-E$3)</f>
        <v>-2175</v>
      </c>
      <c r="AA27" s="0" t="n">
        <f aca="false">F27*($C27-F$3)</f>
        <v>-49.9999999999989</v>
      </c>
      <c r="AB27" s="0" t="n">
        <f aca="false">G27*($C27-G$3)</f>
        <v>649.999999999999</v>
      </c>
      <c r="AC27" s="0" t="n">
        <f aca="false">H27*($C27-H$3)</f>
        <v>-949.999999999998</v>
      </c>
      <c r="AD27" s="0" t="n">
        <f aca="false">I27*($C27-I$3)</f>
        <v>200.000000000005</v>
      </c>
      <c r="AE27" s="0" t="n">
        <f aca="false">J27*($C27-J$3)</f>
        <v>0</v>
      </c>
      <c r="AF27" s="0" t="n">
        <f aca="false">K27*($C27-K$3)</f>
        <v>0</v>
      </c>
      <c r="AG27" s="0" t="n">
        <f aca="false">L27*($C27-L$3)</f>
        <v>0</v>
      </c>
      <c r="AH27" s="26" t="n">
        <f aca="false">M27*($C27-M$3)</f>
        <v>0</v>
      </c>
      <c r="AI27" s="0" t="n">
        <f aca="false">N27*($C27-N$3)</f>
        <v>0</v>
      </c>
      <c r="AJ27" s="26" t="n">
        <f aca="false">O27*($C27-O$3)</f>
        <v>0</v>
      </c>
      <c r="AK27" s="26" t="n">
        <f aca="false">P27*($C27-P$3)</f>
        <v>0</v>
      </c>
      <c r="AL27" s="26" t="n">
        <f aca="false">Q27*($C27-Q$3)</f>
        <v>0</v>
      </c>
      <c r="AM27" s="26" t="n">
        <f aca="false">R27*($C27-R$3)</f>
        <v>0</v>
      </c>
      <c r="AN27" s="26" t="n">
        <f aca="false">S27*($C27-S$3)</f>
        <v>0</v>
      </c>
      <c r="AO27" s="26" t="n">
        <f aca="false">T27*($C27-T$3)</f>
        <v>0</v>
      </c>
      <c r="AP27" s="26" t="n">
        <f aca="false">U27*($C27-U$3)</f>
        <v>0</v>
      </c>
      <c r="AT27" s="0" t="n">
        <f aca="false">SUM(Y27:AS27)</f>
        <v>-324.999999999993</v>
      </c>
    </row>
    <row r="28" customFormat="false" ht="12.75" hidden="false" customHeight="false" outlineLevel="0" collapsed="false">
      <c r="A28" s="45" t="n">
        <v>37036</v>
      </c>
      <c r="B28" s="0" t="n">
        <f aca="false">B$2+B$3</f>
        <v>5.25</v>
      </c>
      <c r="C28" s="44" t="n">
        <f aca="false">GasDaily!R28</f>
        <v>3.845</v>
      </c>
      <c r="D28" s="26" t="n">
        <v>10000</v>
      </c>
      <c r="E28" s="26" t="n">
        <v>-10000</v>
      </c>
      <c r="F28" s="26" t="n">
        <v>-10000</v>
      </c>
      <c r="G28" s="26" t="n">
        <v>10000</v>
      </c>
      <c r="H28" s="26" t="n">
        <v>-10000</v>
      </c>
      <c r="I28" s="26" t="n">
        <v>-10000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13" t="n">
        <f aca="false">SUM(D28:V28)</f>
        <v>-20000</v>
      </c>
      <c r="X28" s="46"/>
      <c r="Y28" s="0" t="n">
        <f aca="false">D28*($C28-D$3)</f>
        <v>2000</v>
      </c>
      <c r="Z28" s="0" t="n">
        <f aca="false">E28*($C28-E$3)</f>
        <v>-2175</v>
      </c>
      <c r="AA28" s="0" t="n">
        <f aca="false">F28*($C28-F$3)</f>
        <v>-49.9999999999989</v>
      </c>
      <c r="AB28" s="0" t="n">
        <f aca="false">G28*($C28-G$3)</f>
        <v>649.999999999999</v>
      </c>
      <c r="AC28" s="0" t="n">
        <f aca="false">H28*($C28-H$3)</f>
        <v>-949.999999999998</v>
      </c>
      <c r="AD28" s="0" t="n">
        <f aca="false">I28*($C28-I$3)</f>
        <v>200.000000000005</v>
      </c>
      <c r="AE28" s="0" t="n">
        <f aca="false">J28*($C28-J$3)</f>
        <v>0</v>
      </c>
      <c r="AF28" s="0" t="n">
        <f aca="false">K28*($C28-K$3)</f>
        <v>0</v>
      </c>
      <c r="AG28" s="0" t="n">
        <f aca="false">L28*($C28-L$3)</f>
        <v>0</v>
      </c>
      <c r="AH28" s="26" t="n">
        <f aca="false">M28*($C28-M$3)</f>
        <v>0</v>
      </c>
      <c r="AI28" s="0" t="n">
        <f aca="false">N28*($C28-N$3)</f>
        <v>0</v>
      </c>
      <c r="AJ28" s="26" t="n">
        <f aca="false">O28*($C28-O$3)</f>
        <v>0</v>
      </c>
      <c r="AK28" s="26" t="n">
        <f aca="false">P28*($C28-P$3)</f>
        <v>0</v>
      </c>
      <c r="AL28" s="26" t="n">
        <f aca="false">Q28*($C28-Q$3)</f>
        <v>0</v>
      </c>
      <c r="AM28" s="26" t="n">
        <f aca="false">R28*($C28-R$3)</f>
        <v>0</v>
      </c>
      <c r="AN28" s="26" t="n">
        <f aca="false">S28*($C28-S$3)</f>
        <v>0</v>
      </c>
      <c r="AO28" s="26" t="n">
        <f aca="false">T28*($C28-T$3)</f>
        <v>0</v>
      </c>
      <c r="AP28" s="26" t="n">
        <f aca="false">U28*($C28-U$3)</f>
        <v>0</v>
      </c>
      <c r="AT28" s="0" t="n">
        <f aca="false">SUM(Y28:AS28)</f>
        <v>-324.999999999993</v>
      </c>
    </row>
    <row r="29" customFormat="false" ht="12.75" hidden="false" customHeight="false" outlineLevel="0" collapsed="false">
      <c r="A29" s="45" t="n">
        <v>37037</v>
      </c>
      <c r="B29" s="0" t="n">
        <f aca="false">B$2+B$3</f>
        <v>5.25</v>
      </c>
      <c r="C29" s="44" t="n">
        <f aca="false">GasDaily!R29</f>
        <v>3.845</v>
      </c>
      <c r="D29" s="26" t="n">
        <v>10000</v>
      </c>
      <c r="E29" s="26" t="n">
        <v>-10000</v>
      </c>
      <c r="F29" s="26" t="n">
        <v>-10000</v>
      </c>
      <c r="G29" s="26" t="n">
        <v>10000</v>
      </c>
      <c r="H29" s="26" t="n">
        <v>-10000</v>
      </c>
      <c r="I29" s="26" t="n">
        <v>-10000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13" t="n">
        <f aca="false">SUM(D29:V29)</f>
        <v>-20000</v>
      </c>
      <c r="X29" s="46"/>
      <c r="Y29" s="0" t="n">
        <f aca="false">D29*($C29-D$3)</f>
        <v>2000</v>
      </c>
      <c r="Z29" s="0" t="n">
        <f aca="false">E29*($C29-E$3)</f>
        <v>-2175</v>
      </c>
      <c r="AA29" s="0" t="n">
        <f aca="false">F29*($C29-F$3)</f>
        <v>-49.9999999999989</v>
      </c>
      <c r="AB29" s="0" t="n">
        <f aca="false">G29*($C29-G$3)</f>
        <v>649.999999999999</v>
      </c>
      <c r="AC29" s="0" t="n">
        <f aca="false">H29*($C29-H$3)</f>
        <v>-949.999999999998</v>
      </c>
      <c r="AD29" s="0" t="n">
        <f aca="false">I29*($C29-I$3)</f>
        <v>200.000000000005</v>
      </c>
      <c r="AE29" s="0" t="n">
        <f aca="false">J29*($C29-J$3)</f>
        <v>0</v>
      </c>
      <c r="AF29" s="0" t="n">
        <f aca="false">K29*($C29-K$3)</f>
        <v>0</v>
      </c>
      <c r="AG29" s="0" t="n">
        <f aca="false">L29*($C29-L$3)</f>
        <v>0</v>
      </c>
      <c r="AH29" s="26" t="n">
        <f aca="false">M29*($C29-M$3)</f>
        <v>0</v>
      </c>
      <c r="AI29" s="0" t="n">
        <f aca="false">N29*($C29-N$3)</f>
        <v>0</v>
      </c>
      <c r="AJ29" s="26" t="n">
        <f aca="false">O29*($C29-O$3)</f>
        <v>0</v>
      </c>
      <c r="AK29" s="26" t="n">
        <f aca="false">P29*($C29-P$3)</f>
        <v>0</v>
      </c>
      <c r="AL29" s="26" t="n">
        <f aca="false">Q29*($C29-Q$3)</f>
        <v>0</v>
      </c>
      <c r="AM29" s="26" t="n">
        <f aca="false">R29*($C29-R$3)</f>
        <v>0</v>
      </c>
      <c r="AN29" s="26" t="n">
        <f aca="false">S29*($C29-S$3)</f>
        <v>0</v>
      </c>
      <c r="AO29" s="26" t="n">
        <f aca="false">T29*($C29-T$3)</f>
        <v>0</v>
      </c>
      <c r="AP29" s="26" t="n">
        <f aca="false">U29*($C29-U$3)</f>
        <v>0</v>
      </c>
      <c r="AT29" s="0" t="n">
        <f aca="false">SUM(Y29:AS29)</f>
        <v>-324.999999999993</v>
      </c>
    </row>
    <row r="30" customFormat="false" ht="12.75" hidden="false" customHeight="false" outlineLevel="0" collapsed="false">
      <c r="A30" s="45" t="n">
        <v>37038</v>
      </c>
      <c r="B30" s="0" t="n">
        <f aca="false">B$2+B$3</f>
        <v>5.25</v>
      </c>
      <c r="C30" s="44" t="n">
        <f aca="false">GasDaily!R30</f>
        <v>3.845</v>
      </c>
      <c r="D30" s="26" t="n">
        <v>10000</v>
      </c>
      <c r="E30" s="26" t="n">
        <v>-10000</v>
      </c>
      <c r="F30" s="26" t="n">
        <v>-10000</v>
      </c>
      <c r="G30" s="26" t="n">
        <v>10000</v>
      </c>
      <c r="H30" s="26" t="n">
        <v>-10000</v>
      </c>
      <c r="I30" s="26" t="n">
        <v>-10000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13" t="n">
        <f aca="false">SUM(D30:V30)</f>
        <v>-20000</v>
      </c>
      <c r="X30" s="46"/>
      <c r="Y30" s="0" t="n">
        <f aca="false">D30*($C30-D$3)</f>
        <v>2000</v>
      </c>
      <c r="Z30" s="0" t="n">
        <f aca="false">E30*($C30-E$3)</f>
        <v>-2175</v>
      </c>
      <c r="AA30" s="0" t="n">
        <f aca="false">F30*($C30-F$3)</f>
        <v>-49.9999999999989</v>
      </c>
      <c r="AB30" s="0" t="n">
        <f aca="false">G30*($C30-G$3)</f>
        <v>649.999999999999</v>
      </c>
      <c r="AC30" s="0" t="n">
        <f aca="false">H30*($C30-H$3)</f>
        <v>-949.999999999998</v>
      </c>
      <c r="AD30" s="0" t="n">
        <f aca="false">I30*($C30-I$3)</f>
        <v>200.000000000005</v>
      </c>
      <c r="AE30" s="0" t="n">
        <f aca="false">J30*($C30-J$3)</f>
        <v>0</v>
      </c>
      <c r="AF30" s="0" t="n">
        <f aca="false">K30*($C30-K$3)</f>
        <v>0</v>
      </c>
      <c r="AG30" s="0" t="n">
        <f aca="false">L30*($C30-L$3)</f>
        <v>0</v>
      </c>
      <c r="AH30" s="26" t="n">
        <f aca="false">M30*($C30-M$3)</f>
        <v>0</v>
      </c>
      <c r="AI30" s="0" t="n">
        <f aca="false">N30*($C30-N$3)</f>
        <v>0</v>
      </c>
      <c r="AJ30" s="26" t="n">
        <f aca="false">O30*($C30-O$3)</f>
        <v>0</v>
      </c>
      <c r="AK30" s="26" t="n">
        <f aca="false">P30*($C30-P$3)</f>
        <v>0</v>
      </c>
      <c r="AL30" s="26" t="n">
        <f aca="false">Q30*($C30-Q$3)</f>
        <v>0</v>
      </c>
      <c r="AM30" s="26" t="n">
        <f aca="false">R30*($C30-R$3)</f>
        <v>0</v>
      </c>
      <c r="AN30" s="26" t="n">
        <f aca="false">S30*($C30-S$3)</f>
        <v>0</v>
      </c>
      <c r="AO30" s="26" t="n">
        <f aca="false">T30*($C30-T$3)</f>
        <v>0</v>
      </c>
      <c r="AP30" s="26" t="n">
        <f aca="false">U30*($C30-U$3)</f>
        <v>0</v>
      </c>
      <c r="AT30" s="0" t="n">
        <f aca="false">SUM(Y30:AS30)</f>
        <v>-324.999999999993</v>
      </c>
    </row>
    <row r="31" customFormat="false" ht="12.75" hidden="false" customHeight="false" outlineLevel="0" collapsed="false">
      <c r="A31" s="45" t="n">
        <v>37039</v>
      </c>
      <c r="B31" s="0" t="n">
        <f aca="false">B$2+B$3</f>
        <v>5.25</v>
      </c>
      <c r="C31" s="44" t="n">
        <f aca="false">GasDaily!R31</f>
        <v>3.845</v>
      </c>
      <c r="D31" s="26" t="n">
        <v>10000</v>
      </c>
      <c r="E31" s="26" t="n">
        <v>-10000</v>
      </c>
      <c r="F31" s="26" t="n">
        <v>-10000</v>
      </c>
      <c r="G31" s="26" t="n">
        <v>10000</v>
      </c>
      <c r="H31" s="26" t="n">
        <v>-10000</v>
      </c>
      <c r="I31" s="26" t="n">
        <v>-10000</v>
      </c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13" t="n">
        <f aca="false">SUM(D31:V31)</f>
        <v>-20000</v>
      </c>
      <c r="X31" s="46"/>
      <c r="Y31" s="0" t="n">
        <f aca="false">D31*($C31-D$3)</f>
        <v>2000</v>
      </c>
      <c r="Z31" s="0" t="n">
        <f aca="false">E31*($C31-E$3)</f>
        <v>-2175</v>
      </c>
      <c r="AA31" s="0" t="n">
        <f aca="false">F31*($C31-F$3)</f>
        <v>-49.9999999999989</v>
      </c>
      <c r="AB31" s="0" t="n">
        <f aca="false">G31*($C31-G$3)</f>
        <v>649.999999999999</v>
      </c>
      <c r="AC31" s="0" t="n">
        <f aca="false">H31*($C31-H$3)</f>
        <v>-949.999999999998</v>
      </c>
      <c r="AD31" s="0" t="n">
        <f aca="false">I31*($C31-I$3)</f>
        <v>200.000000000005</v>
      </c>
      <c r="AE31" s="0" t="n">
        <f aca="false">J31*($C31-J$3)</f>
        <v>0</v>
      </c>
      <c r="AF31" s="0" t="n">
        <f aca="false">K31*($C31-K$3)</f>
        <v>0</v>
      </c>
      <c r="AG31" s="0" t="n">
        <f aca="false">L31*($C31-L$3)</f>
        <v>0</v>
      </c>
      <c r="AH31" s="26" t="n">
        <f aca="false">M31*($C31-M$3)</f>
        <v>0</v>
      </c>
      <c r="AI31" s="0" t="n">
        <f aca="false">N31*($C31-N$3)</f>
        <v>0</v>
      </c>
      <c r="AJ31" s="26" t="n">
        <f aca="false">O31*($C31-O$3)</f>
        <v>0</v>
      </c>
      <c r="AK31" s="26" t="n">
        <f aca="false">P31*($C31-P$3)</f>
        <v>0</v>
      </c>
      <c r="AL31" s="26" t="n">
        <f aca="false">Q31*($C31-Q$3)</f>
        <v>0</v>
      </c>
      <c r="AM31" s="26" t="n">
        <f aca="false">R31*($C31-R$3)</f>
        <v>0</v>
      </c>
      <c r="AN31" s="26" t="n">
        <f aca="false">S31*($C31-S$3)</f>
        <v>0</v>
      </c>
      <c r="AO31" s="26" t="n">
        <f aca="false">T31*($C31-T$3)</f>
        <v>0</v>
      </c>
      <c r="AP31" s="26" t="n">
        <f aca="false">U31*($C31-U$3)</f>
        <v>0</v>
      </c>
      <c r="AT31" s="0" t="n">
        <f aca="false">SUM(Y31:AS31)</f>
        <v>-324.999999999993</v>
      </c>
    </row>
    <row r="32" customFormat="false" ht="12.75" hidden="false" customHeight="false" outlineLevel="0" collapsed="false">
      <c r="A32" s="45" t="n">
        <v>37040</v>
      </c>
      <c r="B32" s="0" t="n">
        <f aca="false">B$2+B$3</f>
        <v>5.25</v>
      </c>
      <c r="C32" s="44" t="n">
        <f aca="false">GasDaily!R32</f>
        <v>3.845</v>
      </c>
      <c r="D32" s="26" t="n">
        <v>10000</v>
      </c>
      <c r="E32" s="26" t="n">
        <v>-10000</v>
      </c>
      <c r="F32" s="26" t="n">
        <v>-10000</v>
      </c>
      <c r="G32" s="26" t="n">
        <v>10000</v>
      </c>
      <c r="H32" s="26" t="n">
        <v>-10000</v>
      </c>
      <c r="I32" s="26" t="n">
        <v>-10000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13" t="n">
        <f aca="false">SUM(D32:V32)</f>
        <v>-20000</v>
      </c>
      <c r="X32" s="46"/>
      <c r="Y32" s="0" t="n">
        <f aca="false">D32*($C32-D$3)</f>
        <v>2000</v>
      </c>
      <c r="Z32" s="0" t="n">
        <f aca="false">E32*($C32-E$3)</f>
        <v>-2175</v>
      </c>
      <c r="AA32" s="0" t="n">
        <f aca="false">F32*($C32-F$3)</f>
        <v>-49.9999999999989</v>
      </c>
      <c r="AB32" s="0" t="n">
        <f aca="false">G32*($C32-G$3)</f>
        <v>649.999999999999</v>
      </c>
      <c r="AC32" s="0" t="n">
        <f aca="false">H32*($C32-H$3)</f>
        <v>-949.999999999998</v>
      </c>
      <c r="AD32" s="0" t="n">
        <f aca="false">I32*($C32-I$3)</f>
        <v>200.000000000005</v>
      </c>
      <c r="AE32" s="0" t="n">
        <f aca="false">J32*($C32-J$3)</f>
        <v>0</v>
      </c>
      <c r="AF32" s="0" t="n">
        <f aca="false">K32*($C32-K$3)</f>
        <v>0</v>
      </c>
      <c r="AG32" s="0" t="n">
        <f aca="false">L32*($C32-L$3)</f>
        <v>0</v>
      </c>
      <c r="AH32" s="26" t="n">
        <f aca="false">M32*($C32-M$3)</f>
        <v>0</v>
      </c>
      <c r="AI32" s="0" t="n">
        <f aca="false">N32*($C32-N$3)</f>
        <v>0</v>
      </c>
      <c r="AJ32" s="26" t="n">
        <f aca="false">O32*($C32-O$3)</f>
        <v>0</v>
      </c>
      <c r="AK32" s="26" t="n">
        <f aca="false">P32*($C32-P$3)</f>
        <v>0</v>
      </c>
      <c r="AL32" s="26" t="n">
        <f aca="false">Q32*($C32-Q$3)</f>
        <v>0</v>
      </c>
      <c r="AM32" s="26" t="n">
        <f aca="false">R32*($C32-R$3)</f>
        <v>0</v>
      </c>
      <c r="AN32" s="26" t="n">
        <f aca="false">S32*($C32-S$3)</f>
        <v>0</v>
      </c>
      <c r="AO32" s="26" t="n">
        <f aca="false">T32*($C32-T$3)</f>
        <v>0</v>
      </c>
      <c r="AP32" s="26" t="n">
        <f aca="false">U32*($C32-U$3)</f>
        <v>0</v>
      </c>
      <c r="AT32" s="0" t="n">
        <f aca="false">SUM(Y32:AS32)</f>
        <v>-324.999999999993</v>
      </c>
    </row>
    <row r="33" customFormat="false" ht="12.75" hidden="false" customHeight="false" outlineLevel="0" collapsed="false">
      <c r="A33" s="45" t="n">
        <v>37041</v>
      </c>
      <c r="B33" s="0" t="n">
        <f aca="false">B$2+B$3</f>
        <v>5.25</v>
      </c>
      <c r="C33" s="44" t="n">
        <f aca="false">GasDaily!R33</f>
        <v>3.845</v>
      </c>
      <c r="D33" s="26" t="n">
        <v>10000</v>
      </c>
      <c r="E33" s="26" t="n">
        <v>-10000</v>
      </c>
      <c r="F33" s="26" t="n">
        <v>-10000</v>
      </c>
      <c r="G33" s="26" t="n">
        <v>10000</v>
      </c>
      <c r="H33" s="26" t="n">
        <v>-10000</v>
      </c>
      <c r="I33" s="26" t="n">
        <v>-10000</v>
      </c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13" t="n">
        <f aca="false">SUM(D33:V33)</f>
        <v>-20000</v>
      </c>
      <c r="Y33" s="0" t="n">
        <f aca="false">D33*($C33-D$3)</f>
        <v>2000</v>
      </c>
      <c r="Z33" s="0" t="n">
        <f aca="false">E33*($C33-E$3)</f>
        <v>-2175</v>
      </c>
      <c r="AA33" s="0" t="n">
        <f aca="false">F33*($C33-F$3)</f>
        <v>-49.9999999999989</v>
      </c>
      <c r="AB33" s="0" t="n">
        <f aca="false">G33*($C33-G$3)</f>
        <v>649.999999999999</v>
      </c>
      <c r="AC33" s="0" t="n">
        <f aca="false">H33*($C33-H$3)</f>
        <v>-949.999999999998</v>
      </c>
      <c r="AD33" s="0" t="n">
        <f aca="false">I33*($C33-I$3)</f>
        <v>200.000000000005</v>
      </c>
      <c r="AE33" s="0" t="n">
        <f aca="false">J33*($C33-J$3)</f>
        <v>0</v>
      </c>
      <c r="AF33" s="0" t="n">
        <f aca="false">K33*($C33-K$3)</f>
        <v>0</v>
      </c>
      <c r="AG33" s="0" t="n">
        <f aca="false">L33*($C33-L$3)</f>
        <v>0</v>
      </c>
      <c r="AH33" s="26" t="n">
        <f aca="false">M33*($C33-M$3)</f>
        <v>0</v>
      </c>
      <c r="AI33" s="0" t="n">
        <f aca="false">N33*($C33-N$3)</f>
        <v>0</v>
      </c>
      <c r="AJ33" s="26" t="n">
        <f aca="false">O33*($C33-O$3)</f>
        <v>0</v>
      </c>
      <c r="AK33" s="26" t="n">
        <f aca="false">P33*($C33-P$3)</f>
        <v>0</v>
      </c>
      <c r="AL33" s="26" t="n">
        <f aca="false">Q33*($C33-Q$3)</f>
        <v>0</v>
      </c>
      <c r="AM33" s="26" t="n">
        <f aca="false">R33*($C33-R$3)</f>
        <v>0</v>
      </c>
      <c r="AN33" s="26" t="n">
        <f aca="false">S33*($C33-S$3)</f>
        <v>0</v>
      </c>
      <c r="AO33" s="26" t="n">
        <f aca="false">T33*($C33-T$3)</f>
        <v>0</v>
      </c>
      <c r="AP33" s="26" t="n">
        <f aca="false">U33*($C33-U$3)</f>
        <v>0</v>
      </c>
      <c r="AT33" s="0" t="n">
        <f aca="false">SUM(Y33:AS33)</f>
        <v>-324.999999999993</v>
      </c>
    </row>
    <row r="34" customFormat="false" ht="12.75" hidden="false" customHeight="false" outlineLevel="0" collapsed="false">
      <c r="A34" s="45" t="n">
        <v>37042</v>
      </c>
      <c r="B34" s="0" t="n">
        <f aca="false">B$2+B$3</f>
        <v>5.25</v>
      </c>
      <c r="C34" s="44" t="n">
        <f aca="false">GasDaily!R34</f>
        <v>0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13" t="n">
        <f aca="false">SUM(D34:V34)</f>
        <v>0</v>
      </c>
      <c r="Y34" s="0" t="n">
        <f aca="false">D34*($C34-D$3)</f>
        <v>-0</v>
      </c>
      <c r="Z34" s="0" t="n">
        <f aca="false">E34*($C34-E$3)</f>
        <v>-0</v>
      </c>
      <c r="AA34" s="0" t="n">
        <f aca="false">F34*($C34-F$3)</f>
        <v>-0</v>
      </c>
      <c r="AB34" s="0" t="n">
        <f aca="false">G34*($C34-G$3)</f>
        <v>-0</v>
      </c>
      <c r="AC34" s="0" t="n">
        <f aca="false">H34*($C34-H$3)</f>
        <v>-0</v>
      </c>
      <c r="AD34" s="0" t="n">
        <f aca="false">I34*($C34-I$3)</f>
        <v>-0</v>
      </c>
      <c r="AE34" s="0" t="n">
        <f aca="false">J34*($C34-J$3)</f>
        <v>0</v>
      </c>
      <c r="AF34" s="0" t="n">
        <f aca="false">K34*($C34-K$3)</f>
        <v>0</v>
      </c>
      <c r="AG34" s="0" t="n">
        <f aca="false">L34*($C34-L$3)</f>
        <v>0</v>
      </c>
      <c r="AH34" s="26" t="n">
        <f aca="false">M34*($C34-M$3)</f>
        <v>0</v>
      </c>
      <c r="AI34" s="0" t="n">
        <f aca="false">N34*($C34-N$3)</f>
        <v>0</v>
      </c>
      <c r="AJ34" s="26" t="n">
        <f aca="false">O34*($C34-O$3)</f>
        <v>0</v>
      </c>
      <c r="AK34" s="26" t="n">
        <f aca="false">P34*($C34-P$3)</f>
        <v>0</v>
      </c>
      <c r="AL34" s="26" t="n">
        <f aca="false">Q34*($C34-Q$3)</f>
        <v>0</v>
      </c>
      <c r="AM34" s="26" t="n">
        <f aca="false">R34*($C34-R$3)</f>
        <v>0</v>
      </c>
      <c r="AN34" s="26" t="n">
        <f aca="false">S34*($C34-S$3)</f>
        <v>0</v>
      </c>
      <c r="AO34" s="26" t="n">
        <f aca="false">T34*($C34-T$3)</f>
        <v>0</v>
      </c>
      <c r="AP34" s="26" t="n">
        <f aca="false">U34*($C34-U$3)</f>
        <v>0</v>
      </c>
      <c r="AT34" s="0" t="n">
        <f aca="false">SUM(Y34:AS34)</f>
        <v>0</v>
      </c>
    </row>
    <row r="35" customFormat="false" ht="12.75" hidden="false" customHeight="false" outlineLevel="0" collapsed="false">
      <c r="A35" s="47"/>
      <c r="C35" s="44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</row>
    <row r="36" customFormat="false" ht="12.75" hidden="false" customHeight="false" outlineLevel="0" collapsed="false">
      <c r="W36" s="13" t="n">
        <f aca="false">SUM(W8:W35)</f>
        <v>-520000</v>
      </c>
      <c r="AT36" s="48" t="n">
        <f aca="false">SUM(AT4:AT34)</f>
        <v>-9799.99999999981</v>
      </c>
    </row>
    <row r="37" customFormat="false" ht="12.75" hidden="false" customHeight="false" outlineLevel="0" collapsed="false">
      <c r="A37" s="0" t="n">
        <f aca="false">COUNT(A13:A33)</f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37"/>
  <sheetViews>
    <sheetView showFormulas="false" showGridLines="true" showRowColHeaders="true" showZeros="true" rightToLeft="false" tabSelected="false" showOutlineSymbols="true" defaultGridColor="true" view="normal" topLeftCell="A2" colorId="64" zoomScale="85" zoomScaleNormal="85" zoomScalePageLayoutView="100" workbookViewId="0">
      <pane xSplit="1" ySplit="0" topLeftCell="B1" activePane="topRight" state="frozen"/>
      <selection pane="topLeft" activeCell="A2" activeCellId="0" sqref="A2"/>
      <selection pane="topRight" activeCell="S25" activeCellId="0" sqref="S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4" min="4" style="0" width="10.99"/>
    <col collapsed="false" customWidth="true" hidden="false" outlineLevel="0" max="5" min="5" style="0" width="10.13"/>
    <col collapsed="false" customWidth="true" hidden="false" outlineLevel="0" max="6" min="6" style="0" width="9.85"/>
    <col collapsed="false" customWidth="true" hidden="false" outlineLevel="0" max="31" min="31" style="40" width="13.14"/>
    <col collapsed="false" customWidth="true" hidden="false" outlineLevel="0" max="32" min="32" style="41" width="2.84"/>
    <col collapsed="false" customWidth="true" hidden="false" outlineLevel="0" max="61" min="61" style="41" width="2.7"/>
    <col collapsed="false" customWidth="true" hidden="false" outlineLevel="0" max="62" min="62" style="0" width="12.28"/>
    <col collapsed="false" customWidth="true" hidden="false" outlineLevel="0" max="65" min="65" style="0" width="12.99"/>
  </cols>
  <sheetData>
    <row r="1" customFormat="false" ht="12.75" hidden="false" customHeight="false" outlineLevel="0" collapsed="false">
      <c r="B1" s="40" t="s">
        <v>43</v>
      </c>
      <c r="G1" s="0" t="s">
        <v>47</v>
      </c>
    </row>
    <row r="2" customFormat="false" ht="12.75" hidden="false" customHeight="false" outlineLevel="0" collapsed="false">
      <c r="B2" s="42" t="n">
        <v>5.35</v>
      </c>
      <c r="C2" s="43"/>
      <c r="D2" s="44" t="n">
        <v>3.74</v>
      </c>
      <c r="E2" s="44" t="n">
        <v>3.67</v>
      </c>
      <c r="F2" s="49" t="n">
        <v>3.665</v>
      </c>
      <c r="G2" s="49" t="n">
        <v>3.645</v>
      </c>
      <c r="H2" s="49" t="n">
        <v>3.625</v>
      </c>
      <c r="I2" s="49" t="n">
        <v>3.625</v>
      </c>
      <c r="J2" s="49" t="n">
        <v>3.635</v>
      </c>
      <c r="K2" s="49" t="n">
        <v>3.82</v>
      </c>
      <c r="L2" s="49" t="n">
        <v>3.81</v>
      </c>
      <c r="M2" s="49" t="n">
        <v>3.77</v>
      </c>
      <c r="N2" s="49" t="n">
        <v>3.79</v>
      </c>
      <c r="O2" s="49" t="n">
        <v>3.785</v>
      </c>
      <c r="P2" s="49" t="n">
        <v>3.815</v>
      </c>
      <c r="Q2" s="49" t="n">
        <v>3.855</v>
      </c>
      <c r="R2" s="49" t="n">
        <v>3.865</v>
      </c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0" t="s">
        <v>44</v>
      </c>
    </row>
    <row r="3" customFormat="false" ht="12.75" hidden="false" customHeight="false" outlineLevel="0" collapsed="false">
      <c r="B3" s="44" t="n">
        <v>0</v>
      </c>
      <c r="C3" s="0" t="s">
        <v>45</v>
      </c>
      <c r="BJ3" s="0" t="s">
        <v>46</v>
      </c>
    </row>
    <row r="4" customFormat="false" ht="12.75" hidden="false" customHeight="false" outlineLevel="0" collapsed="false">
      <c r="A4" s="45" t="n">
        <v>36951</v>
      </c>
      <c r="C4" s="44" t="n">
        <f aca="false">GasDaily!C4</f>
        <v>3.73</v>
      </c>
      <c r="D4" s="26" t="n">
        <v>-20000</v>
      </c>
      <c r="E4" s="26" t="n">
        <v>5000</v>
      </c>
      <c r="F4" s="26" t="n">
        <v>5000</v>
      </c>
      <c r="G4" s="26" t="n">
        <v>8500</v>
      </c>
      <c r="H4" s="26" t="n">
        <v>10000</v>
      </c>
      <c r="I4" s="26" t="n">
        <v>5000</v>
      </c>
      <c r="J4" s="26" t="n">
        <v>10000</v>
      </c>
      <c r="K4" s="26" t="n">
        <v>10000</v>
      </c>
      <c r="L4" s="26" t="n">
        <v>-10000</v>
      </c>
      <c r="M4" s="26" t="n">
        <v>-10000</v>
      </c>
      <c r="N4" s="26" t="n">
        <v>-10000</v>
      </c>
      <c r="O4" s="26" t="n">
        <v>10000</v>
      </c>
      <c r="P4" s="26" t="n">
        <v>10000</v>
      </c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13" t="n">
        <f aca="false">SUM(D4:AB4)</f>
        <v>23500</v>
      </c>
      <c r="AF4" s="46"/>
      <c r="AG4" s="0" t="n">
        <f aca="false">D4*($C4-D$2)</f>
        <v>200.000000000005</v>
      </c>
      <c r="AH4" s="0" t="n">
        <f aca="false">E4*($C4-E$2)</f>
        <v>300</v>
      </c>
      <c r="AI4" s="0" t="n">
        <f aca="false">F4*($C4-F$2)</f>
        <v>325</v>
      </c>
      <c r="AJ4" s="0" t="n">
        <f aca="false">G4*($C4-G$2)</f>
        <v>722.5</v>
      </c>
      <c r="AK4" s="0" t="n">
        <f aca="false">H4*($C4-H$2)</f>
        <v>1050</v>
      </c>
      <c r="AL4" s="0" t="n">
        <f aca="false">I4*($C4-I$2)</f>
        <v>525</v>
      </c>
      <c r="AM4" s="0" t="n">
        <f aca="false">J4*($C4-J$2)</f>
        <v>950.000000000002</v>
      </c>
      <c r="AN4" s="0" t="n">
        <f aca="false">K4*($C4-K$2)</f>
        <v>-899.999999999999</v>
      </c>
      <c r="AO4" s="0" t="n">
        <f aca="false">L4*($C4-L$2)</f>
        <v>800.000000000001</v>
      </c>
      <c r="AP4" s="0" t="n">
        <f aca="false">M4*($C4-M$2)</f>
        <v>400</v>
      </c>
      <c r="AQ4" s="0" t="n">
        <f aca="false">N4*($C4-N$2)</f>
        <v>600.000000000001</v>
      </c>
      <c r="AR4" s="0" t="n">
        <f aca="false">O4*($C4-O$2)</f>
        <v>-550.000000000002</v>
      </c>
      <c r="AS4" s="0" t="n">
        <f aca="false">P4*($C4-P$2)</f>
        <v>-850</v>
      </c>
      <c r="AT4" s="0" t="n">
        <f aca="false">Q4*($C4-Q$2)</f>
        <v>-0</v>
      </c>
      <c r="AU4" s="0" t="n">
        <f aca="false">R4*($C4-R$2)</f>
        <v>-0</v>
      </c>
      <c r="AV4" s="0" t="n">
        <f aca="false">S4*($C4-S$2)</f>
        <v>0</v>
      </c>
      <c r="AW4" s="0" t="n">
        <f aca="false">T4*($C4-T$2)</f>
        <v>0</v>
      </c>
      <c r="BJ4" s="0" t="n">
        <f aca="false">SUM(AG4:BI4)</f>
        <v>3572.50000000001</v>
      </c>
    </row>
    <row r="5" customFormat="false" ht="12.75" hidden="false" customHeight="false" outlineLevel="0" collapsed="false">
      <c r="A5" s="45" t="n">
        <v>36952</v>
      </c>
      <c r="B5" s="0" t="n">
        <f aca="false">B$2+B$3</f>
        <v>5.35</v>
      </c>
      <c r="C5" s="44" t="n">
        <f aca="false">GasDaily!C5</f>
        <v>3.835</v>
      </c>
      <c r="D5" s="26" t="n">
        <v>-20000</v>
      </c>
      <c r="E5" s="26" t="n">
        <v>5000</v>
      </c>
      <c r="F5" s="26" t="n">
        <v>5000</v>
      </c>
      <c r="G5" s="26" t="n">
        <v>8500</v>
      </c>
      <c r="H5" s="26" t="n">
        <v>10000</v>
      </c>
      <c r="I5" s="26" t="n">
        <v>5000</v>
      </c>
      <c r="J5" s="26" t="n">
        <v>10000</v>
      </c>
      <c r="K5" s="26" t="n">
        <v>10000</v>
      </c>
      <c r="L5" s="26" t="n">
        <v>-10000</v>
      </c>
      <c r="M5" s="26" t="n">
        <v>-10000</v>
      </c>
      <c r="N5" s="26" t="n">
        <v>-10000</v>
      </c>
      <c r="O5" s="26" t="n">
        <v>10000</v>
      </c>
      <c r="P5" s="26" t="n">
        <v>10000</v>
      </c>
      <c r="Q5" s="26" t="n">
        <v>-10000</v>
      </c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13" t="n">
        <f aca="false">SUM(D5:AB5)</f>
        <v>13500</v>
      </c>
      <c r="AF5" s="46"/>
      <c r="AG5" s="0" t="n">
        <f aca="false">D5*($C5-D$2)</f>
        <v>-1900</v>
      </c>
      <c r="AH5" s="0" t="n">
        <f aca="false">E5*($C5-E$2)</f>
        <v>825</v>
      </c>
      <c r="AI5" s="0" t="n">
        <f aca="false">F5*($C5-F$2)</f>
        <v>850</v>
      </c>
      <c r="AJ5" s="0" t="n">
        <f aca="false">G5*($C5-G$2)</f>
        <v>1615</v>
      </c>
      <c r="AK5" s="0" t="n">
        <f aca="false">H5*($C5-H$2)</f>
        <v>2100</v>
      </c>
      <c r="AL5" s="0" t="n">
        <f aca="false">I5*($C5-I$2)</f>
        <v>1050</v>
      </c>
      <c r="AM5" s="0" t="n">
        <f aca="false">J5*($C5-J$2)</f>
        <v>2000</v>
      </c>
      <c r="AN5" s="0" t="n">
        <f aca="false">K5*($C5-K$2)</f>
        <v>150.000000000001</v>
      </c>
      <c r="AO5" s="0" t="n">
        <f aca="false">L5*($C5-L$2)</f>
        <v>-249.999999999999</v>
      </c>
      <c r="AP5" s="0" t="n">
        <f aca="false">M5*($C5-M$2)</f>
        <v>-649.999999999999</v>
      </c>
      <c r="AQ5" s="0" t="n">
        <f aca="false">N5*($C5-N$2)</f>
        <v>-449.999999999999</v>
      </c>
      <c r="AR5" s="0" t="n">
        <f aca="false">O5*($C5-O$2)</f>
        <v>499.999999999998</v>
      </c>
      <c r="AS5" s="0" t="n">
        <f aca="false">P5*($C5-P$2)</f>
        <v>200</v>
      </c>
      <c r="AT5" s="0" t="n">
        <f aca="false">Q5*($C5-Q$2)</f>
        <v>200</v>
      </c>
      <c r="AU5" s="0" t="n">
        <f aca="false">R5*($C5-R$2)</f>
        <v>-0</v>
      </c>
      <c r="AV5" s="0" t="n">
        <f aca="false">S5*($C5-S$2)</f>
        <v>0</v>
      </c>
      <c r="AW5" s="0" t="n">
        <f aca="false">T5*($C5-T$2)</f>
        <v>0</v>
      </c>
      <c r="BJ5" s="0" t="n">
        <f aca="false">SUM(AG5:BI5)</f>
        <v>6240.00000000001</v>
      </c>
    </row>
    <row r="6" customFormat="false" ht="12.75" hidden="false" customHeight="false" outlineLevel="0" collapsed="false">
      <c r="A6" s="45" t="n">
        <v>36953</v>
      </c>
      <c r="B6" s="0" t="n">
        <f aca="false">B$2+B$3</f>
        <v>5.35</v>
      </c>
      <c r="C6" s="44" t="n">
        <f aca="false">GasDaily!C6</f>
        <v>3.835</v>
      </c>
      <c r="D6" s="26" t="n">
        <v>-20000</v>
      </c>
      <c r="E6" s="26" t="n">
        <v>5000</v>
      </c>
      <c r="F6" s="26" t="n">
        <v>5000</v>
      </c>
      <c r="G6" s="26" t="n">
        <v>8500</v>
      </c>
      <c r="H6" s="26" t="n">
        <v>10000</v>
      </c>
      <c r="I6" s="26" t="n">
        <v>5000</v>
      </c>
      <c r="J6" s="26" t="n">
        <v>10000</v>
      </c>
      <c r="K6" s="26" t="n">
        <v>10000</v>
      </c>
      <c r="L6" s="26" t="n">
        <v>-10000</v>
      </c>
      <c r="M6" s="26" t="n">
        <v>-10000</v>
      </c>
      <c r="N6" s="26" t="n">
        <v>-10000</v>
      </c>
      <c r="O6" s="26" t="n">
        <v>10000</v>
      </c>
      <c r="P6" s="26" t="n">
        <v>10000</v>
      </c>
      <c r="Q6" s="26" t="n">
        <v>-10000</v>
      </c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13" t="n">
        <f aca="false">SUM(D6:AB6)</f>
        <v>13500</v>
      </c>
      <c r="AF6" s="46"/>
      <c r="AG6" s="0" t="n">
        <f aca="false">D6*($C6-D$2)</f>
        <v>-1900</v>
      </c>
      <c r="AH6" s="0" t="n">
        <f aca="false">E6*($C6-E$2)</f>
        <v>825</v>
      </c>
      <c r="AI6" s="0" t="n">
        <f aca="false">F6*($C6-F$2)</f>
        <v>850</v>
      </c>
      <c r="AJ6" s="0" t="n">
        <f aca="false">G6*($C6-G$2)</f>
        <v>1615</v>
      </c>
      <c r="AK6" s="0" t="n">
        <f aca="false">H6*($C6-H$2)</f>
        <v>2100</v>
      </c>
      <c r="AL6" s="0" t="n">
        <f aca="false">I6*($C6-I$2)</f>
        <v>1050</v>
      </c>
      <c r="AM6" s="0" t="n">
        <f aca="false">J6*($C6-J$2)</f>
        <v>2000</v>
      </c>
      <c r="AN6" s="0" t="n">
        <f aca="false">K6*($C6-K$2)</f>
        <v>150.000000000001</v>
      </c>
      <c r="AO6" s="0" t="n">
        <f aca="false">L6*($C6-L$2)</f>
        <v>-249.999999999999</v>
      </c>
      <c r="AP6" s="0" t="n">
        <f aca="false">M6*($C6-M$2)</f>
        <v>-649.999999999999</v>
      </c>
      <c r="AQ6" s="0" t="n">
        <f aca="false">N6*($C6-N$2)</f>
        <v>-449.999999999999</v>
      </c>
      <c r="AR6" s="0" t="n">
        <f aca="false">O6*($C6-O$2)</f>
        <v>499.999999999998</v>
      </c>
      <c r="AS6" s="0" t="n">
        <f aca="false">P6*($C6-P$2)</f>
        <v>200</v>
      </c>
      <c r="AT6" s="0" t="n">
        <f aca="false">Q6*($C6-Q$2)</f>
        <v>200</v>
      </c>
      <c r="AU6" s="0" t="n">
        <f aca="false">R6*($C6-R$2)</f>
        <v>-0</v>
      </c>
      <c r="AV6" s="0" t="n">
        <f aca="false">S6*($C6-S$2)</f>
        <v>0</v>
      </c>
      <c r="AW6" s="0" t="n">
        <f aca="false">T6*($C6-T$2)</f>
        <v>0</v>
      </c>
      <c r="BJ6" s="0" t="n">
        <f aca="false">SUM(AG6:BI6)</f>
        <v>6240.00000000001</v>
      </c>
    </row>
    <row r="7" customFormat="false" ht="12.75" hidden="false" customHeight="false" outlineLevel="0" collapsed="false">
      <c r="A7" s="45" t="n">
        <v>36954</v>
      </c>
      <c r="B7" s="0" t="n">
        <f aca="false">B$2+B$3</f>
        <v>5.35</v>
      </c>
      <c r="C7" s="44" t="n">
        <f aca="false">GasDaily!C7</f>
        <v>3.835</v>
      </c>
      <c r="D7" s="26" t="n">
        <v>-20000</v>
      </c>
      <c r="E7" s="26" t="n">
        <v>5000</v>
      </c>
      <c r="F7" s="26" t="n">
        <v>5000</v>
      </c>
      <c r="G7" s="26" t="n">
        <v>8500</v>
      </c>
      <c r="H7" s="26" t="n">
        <v>10000</v>
      </c>
      <c r="I7" s="26" t="n">
        <v>5000</v>
      </c>
      <c r="J7" s="26" t="n">
        <v>10000</v>
      </c>
      <c r="K7" s="26" t="n">
        <v>10000</v>
      </c>
      <c r="L7" s="26" t="n">
        <v>-10000</v>
      </c>
      <c r="M7" s="26" t="n">
        <v>-10000</v>
      </c>
      <c r="N7" s="26" t="n">
        <v>-10000</v>
      </c>
      <c r="O7" s="26" t="n">
        <v>10000</v>
      </c>
      <c r="P7" s="26" t="n">
        <v>10000</v>
      </c>
      <c r="Q7" s="26" t="n">
        <v>-10000</v>
      </c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13" t="n">
        <f aca="false">SUM(D7:AB7)</f>
        <v>13500</v>
      </c>
      <c r="AF7" s="46"/>
      <c r="AG7" s="0" t="n">
        <f aca="false">D7*($C7-D$2)</f>
        <v>-1900</v>
      </c>
      <c r="AH7" s="0" t="n">
        <f aca="false">E7*($C7-E$2)</f>
        <v>825</v>
      </c>
      <c r="AI7" s="0" t="n">
        <f aca="false">F7*($C7-F$2)</f>
        <v>850</v>
      </c>
      <c r="AJ7" s="0" t="n">
        <f aca="false">G7*($C7-G$2)</f>
        <v>1615</v>
      </c>
      <c r="AK7" s="0" t="n">
        <f aca="false">H7*($C7-H$2)</f>
        <v>2100</v>
      </c>
      <c r="AL7" s="0" t="n">
        <f aca="false">I7*($C7-I$2)</f>
        <v>1050</v>
      </c>
      <c r="AM7" s="0" t="n">
        <f aca="false">J7*($C7-J$2)</f>
        <v>2000</v>
      </c>
      <c r="AN7" s="0" t="n">
        <f aca="false">K7*($C7-K$2)</f>
        <v>150.000000000001</v>
      </c>
      <c r="AO7" s="0" t="n">
        <f aca="false">L7*($C7-L$2)</f>
        <v>-249.999999999999</v>
      </c>
      <c r="AP7" s="0" t="n">
        <f aca="false">M7*($C7-M$2)</f>
        <v>-649.999999999999</v>
      </c>
      <c r="AQ7" s="0" t="n">
        <f aca="false">N7*($C7-N$2)</f>
        <v>-449.999999999999</v>
      </c>
      <c r="AR7" s="0" t="n">
        <f aca="false">O7*($C7-O$2)</f>
        <v>499.999999999998</v>
      </c>
      <c r="AS7" s="0" t="n">
        <f aca="false">P7*($C7-P$2)</f>
        <v>200</v>
      </c>
      <c r="AT7" s="0" t="n">
        <f aca="false">Q7*($C7-Q$2)</f>
        <v>200</v>
      </c>
      <c r="AU7" s="0" t="n">
        <f aca="false">R7*($C7-R$2)</f>
        <v>-0</v>
      </c>
      <c r="AV7" s="0" t="n">
        <f aca="false">S7*($C7-S$2)</f>
        <v>0</v>
      </c>
      <c r="AW7" s="0" t="n">
        <f aca="false">T7*($C7-T$2)</f>
        <v>0</v>
      </c>
      <c r="BJ7" s="0" t="n">
        <f aca="false">SUM(AG7:BI7)</f>
        <v>6240.00000000001</v>
      </c>
    </row>
    <row r="8" customFormat="false" ht="12.75" hidden="false" customHeight="false" outlineLevel="0" collapsed="false">
      <c r="A8" s="45" t="n">
        <v>36955</v>
      </c>
      <c r="B8" s="0" t="n">
        <f aca="false">B$2+B$3</f>
        <v>5.35</v>
      </c>
      <c r="C8" s="44" t="n">
        <f aca="false">GasDaily!C8</f>
        <v>3.835</v>
      </c>
      <c r="D8" s="26" t="n">
        <v>-20000</v>
      </c>
      <c r="E8" s="26" t="n">
        <v>5000</v>
      </c>
      <c r="F8" s="26" t="n">
        <v>5000</v>
      </c>
      <c r="G8" s="26" t="n">
        <v>8500</v>
      </c>
      <c r="H8" s="26" t="n">
        <v>10000</v>
      </c>
      <c r="I8" s="26" t="n">
        <v>5000</v>
      </c>
      <c r="J8" s="26" t="n">
        <v>10000</v>
      </c>
      <c r="K8" s="26" t="n">
        <v>10000</v>
      </c>
      <c r="L8" s="26" t="n">
        <v>-10000</v>
      </c>
      <c r="M8" s="26" t="n">
        <v>-10000</v>
      </c>
      <c r="N8" s="26" t="n">
        <v>-10000</v>
      </c>
      <c r="O8" s="26" t="n">
        <v>10000</v>
      </c>
      <c r="P8" s="26" t="n">
        <v>10000</v>
      </c>
      <c r="Q8" s="26" t="n">
        <v>-10000</v>
      </c>
      <c r="R8" s="26" t="n">
        <v>10000</v>
      </c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13" t="n">
        <f aca="false">SUM(D8:AB8)</f>
        <v>23500</v>
      </c>
      <c r="AF8" s="46"/>
      <c r="AG8" s="0" t="n">
        <f aca="false">D8*($C8-D$2)</f>
        <v>-1900</v>
      </c>
      <c r="AH8" s="0" t="n">
        <f aca="false">E8*($C8-E$2)</f>
        <v>825</v>
      </c>
      <c r="AI8" s="0" t="n">
        <f aca="false">F8*($C8-F$2)</f>
        <v>850</v>
      </c>
      <c r="AJ8" s="0" t="n">
        <f aca="false">G8*($C8-G$2)</f>
        <v>1615</v>
      </c>
      <c r="AK8" s="0" t="n">
        <f aca="false">H8*($C8-H$2)</f>
        <v>2100</v>
      </c>
      <c r="AL8" s="0" t="n">
        <f aca="false">I8*($C8-I$2)</f>
        <v>1050</v>
      </c>
      <c r="AM8" s="0" t="n">
        <f aca="false">J8*($C8-J$2)</f>
        <v>2000</v>
      </c>
      <c r="AN8" s="0" t="n">
        <f aca="false">K8*($C8-K$2)</f>
        <v>150.000000000001</v>
      </c>
      <c r="AO8" s="0" t="n">
        <f aca="false">L8*($C8-L$2)</f>
        <v>-249.999999999999</v>
      </c>
      <c r="AP8" s="0" t="n">
        <f aca="false">M8*($C8-M$2)</f>
        <v>-649.999999999999</v>
      </c>
      <c r="AQ8" s="0" t="n">
        <f aca="false">N8*($C8-N$2)</f>
        <v>-449.999999999999</v>
      </c>
      <c r="AR8" s="0" t="n">
        <f aca="false">O8*($C8-O$2)</f>
        <v>499.999999999998</v>
      </c>
      <c r="AS8" s="0" t="n">
        <f aca="false">P8*($C8-P$2)</f>
        <v>200</v>
      </c>
      <c r="AT8" s="0" t="n">
        <f aca="false">Q8*($C8-Q$2)</f>
        <v>200</v>
      </c>
      <c r="AU8" s="0" t="n">
        <f aca="false">R8*($C8-R$2)</f>
        <v>-300.000000000003</v>
      </c>
      <c r="AV8" s="0" t="n">
        <f aca="false">S8*($C8-S$2)</f>
        <v>0</v>
      </c>
      <c r="AW8" s="0" t="n">
        <f aca="false">T8*($C8-T$2)</f>
        <v>0</v>
      </c>
      <c r="AX8" s="0" t="n">
        <f aca="false">U8*($C8-U$2)</f>
        <v>0</v>
      </c>
      <c r="AY8" s="0" t="n">
        <f aca="false">V8*($C8-V$2)</f>
        <v>0</v>
      </c>
      <c r="AZ8" s="0" t="n">
        <f aca="false">W8*($C8-W$2)</f>
        <v>0</v>
      </c>
      <c r="BA8" s="0" t="n">
        <f aca="false">X8*($C8-X$2)</f>
        <v>0</v>
      </c>
      <c r="BB8" s="0" t="n">
        <f aca="false">Y8*($C8-Y$2)</f>
        <v>0</v>
      </c>
      <c r="BC8" s="0" t="n">
        <f aca="false">Z8*($C8-Z$2)</f>
        <v>0</v>
      </c>
      <c r="BD8" s="0" t="n">
        <f aca="false">AA8*($C8-AA$2)</f>
        <v>0</v>
      </c>
      <c r="BE8" s="0" t="n">
        <f aca="false">AB8*($C8-AB$2)</f>
        <v>0</v>
      </c>
      <c r="BF8" s="0" t="n">
        <f aca="false">AC8*($C8-AC$2)</f>
        <v>0</v>
      </c>
      <c r="BG8" s="0" t="n">
        <f aca="false">AD8*($C8-AD$2)</f>
        <v>0</v>
      </c>
      <c r="BJ8" s="0" t="n">
        <f aca="false">SUM(AG8:BI8)</f>
        <v>5940.00000000001</v>
      </c>
    </row>
    <row r="9" customFormat="false" ht="12.75" hidden="false" customHeight="false" outlineLevel="0" collapsed="false">
      <c r="A9" s="45" t="n">
        <v>36956</v>
      </c>
      <c r="B9" s="0" t="n">
        <f aca="false">B$2+B$3</f>
        <v>5.35</v>
      </c>
      <c r="C9" s="44" t="n">
        <f aca="false">GasDaily!C9</f>
        <v>3.835</v>
      </c>
      <c r="D9" s="26" t="n">
        <v>-20000</v>
      </c>
      <c r="E9" s="26" t="n">
        <v>5000</v>
      </c>
      <c r="F9" s="26" t="n">
        <v>5000</v>
      </c>
      <c r="G9" s="26" t="n">
        <v>8500</v>
      </c>
      <c r="H9" s="26" t="n">
        <v>10000</v>
      </c>
      <c r="I9" s="26" t="n">
        <v>5000</v>
      </c>
      <c r="J9" s="26" t="n">
        <v>10000</v>
      </c>
      <c r="K9" s="26" t="n">
        <v>10000</v>
      </c>
      <c r="L9" s="26" t="n">
        <v>-10000</v>
      </c>
      <c r="M9" s="26" t="n">
        <v>-10000</v>
      </c>
      <c r="N9" s="26" t="n">
        <v>-10000</v>
      </c>
      <c r="O9" s="26" t="n">
        <v>10000</v>
      </c>
      <c r="P9" s="26" t="n">
        <v>10000</v>
      </c>
      <c r="Q9" s="26" t="n">
        <v>-10000</v>
      </c>
      <c r="R9" s="26" t="n">
        <v>10000</v>
      </c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13" t="n">
        <f aca="false">SUM(D9:AB9)</f>
        <v>23500</v>
      </c>
      <c r="AF9" s="46"/>
      <c r="AG9" s="0" t="n">
        <f aca="false">D9*($C9-D$2)</f>
        <v>-1900</v>
      </c>
      <c r="AH9" s="0" t="n">
        <f aca="false">E9*($C9-E$2)</f>
        <v>825</v>
      </c>
      <c r="AI9" s="0" t="n">
        <f aca="false">F9*($C9-F$2)</f>
        <v>850</v>
      </c>
      <c r="AJ9" s="0" t="n">
        <f aca="false">G9*($C9-G$2)</f>
        <v>1615</v>
      </c>
      <c r="AK9" s="0" t="n">
        <f aca="false">H9*($C9-H$2)</f>
        <v>2100</v>
      </c>
      <c r="AL9" s="0" t="n">
        <f aca="false">I9*($C9-I$2)</f>
        <v>1050</v>
      </c>
      <c r="AM9" s="0" t="n">
        <f aca="false">J9*($C9-J$2)</f>
        <v>2000</v>
      </c>
      <c r="AN9" s="0" t="n">
        <f aca="false">K9*($C9-K$2)</f>
        <v>150.000000000001</v>
      </c>
      <c r="AO9" s="0" t="n">
        <f aca="false">L9*($C9-L$2)</f>
        <v>-249.999999999999</v>
      </c>
      <c r="AP9" s="0" t="n">
        <f aca="false">M9*($C9-M$2)</f>
        <v>-649.999999999999</v>
      </c>
      <c r="AQ9" s="0" t="n">
        <f aca="false">N9*($C9-N$2)</f>
        <v>-449.999999999999</v>
      </c>
      <c r="AR9" s="0" t="n">
        <f aca="false">O9*($C9-O$2)</f>
        <v>499.999999999998</v>
      </c>
      <c r="AS9" s="0" t="n">
        <f aca="false">P9*($C9-P$2)</f>
        <v>200</v>
      </c>
      <c r="AT9" s="0" t="n">
        <f aca="false">Q9*($C9-Q$2)</f>
        <v>200</v>
      </c>
      <c r="AU9" s="0" t="n">
        <f aca="false">R9*($C9-R$2)</f>
        <v>-300.000000000003</v>
      </c>
      <c r="AV9" s="0" t="n">
        <f aca="false">S9*($C9-S$2)</f>
        <v>0</v>
      </c>
      <c r="AW9" s="0" t="n">
        <f aca="false">T9*($C9-T$2)</f>
        <v>0</v>
      </c>
      <c r="AX9" s="0" t="n">
        <f aca="false">U9*($C9-U$2)</f>
        <v>0</v>
      </c>
      <c r="AY9" s="0" t="n">
        <f aca="false">V9*($C9-V$2)</f>
        <v>0</v>
      </c>
      <c r="AZ9" s="0" t="n">
        <f aca="false">W9*($C9-W$2)</f>
        <v>0</v>
      </c>
      <c r="BA9" s="0" t="n">
        <f aca="false">X9*($C9-X$2)</f>
        <v>0</v>
      </c>
      <c r="BB9" s="0" t="n">
        <f aca="false">Y9*($C9-Y$2)</f>
        <v>0</v>
      </c>
      <c r="BC9" s="0" t="n">
        <f aca="false">Z9*($C9-Z$2)</f>
        <v>0</v>
      </c>
      <c r="BD9" s="0" t="n">
        <f aca="false">AA9*($C9-AA$2)</f>
        <v>0</v>
      </c>
      <c r="BE9" s="0" t="n">
        <f aca="false">AB9*($C9-AB$2)</f>
        <v>0</v>
      </c>
      <c r="BF9" s="0" t="n">
        <f aca="false">AC9*($C9-AC$2)</f>
        <v>0</v>
      </c>
      <c r="BG9" s="0" t="n">
        <f aca="false">AD9*($C9-AD$2)</f>
        <v>0</v>
      </c>
      <c r="BJ9" s="0" t="n">
        <f aca="false">SUM(AG9:BI9)</f>
        <v>5940.00000000001</v>
      </c>
    </row>
    <row r="10" customFormat="false" ht="12.75" hidden="false" customHeight="false" outlineLevel="0" collapsed="false">
      <c r="A10" s="45" t="n">
        <v>36957</v>
      </c>
      <c r="B10" s="0" t="n">
        <f aca="false">B$2+B$3</f>
        <v>5.35</v>
      </c>
      <c r="C10" s="44" t="n">
        <f aca="false">GasDaily!C10</f>
        <v>3.835</v>
      </c>
      <c r="D10" s="26" t="n">
        <v>-20000</v>
      </c>
      <c r="E10" s="26" t="n">
        <v>5000</v>
      </c>
      <c r="F10" s="26" t="n">
        <v>5000</v>
      </c>
      <c r="G10" s="26" t="n">
        <v>8500</v>
      </c>
      <c r="H10" s="26" t="n">
        <v>10000</v>
      </c>
      <c r="I10" s="26" t="n">
        <v>5000</v>
      </c>
      <c r="J10" s="26" t="n">
        <v>10000</v>
      </c>
      <c r="K10" s="26" t="n">
        <v>10000</v>
      </c>
      <c r="L10" s="26" t="n">
        <v>-10000</v>
      </c>
      <c r="M10" s="26" t="n">
        <v>-10000</v>
      </c>
      <c r="N10" s="26" t="n">
        <v>-10000</v>
      </c>
      <c r="O10" s="26" t="n">
        <v>10000</v>
      </c>
      <c r="P10" s="26" t="n">
        <v>10000</v>
      </c>
      <c r="Q10" s="26" t="n">
        <v>-10000</v>
      </c>
      <c r="R10" s="26" t="n">
        <v>10000</v>
      </c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13" t="n">
        <f aca="false">SUM(D10:AB10)</f>
        <v>23500</v>
      </c>
      <c r="AF10" s="46"/>
      <c r="AG10" s="0" t="n">
        <f aca="false">D10*($C10-D$2)</f>
        <v>-1900</v>
      </c>
      <c r="AH10" s="0" t="n">
        <f aca="false">E10*($C10-E$2)</f>
        <v>825</v>
      </c>
      <c r="AI10" s="0" t="n">
        <f aca="false">F10*($C10-F$2)</f>
        <v>850</v>
      </c>
      <c r="AJ10" s="0" t="n">
        <f aca="false">G10*($C10-G$2)</f>
        <v>1615</v>
      </c>
      <c r="AK10" s="0" t="n">
        <f aca="false">H10*($C10-H$2)</f>
        <v>2100</v>
      </c>
      <c r="AL10" s="0" t="n">
        <f aca="false">I10*($C10-I$2)</f>
        <v>1050</v>
      </c>
      <c r="AM10" s="0" t="n">
        <f aca="false">J10*($C10-J$2)</f>
        <v>2000</v>
      </c>
      <c r="AN10" s="0" t="n">
        <f aca="false">K10*($C10-K$2)</f>
        <v>150.000000000001</v>
      </c>
      <c r="AO10" s="0" t="n">
        <f aca="false">L10*($C10-L$2)</f>
        <v>-249.999999999999</v>
      </c>
      <c r="AP10" s="0" t="n">
        <f aca="false">M10*($C10-M$2)</f>
        <v>-649.999999999999</v>
      </c>
      <c r="AQ10" s="0" t="n">
        <f aca="false">N10*($C10-N$2)</f>
        <v>-449.999999999999</v>
      </c>
      <c r="AR10" s="0" t="n">
        <f aca="false">O10*($C10-O$2)</f>
        <v>499.999999999998</v>
      </c>
      <c r="AS10" s="0" t="n">
        <f aca="false">P10*($C10-P$2)</f>
        <v>200</v>
      </c>
      <c r="AT10" s="0" t="n">
        <f aca="false">Q10*($C10-Q$2)</f>
        <v>200</v>
      </c>
      <c r="AU10" s="0" t="n">
        <f aca="false">R10*($C10-R$2)</f>
        <v>-300.000000000003</v>
      </c>
      <c r="AV10" s="0" t="n">
        <f aca="false">S10*($C10-S$2)</f>
        <v>0</v>
      </c>
      <c r="AW10" s="0" t="n">
        <f aca="false">T10*($C10-T$2)</f>
        <v>0</v>
      </c>
      <c r="AX10" s="0" t="n">
        <f aca="false">U10*($C10-U$2)</f>
        <v>0</v>
      </c>
      <c r="AY10" s="0" t="n">
        <f aca="false">V10*($C10-V$2)</f>
        <v>0</v>
      </c>
      <c r="AZ10" s="0" t="n">
        <f aca="false">W10*($C10-W$2)</f>
        <v>0</v>
      </c>
      <c r="BA10" s="0" t="n">
        <f aca="false">X10*($C10-X$2)</f>
        <v>0</v>
      </c>
      <c r="BB10" s="0" t="n">
        <f aca="false">Y10*($C10-Y$2)</f>
        <v>0</v>
      </c>
      <c r="BC10" s="0" t="n">
        <f aca="false">Z10*($C10-Z$2)</f>
        <v>0</v>
      </c>
      <c r="BD10" s="0" t="n">
        <f aca="false">AA10*($C10-AA$2)</f>
        <v>0</v>
      </c>
      <c r="BE10" s="0" t="n">
        <f aca="false">AB10*($C10-AB$2)</f>
        <v>0</v>
      </c>
      <c r="BF10" s="0" t="n">
        <f aca="false">AC10*($C10-AC$2)</f>
        <v>0</v>
      </c>
      <c r="BG10" s="0" t="n">
        <f aca="false">AD10*($C10-AD$2)</f>
        <v>0</v>
      </c>
      <c r="BJ10" s="0" t="n">
        <f aca="false">SUM(AG10:BI10)</f>
        <v>5940.00000000001</v>
      </c>
    </row>
    <row r="11" customFormat="false" ht="12.75" hidden="false" customHeight="false" outlineLevel="0" collapsed="false">
      <c r="A11" s="45" t="n">
        <v>36958</v>
      </c>
      <c r="B11" s="0" t="n">
        <f aca="false">B$2+B$3</f>
        <v>5.35</v>
      </c>
      <c r="C11" s="44" t="n">
        <f aca="false">GasDaily!C11</f>
        <v>3.835</v>
      </c>
      <c r="D11" s="26" t="n">
        <v>-20000</v>
      </c>
      <c r="E11" s="26" t="n">
        <v>5000</v>
      </c>
      <c r="F11" s="26" t="n">
        <v>5000</v>
      </c>
      <c r="G11" s="26" t="n">
        <v>8500</v>
      </c>
      <c r="H11" s="26" t="n">
        <v>10000</v>
      </c>
      <c r="I11" s="26" t="n">
        <v>5000</v>
      </c>
      <c r="J11" s="26" t="n">
        <v>10000</v>
      </c>
      <c r="K11" s="26" t="n">
        <v>10000</v>
      </c>
      <c r="L11" s="26" t="n">
        <v>-10000</v>
      </c>
      <c r="M11" s="26" t="n">
        <v>-10000</v>
      </c>
      <c r="N11" s="26" t="n">
        <v>-10000</v>
      </c>
      <c r="O11" s="26" t="n">
        <v>10000</v>
      </c>
      <c r="P11" s="26" t="n">
        <v>10000</v>
      </c>
      <c r="Q11" s="26" t="n">
        <v>-10000</v>
      </c>
      <c r="R11" s="26" t="n">
        <v>10000</v>
      </c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13" t="n">
        <f aca="false">SUM(D11:AB11)</f>
        <v>23500</v>
      </c>
      <c r="AF11" s="46"/>
      <c r="AG11" s="0" t="n">
        <f aca="false">D11*($C11-D$2)</f>
        <v>-1900</v>
      </c>
      <c r="AH11" s="0" t="n">
        <f aca="false">E11*($C11-E$2)</f>
        <v>825</v>
      </c>
      <c r="AI11" s="0" t="n">
        <f aca="false">F11*($C11-F$2)</f>
        <v>850</v>
      </c>
      <c r="AJ11" s="0" t="n">
        <f aca="false">G11*($C11-G$2)</f>
        <v>1615</v>
      </c>
      <c r="AK11" s="0" t="n">
        <f aca="false">H11*($C11-H$2)</f>
        <v>2100</v>
      </c>
      <c r="AL11" s="0" t="n">
        <f aca="false">I11*($C11-I$2)</f>
        <v>1050</v>
      </c>
      <c r="AM11" s="0" t="n">
        <f aca="false">J11*($C11-J$2)</f>
        <v>2000</v>
      </c>
      <c r="AN11" s="0" t="n">
        <f aca="false">K11*($C11-K$2)</f>
        <v>150.000000000001</v>
      </c>
      <c r="AO11" s="0" t="n">
        <f aca="false">L11*($C11-L$2)</f>
        <v>-249.999999999999</v>
      </c>
      <c r="AP11" s="0" t="n">
        <f aca="false">M11*($C11-M$2)</f>
        <v>-649.999999999999</v>
      </c>
      <c r="AQ11" s="0" t="n">
        <f aca="false">N11*($C11-N$2)</f>
        <v>-449.999999999999</v>
      </c>
      <c r="AR11" s="0" t="n">
        <f aca="false">O11*($C11-O$2)</f>
        <v>499.999999999998</v>
      </c>
      <c r="AS11" s="0" t="n">
        <f aca="false">P11*($C11-P$2)</f>
        <v>200</v>
      </c>
      <c r="AT11" s="0" t="n">
        <f aca="false">Q11*($C11-Q$2)</f>
        <v>200</v>
      </c>
      <c r="AU11" s="0" t="n">
        <f aca="false">R11*($C11-R$2)</f>
        <v>-300.000000000003</v>
      </c>
      <c r="AV11" s="0" t="n">
        <f aca="false">S11*($C11-S$2)</f>
        <v>0</v>
      </c>
      <c r="AW11" s="0" t="n">
        <f aca="false">T11*($C11-T$2)</f>
        <v>0</v>
      </c>
      <c r="AX11" s="0" t="n">
        <f aca="false">U11*($C11-U$2)</f>
        <v>0</v>
      </c>
      <c r="AY11" s="0" t="n">
        <f aca="false">V11*($C11-V$2)</f>
        <v>0</v>
      </c>
      <c r="AZ11" s="0" t="n">
        <f aca="false">W11*($C11-W$2)</f>
        <v>0</v>
      </c>
      <c r="BA11" s="0" t="n">
        <f aca="false">X11*($C11-X$2)</f>
        <v>0</v>
      </c>
      <c r="BB11" s="0" t="n">
        <f aca="false">Y11*($C11-Y$2)</f>
        <v>0</v>
      </c>
      <c r="BC11" s="0" t="n">
        <f aca="false">Z11*($C11-Z$2)</f>
        <v>0</v>
      </c>
      <c r="BD11" s="0" t="n">
        <f aca="false">AA11*($C11-AA$2)</f>
        <v>0</v>
      </c>
      <c r="BE11" s="0" t="n">
        <f aca="false">AB11*($C11-AB$2)</f>
        <v>0</v>
      </c>
      <c r="BF11" s="0" t="n">
        <f aca="false">AC11*($C11-AC$2)</f>
        <v>0</v>
      </c>
      <c r="BG11" s="0" t="n">
        <f aca="false">AD11*($C11-AD$2)</f>
        <v>0</v>
      </c>
      <c r="BJ11" s="0" t="n">
        <f aca="false">SUM(AG11:BI11)</f>
        <v>5940.00000000001</v>
      </c>
    </row>
    <row r="12" customFormat="false" ht="12.75" hidden="false" customHeight="false" outlineLevel="0" collapsed="false">
      <c r="A12" s="45" t="n">
        <v>36959</v>
      </c>
      <c r="B12" s="0" t="n">
        <f aca="false">B$2+B$3</f>
        <v>5.35</v>
      </c>
      <c r="C12" s="44" t="n">
        <f aca="false">GasDaily!C12</f>
        <v>3.835</v>
      </c>
      <c r="D12" s="26" t="n">
        <v>-20000</v>
      </c>
      <c r="E12" s="26" t="n">
        <v>5000</v>
      </c>
      <c r="F12" s="26" t="n">
        <v>5000</v>
      </c>
      <c r="G12" s="26" t="n">
        <v>8500</v>
      </c>
      <c r="H12" s="26" t="n">
        <v>10000</v>
      </c>
      <c r="I12" s="26" t="n">
        <v>5000</v>
      </c>
      <c r="J12" s="26" t="n">
        <v>10000</v>
      </c>
      <c r="K12" s="26" t="n">
        <v>10000</v>
      </c>
      <c r="L12" s="26" t="n">
        <v>-10000</v>
      </c>
      <c r="M12" s="26" t="n">
        <v>-10000</v>
      </c>
      <c r="N12" s="26" t="n">
        <v>-10000</v>
      </c>
      <c r="O12" s="26" t="n">
        <v>10000</v>
      </c>
      <c r="P12" s="26" t="n">
        <v>10000</v>
      </c>
      <c r="Q12" s="26" t="n">
        <v>-10000</v>
      </c>
      <c r="R12" s="26" t="n">
        <v>10000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13" t="n">
        <f aca="false">SUM(D12:AB12)</f>
        <v>23500</v>
      </c>
      <c r="AF12" s="46"/>
      <c r="AG12" s="0" t="n">
        <f aca="false">D12*($C12-D$2)</f>
        <v>-1900</v>
      </c>
      <c r="AH12" s="0" t="n">
        <f aca="false">E12*($C12-E$2)</f>
        <v>825</v>
      </c>
      <c r="AI12" s="0" t="n">
        <f aca="false">F12*($C12-F$2)</f>
        <v>850</v>
      </c>
      <c r="AJ12" s="0" t="n">
        <f aca="false">G12*($C12-G$2)</f>
        <v>1615</v>
      </c>
      <c r="AK12" s="0" t="n">
        <f aca="false">H12*($C12-H$2)</f>
        <v>2100</v>
      </c>
      <c r="AL12" s="0" t="n">
        <f aca="false">I12*($C12-I$2)</f>
        <v>1050</v>
      </c>
      <c r="AM12" s="0" t="n">
        <f aca="false">J12*($C12-J$2)</f>
        <v>2000</v>
      </c>
      <c r="AN12" s="0" t="n">
        <f aca="false">K12*($C12-K$2)</f>
        <v>150.000000000001</v>
      </c>
      <c r="AO12" s="0" t="n">
        <f aca="false">L12*($C12-L$2)</f>
        <v>-249.999999999999</v>
      </c>
      <c r="AP12" s="0" t="n">
        <f aca="false">M12*($C12-M$2)</f>
        <v>-649.999999999999</v>
      </c>
      <c r="AQ12" s="0" t="n">
        <f aca="false">N12*($C12-N$2)</f>
        <v>-449.999999999999</v>
      </c>
      <c r="AR12" s="0" t="n">
        <f aca="false">O12*($C12-O$2)</f>
        <v>499.999999999998</v>
      </c>
      <c r="AS12" s="0" t="n">
        <f aca="false">P12*($C12-P$2)</f>
        <v>200</v>
      </c>
      <c r="AT12" s="0" t="n">
        <f aca="false">Q12*($C12-Q$2)</f>
        <v>200</v>
      </c>
      <c r="AU12" s="0" t="n">
        <f aca="false">R12*($C12-R$2)</f>
        <v>-300.000000000003</v>
      </c>
      <c r="AV12" s="0" t="n">
        <f aca="false">S12*($C12-S$2)</f>
        <v>0</v>
      </c>
      <c r="AW12" s="0" t="n">
        <f aca="false">T12*($C12-T$2)</f>
        <v>0</v>
      </c>
      <c r="AX12" s="0" t="n">
        <f aca="false">U12*($C12-U$2)</f>
        <v>0</v>
      </c>
      <c r="AY12" s="0" t="n">
        <f aca="false">V12*($C12-V$2)</f>
        <v>0</v>
      </c>
      <c r="AZ12" s="0" t="n">
        <f aca="false">W12*($C12-W$2)</f>
        <v>0</v>
      </c>
      <c r="BA12" s="0" t="n">
        <f aca="false">X12*($C12-X$2)</f>
        <v>0</v>
      </c>
      <c r="BB12" s="0" t="n">
        <f aca="false">Y12*($C12-Y$2)</f>
        <v>0</v>
      </c>
      <c r="BC12" s="0" t="n">
        <f aca="false">Z12*($C12-Z$2)</f>
        <v>0</v>
      </c>
      <c r="BD12" s="0" t="n">
        <f aca="false">AA12*($C12-AA$2)</f>
        <v>0</v>
      </c>
      <c r="BE12" s="0" t="n">
        <f aca="false">AB12*($C12-AB$2)</f>
        <v>0</v>
      </c>
      <c r="BF12" s="0" t="n">
        <f aca="false">AC12*($C12-AC$2)</f>
        <v>0</v>
      </c>
      <c r="BG12" s="0" t="n">
        <f aca="false">AD12*($C12-AD$2)</f>
        <v>0</v>
      </c>
      <c r="BJ12" s="0" t="n">
        <f aca="false">SUM(AG12:BI12)</f>
        <v>5940.00000000001</v>
      </c>
    </row>
    <row r="13" customFormat="false" ht="12.75" hidden="false" customHeight="false" outlineLevel="0" collapsed="false">
      <c r="A13" s="45" t="n">
        <v>36960</v>
      </c>
      <c r="B13" s="0" t="n">
        <f aca="false">B$2+B$3</f>
        <v>5.35</v>
      </c>
      <c r="C13" s="44" t="n">
        <f aca="false">GasDaily!C13</f>
        <v>3.835</v>
      </c>
      <c r="D13" s="26" t="n">
        <v>-20000</v>
      </c>
      <c r="E13" s="26" t="n">
        <v>5000</v>
      </c>
      <c r="F13" s="26" t="n">
        <v>5000</v>
      </c>
      <c r="G13" s="26" t="n">
        <v>8500</v>
      </c>
      <c r="H13" s="26" t="n">
        <v>10000</v>
      </c>
      <c r="I13" s="26" t="n">
        <v>5000</v>
      </c>
      <c r="J13" s="26" t="n">
        <v>10000</v>
      </c>
      <c r="K13" s="26" t="n">
        <v>10000</v>
      </c>
      <c r="L13" s="26" t="n">
        <v>-10000</v>
      </c>
      <c r="M13" s="26" t="n">
        <v>-10000</v>
      </c>
      <c r="N13" s="26" t="n">
        <v>-10000</v>
      </c>
      <c r="O13" s="26" t="n">
        <v>10000</v>
      </c>
      <c r="P13" s="26" t="n">
        <v>10000</v>
      </c>
      <c r="Q13" s="26" t="n">
        <v>-10000</v>
      </c>
      <c r="R13" s="26" t="n">
        <v>10000</v>
      </c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13" t="n">
        <f aca="false">SUM(D13:AB13)</f>
        <v>23500</v>
      </c>
      <c r="AF13" s="46"/>
      <c r="AG13" s="0" t="n">
        <f aca="false">D13*($C13-D$2)</f>
        <v>-1900</v>
      </c>
      <c r="AH13" s="0" t="n">
        <f aca="false">E13*($C13-E$2)</f>
        <v>825</v>
      </c>
      <c r="AI13" s="0" t="n">
        <f aca="false">F13*($C13-F$2)</f>
        <v>850</v>
      </c>
      <c r="AJ13" s="0" t="n">
        <f aca="false">G13*($C13-G$2)</f>
        <v>1615</v>
      </c>
      <c r="AK13" s="0" t="n">
        <f aca="false">H13*($C13-H$2)</f>
        <v>2100</v>
      </c>
      <c r="AL13" s="0" t="n">
        <f aca="false">I13*($C13-I$2)</f>
        <v>1050</v>
      </c>
      <c r="AM13" s="0" t="n">
        <f aca="false">J13*($C13-J$2)</f>
        <v>2000</v>
      </c>
      <c r="AN13" s="0" t="n">
        <f aca="false">K13*($C13-K$2)</f>
        <v>150.000000000001</v>
      </c>
      <c r="AO13" s="0" t="n">
        <f aca="false">L13*($C13-L$2)</f>
        <v>-249.999999999999</v>
      </c>
      <c r="AP13" s="0" t="n">
        <f aca="false">M13*($C13-M$2)</f>
        <v>-649.999999999999</v>
      </c>
      <c r="AQ13" s="0" t="n">
        <f aca="false">N13*($C13-N$2)</f>
        <v>-449.999999999999</v>
      </c>
      <c r="AR13" s="0" t="n">
        <f aca="false">O13*($C13-O$2)</f>
        <v>499.999999999998</v>
      </c>
      <c r="AS13" s="0" t="n">
        <f aca="false">P13*($C13-P$2)</f>
        <v>200</v>
      </c>
      <c r="AT13" s="0" t="n">
        <f aca="false">Q13*($C13-Q$2)</f>
        <v>200</v>
      </c>
      <c r="AU13" s="0" t="n">
        <f aca="false">R13*($C13-R$2)</f>
        <v>-300.000000000003</v>
      </c>
      <c r="AV13" s="0" t="n">
        <f aca="false">S13*($C13-S$2)</f>
        <v>0</v>
      </c>
      <c r="AW13" s="0" t="n">
        <f aca="false">T13*($C13-T$2)</f>
        <v>0</v>
      </c>
      <c r="AX13" s="0" t="n">
        <f aca="false">U13*($C13-U$2)</f>
        <v>0</v>
      </c>
      <c r="AY13" s="0" t="n">
        <f aca="false">V13*($C13-V$2)</f>
        <v>0</v>
      </c>
      <c r="AZ13" s="0" t="n">
        <f aca="false">W13*($C13-W$2)</f>
        <v>0</v>
      </c>
      <c r="BA13" s="0" t="n">
        <f aca="false">X13*($C13-X$2)</f>
        <v>0</v>
      </c>
      <c r="BB13" s="0" t="n">
        <f aca="false">Y13*($C13-Y$2)</f>
        <v>0</v>
      </c>
      <c r="BC13" s="0" t="n">
        <f aca="false">Z13*($C13-Z$2)</f>
        <v>0</v>
      </c>
      <c r="BD13" s="0" t="n">
        <f aca="false">AA13*($C13-AA$2)</f>
        <v>0</v>
      </c>
      <c r="BE13" s="0" t="n">
        <f aca="false">AB13*($C13-AB$2)</f>
        <v>0</v>
      </c>
      <c r="BF13" s="0" t="n">
        <f aca="false">AC13*($C13-AC$2)</f>
        <v>0</v>
      </c>
      <c r="BG13" s="0" t="n">
        <f aca="false">AD13*($C13-AD$2)</f>
        <v>0</v>
      </c>
      <c r="BJ13" s="0" t="n">
        <f aca="false">SUM(AG13:BI13)</f>
        <v>5940.00000000001</v>
      </c>
    </row>
    <row r="14" customFormat="false" ht="12.75" hidden="false" customHeight="false" outlineLevel="0" collapsed="false">
      <c r="A14" s="45" t="n">
        <v>36961</v>
      </c>
      <c r="B14" s="0" t="n">
        <f aca="false">B$2+B$3</f>
        <v>5.35</v>
      </c>
      <c r="C14" s="44" t="n">
        <f aca="false">GasDaily!C14</f>
        <v>3.835</v>
      </c>
      <c r="D14" s="26" t="n">
        <v>-20000</v>
      </c>
      <c r="E14" s="26" t="n">
        <v>5000</v>
      </c>
      <c r="F14" s="26" t="n">
        <v>5000</v>
      </c>
      <c r="G14" s="26" t="n">
        <v>8500</v>
      </c>
      <c r="H14" s="26" t="n">
        <v>10000</v>
      </c>
      <c r="I14" s="26" t="n">
        <v>5000</v>
      </c>
      <c r="J14" s="26" t="n">
        <v>10000</v>
      </c>
      <c r="K14" s="26" t="n">
        <v>10000</v>
      </c>
      <c r="L14" s="26" t="n">
        <v>-10000</v>
      </c>
      <c r="M14" s="26" t="n">
        <v>-10000</v>
      </c>
      <c r="N14" s="26" t="n">
        <v>-10000</v>
      </c>
      <c r="O14" s="26" t="n">
        <v>10000</v>
      </c>
      <c r="P14" s="26" t="n">
        <v>10000</v>
      </c>
      <c r="Q14" s="26" t="n">
        <v>-10000</v>
      </c>
      <c r="R14" s="26" t="n">
        <v>10000</v>
      </c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13" t="n">
        <f aca="false">SUM(D14:AB14)</f>
        <v>23500</v>
      </c>
      <c r="AF14" s="46"/>
      <c r="AG14" s="0" t="n">
        <f aca="false">D14*($C14-D$2)</f>
        <v>-1900</v>
      </c>
      <c r="AH14" s="0" t="n">
        <f aca="false">E14*($C14-E$2)</f>
        <v>825</v>
      </c>
      <c r="AI14" s="0" t="n">
        <f aca="false">F14*($C14-F$2)</f>
        <v>850</v>
      </c>
      <c r="AJ14" s="0" t="n">
        <f aca="false">G14*($C14-G$2)</f>
        <v>1615</v>
      </c>
      <c r="AK14" s="0" t="n">
        <f aca="false">H14*($C14-H$2)</f>
        <v>2100</v>
      </c>
      <c r="AL14" s="0" t="n">
        <f aca="false">I14*($C14-I$2)</f>
        <v>1050</v>
      </c>
      <c r="AM14" s="0" t="n">
        <f aca="false">J14*($C14-J$2)</f>
        <v>2000</v>
      </c>
      <c r="AN14" s="0" t="n">
        <f aca="false">K14*($C14-K$2)</f>
        <v>150.000000000001</v>
      </c>
      <c r="AO14" s="0" t="n">
        <f aca="false">L14*($C14-L$2)</f>
        <v>-249.999999999999</v>
      </c>
      <c r="AP14" s="0" t="n">
        <f aca="false">M14*($C14-M$2)</f>
        <v>-649.999999999999</v>
      </c>
      <c r="AQ14" s="0" t="n">
        <f aca="false">N14*($C14-N$2)</f>
        <v>-449.999999999999</v>
      </c>
      <c r="AR14" s="0" t="n">
        <f aca="false">O14*($C14-O$2)</f>
        <v>499.999999999998</v>
      </c>
      <c r="AS14" s="0" t="n">
        <f aca="false">P14*($C14-P$2)</f>
        <v>200</v>
      </c>
      <c r="AT14" s="0" t="n">
        <f aca="false">Q14*($C14-Q$2)</f>
        <v>200</v>
      </c>
      <c r="AU14" s="0" t="n">
        <f aca="false">R14*($C14-R$2)</f>
        <v>-300.000000000003</v>
      </c>
      <c r="AV14" s="0" t="n">
        <f aca="false">S14*($C14-S$2)</f>
        <v>0</v>
      </c>
      <c r="AW14" s="0" t="n">
        <f aca="false">T14*($C14-T$2)</f>
        <v>0</v>
      </c>
      <c r="AX14" s="0" t="n">
        <f aca="false">U14*($C14-U$2)</f>
        <v>0</v>
      </c>
      <c r="AY14" s="0" t="n">
        <f aca="false">V14*($C14-V$2)</f>
        <v>0</v>
      </c>
      <c r="AZ14" s="0" t="n">
        <f aca="false">W14*($C14-W$2)</f>
        <v>0</v>
      </c>
      <c r="BA14" s="0" t="n">
        <f aca="false">X14*($C14-X$2)</f>
        <v>0</v>
      </c>
      <c r="BB14" s="0" t="n">
        <f aca="false">Y14*($C14-Y$2)</f>
        <v>0</v>
      </c>
      <c r="BC14" s="0" t="n">
        <f aca="false">Z14*($C14-Z$2)</f>
        <v>0</v>
      </c>
      <c r="BD14" s="0" t="n">
        <f aca="false">AA14*($C14-AA$2)</f>
        <v>0</v>
      </c>
      <c r="BE14" s="0" t="n">
        <f aca="false">AB14*($C14-AB$2)</f>
        <v>0</v>
      </c>
      <c r="BF14" s="0" t="n">
        <f aca="false">AC14*($C14-AC$2)</f>
        <v>0</v>
      </c>
      <c r="BG14" s="0" t="n">
        <f aca="false">AD14*($C14-AD$2)</f>
        <v>0</v>
      </c>
      <c r="BJ14" s="0" t="n">
        <f aca="false">SUM(AG14:BI14)</f>
        <v>5940.00000000001</v>
      </c>
    </row>
    <row r="15" customFormat="false" ht="12.75" hidden="false" customHeight="false" outlineLevel="0" collapsed="false">
      <c r="A15" s="45" t="n">
        <v>36962</v>
      </c>
      <c r="B15" s="0" t="n">
        <f aca="false">B$2+B$3</f>
        <v>5.35</v>
      </c>
      <c r="C15" s="44" t="n">
        <f aca="false">GasDaily!C15</f>
        <v>3.835</v>
      </c>
      <c r="D15" s="26" t="n">
        <v>-20000</v>
      </c>
      <c r="E15" s="26" t="n">
        <v>5000</v>
      </c>
      <c r="F15" s="26" t="n">
        <v>5000</v>
      </c>
      <c r="G15" s="26" t="n">
        <v>8500</v>
      </c>
      <c r="H15" s="26" t="n">
        <v>10000</v>
      </c>
      <c r="I15" s="26" t="n">
        <v>5000</v>
      </c>
      <c r="J15" s="26" t="n">
        <v>10000</v>
      </c>
      <c r="K15" s="26" t="n">
        <v>10000</v>
      </c>
      <c r="L15" s="26" t="n">
        <v>-10000</v>
      </c>
      <c r="M15" s="26" t="n">
        <v>-10000</v>
      </c>
      <c r="N15" s="26" t="n">
        <v>-10000</v>
      </c>
      <c r="O15" s="26" t="n">
        <v>10000</v>
      </c>
      <c r="P15" s="26" t="n">
        <v>10000</v>
      </c>
      <c r="Q15" s="26" t="n">
        <v>-10000</v>
      </c>
      <c r="R15" s="26" t="n">
        <v>10000</v>
      </c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13" t="n">
        <f aca="false">SUM(D15:AB15)</f>
        <v>23500</v>
      </c>
      <c r="AF15" s="46"/>
      <c r="AG15" s="0" t="n">
        <f aca="false">D15*($C15-D$2)</f>
        <v>-1900</v>
      </c>
      <c r="AH15" s="0" t="n">
        <f aca="false">E15*($C15-E$2)</f>
        <v>825</v>
      </c>
      <c r="AI15" s="0" t="n">
        <f aca="false">F15*($C15-F$2)</f>
        <v>850</v>
      </c>
      <c r="AJ15" s="0" t="n">
        <f aca="false">G15*($C15-G$2)</f>
        <v>1615</v>
      </c>
      <c r="AK15" s="0" t="n">
        <f aca="false">H15*($C15-H$2)</f>
        <v>2100</v>
      </c>
      <c r="AL15" s="0" t="n">
        <f aca="false">I15*($C15-I$2)</f>
        <v>1050</v>
      </c>
      <c r="AM15" s="0" t="n">
        <f aca="false">J15*($C15-J$2)</f>
        <v>2000</v>
      </c>
      <c r="AN15" s="0" t="n">
        <f aca="false">K15*($C15-K$2)</f>
        <v>150.000000000001</v>
      </c>
      <c r="AO15" s="0" t="n">
        <f aca="false">L15*($C15-L$2)</f>
        <v>-249.999999999999</v>
      </c>
      <c r="AP15" s="0" t="n">
        <f aca="false">M15*($C15-M$2)</f>
        <v>-649.999999999999</v>
      </c>
      <c r="AQ15" s="0" t="n">
        <f aca="false">N15*($C15-N$2)</f>
        <v>-449.999999999999</v>
      </c>
      <c r="AR15" s="0" t="n">
        <f aca="false">O15*($C15-O$2)</f>
        <v>499.999999999998</v>
      </c>
      <c r="AS15" s="0" t="n">
        <f aca="false">P15*($C15-P$2)</f>
        <v>200</v>
      </c>
      <c r="AT15" s="0" t="n">
        <f aca="false">Q15*($C15-Q$2)</f>
        <v>200</v>
      </c>
      <c r="AU15" s="0" t="n">
        <f aca="false">R15*($C15-R$2)</f>
        <v>-300.000000000003</v>
      </c>
      <c r="AV15" s="0" t="n">
        <f aca="false">S15*($C15-S$2)</f>
        <v>0</v>
      </c>
      <c r="AW15" s="0" t="n">
        <f aca="false">T15*($C15-T$2)</f>
        <v>0</v>
      </c>
      <c r="AX15" s="0" t="n">
        <f aca="false">U15*($C15-U$2)</f>
        <v>0</v>
      </c>
      <c r="AY15" s="0" t="n">
        <f aca="false">V15*($C15-V$2)</f>
        <v>0</v>
      </c>
      <c r="AZ15" s="0" t="n">
        <f aca="false">W15*($C15-W$2)</f>
        <v>0</v>
      </c>
      <c r="BA15" s="0" t="n">
        <f aca="false">X15*($C15-X$2)</f>
        <v>0</v>
      </c>
      <c r="BB15" s="0" t="n">
        <f aca="false">Y15*($C15-Y$2)</f>
        <v>0</v>
      </c>
      <c r="BC15" s="0" t="n">
        <f aca="false">Z15*($C15-Z$2)</f>
        <v>0</v>
      </c>
      <c r="BD15" s="0" t="n">
        <f aca="false">AA15*($C15-AA$2)</f>
        <v>0</v>
      </c>
      <c r="BE15" s="0" t="n">
        <f aca="false">AB15*($C15-AB$2)</f>
        <v>0</v>
      </c>
      <c r="BF15" s="0" t="n">
        <f aca="false">AC15*($C15-AC$2)</f>
        <v>0</v>
      </c>
      <c r="BG15" s="0" t="n">
        <f aca="false">AD15*($C15-AD$2)</f>
        <v>0</v>
      </c>
      <c r="BJ15" s="0" t="n">
        <f aca="false">SUM(AG15:BI15)</f>
        <v>5940.00000000001</v>
      </c>
    </row>
    <row r="16" customFormat="false" ht="12.75" hidden="false" customHeight="false" outlineLevel="0" collapsed="false">
      <c r="A16" s="45" t="n">
        <v>36963</v>
      </c>
      <c r="B16" s="0" t="n">
        <f aca="false">B$2+B$3</f>
        <v>5.35</v>
      </c>
      <c r="C16" s="44" t="n">
        <f aca="false">GasDaily!C16</f>
        <v>3.835</v>
      </c>
      <c r="D16" s="26" t="n">
        <v>-20000</v>
      </c>
      <c r="E16" s="26" t="n">
        <v>5000</v>
      </c>
      <c r="F16" s="26" t="n">
        <v>5000</v>
      </c>
      <c r="G16" s="26" t="n">
        <v>8500</v>
      </c>
      <c r="H16" s="26" t="n">
        <v>10000</v>
      </c>
      <c r="I16" s="26" t="n">
        <v>5000</v>
      </c>
      <c r="J16" s="26" t="n">
        <v>10000</v>
      </c>
      <c r="K16" s="26" t="n">
        <v>10000</v>
      </c>
      <c r="L16" s="26" t="n">
        <v>-10000</v>
      </c>
      <c r="M16" s="26" t="n">
        <v>-10000</v>
      </c>
      <c r="N16" s="26" t="n">
        <v>-10000</v>
      </c>
      <c r="O16" s="26" t="n">
        <v>10000</v>
      </c>
      <c r="P16" s="26" t="n">
        <v>10000</v>
      </c>
      <c r="Q16" s="26" t="n">
        <v>-10000</v>
      </c>
      <c r="R16" s="26" t="n">
        <v>10000</v>
      </c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13" t="n">
        <f aca="false">SUM(D16:AB16)</f>
        <v>23500</v>
      </c>
      <c r="AF16" s="46"/>
      <c r="AG16" s="0" t="n">
        <f aca="false">D16*($C16-D$2)</f>
        <v>-1900</v>
      </c>
      <c r="AH16" s="0" t="n">
        <f aca="false">E16*($C16-E$2)</f>
        <v>825</v>
      </c>
      <c r="AI16" s="0" t="n">
        <f aca="false">F16*($C16-F$2)</f>
        <v>850</v>
      </c>
      <c r="AJ16" s="0" t="n">
        <f aca="false">G16*($C16-G$2)</f>
        <v>1615</v>
      </c>
      <c r="AK16" s="0" t="n">
        <f aca="false">H16*($C16-H$2)</f>
        <v>2100</v>
      </c>
      <c r="AL16" s="0" t="n">
        <f aca="false">I16*($C16-I$2)</f>
        <v>1050</v>
      </c>
      <c r="AM16" s="0" t="n">
        <f aca="false">J16*($C16-J$2)</f>
        <v>2000</v>
      </c>
      <c r="AN16" s="0" t="n">
        <f aca="false">K16*($C16-K$2)</f>
        <v>150.000000000001</v>
      </c>
      <c r="AO16" s="0" t="n">
        <f aca="false">L16*($C16-L$2)</f>
        <v>-249.999999999999</v>
      </c>
      <c r="AP16" s="0" t="n">
        <f aca="false">M16*($C16-M$2)</f>
        <v>-649.999999999999</v>
      </c>
      <c r="AQ16" s="0" t="n">
        <f aca="false">N16*($C16-N$2)</f>
        <v>-449.999999999999</v>
      </c>
      <c r="AR16" s="0" t="n">
        <f aca="false">O16*($C16-O$2)</f>
        <v>499.999999999998</v>
      </c>
      <c r="AS16" s="0" t="n">
        <f aca="false">P16*($C16-P$2)</f>
        <v>200</v>
      </c>
      <c r="AT16" s="0" t="n">
        <f aca="false">Q16*($C16-Q$2)</f>
        <v>200</v>
      </c>
      <c r="AU16" s="0" t="n">
        <f aca="false">R16*($C16-R$2)</f>
        <v>-300.000000000003</v>
      </c>
      <c r="AV16" s="0" t="n">
        <f aca="false">S16*($C16-S$2)</f>
        <v>0</v>
      </c>
      <c r="AW16" s="0" t="n">
        <f aca="false">T16*($C16-T$2)</f>
        <v>0</v>
      </c>
      <c r="AX16" s="0" t="n">
        <f aca="false">U16*($C16-U$2)</f>
        <v>0</v>
      </c>
      <c r="AY16" s="0" t="n">
        <f aca="false">V16*($C16-V$2)</f>
        <v>0</v>
      </c>
      <c r="AZ16" s="0" t="n">
        <f aca="false">W16*($C16-W$2)</f>
        <v>0</v>
      </c>
      <c r="BA16" s="0" t="n">
        <f aca="false">X16*($C16-X$2)</f>
        <v>0</v>
      </c>
      <c r="BB16" s="0" t="n">
        <f aca="false">Y16*($C16-Y$2)</f>
        <v>0</v>
      </c>
      <c r="BC16" s="0" t="n">
        <f aca="false">Z16*($C16-Z$2)</f>
        <v>0</v>
      </c>
      <c r="BD16" s="0" t="n">
        <f aca="false">AA16*($C16-AA$2)</f>
        <v>0</v>
      </c>
      <c r="BE16" s="0" t="n">
        <f aca="false">AB16*($C16-AB$2)</f>
        <v>0</v>
      </c>
      <c r="BF16" s="0" t="n">
        <f aca="false">AC16*($C16-AC$2)</f>
        <v>0</v>
      </c>
      <c r="BG16" s="0" t="n">
        <f aca="false">AD16*($C16-AD$2)</f>
        <v>0</v>
      </c>
      <c r="BJ16" s="0" t="n">
        <f aca="false">SUM(AG16:BI16)</f>
        <v>5940.00000000001</v>
      </c>
    </row>
    <row r="17" customFormat="false" ht="12.75" hidden="false" customHeight="false" outlineLevel="0" collapsed="false">
      <c r="A17" s="45" t="n">
        <v>36964</v>
      </c>
      <c r="B17" s="0" t="n">
        <f aca="false">B$2+B$3</f>
        <v>5.35</v>
      </c>
      <c r="C17" s="44" t="n">
        <f aca="false">GasDaily!C17</f>
        <v>3.835</v>
      </c>
      <c r="D17" s="26" t="n">
        <v>-20000</v>
      </c>
      <c r="E17" s="26" t="n">
        <v>5000</v>
      </c>
      <c r="F17" s="26" t="n">
        <v>5000</v>
      </c>
      <c r="G17" s="26" t="n">
        <v>8500</v>
      </c>
      <c r="H17" s="26" t="n">
        <v>10000</v>
      </c>
      <c r="I17" s="26" t="n">
        <v>5000</v>
      </c>
      <c r="J17" s="26" t="n">
        <v>10000</v>
      </c>
      <c r="K17" s="26" t="n">
        <v>10000</v>
      </c>
      <c r="L17" s="26" t="n">
        <v>-10000</v>
      </c>
      <c r="M17" s="26" t="n">
        <v>-10000</v>
      </c>
      <c r="N17" s="26" t="n">
        <v>-10000</v>
      </c>
      <c r="O17" s="26" t="n">
        <v>10000</v>
      </c>
      <c r="P17" s="26" t="n">
        <v>10000</v>
      </c>
      <c r="Q17" s="26" t="n">
        <v>-10000</v>
      </c>
      <c r="R17" s="26" t="n">
        <v>10000</v>
      </c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13" t="n">
        <f aca="false">SUM(D17:AB17)</f>
        <v>23500</v>
      </c>
      <c r="AF17" s="46"/>
      <c r="AG17" s="0" t="n">
        <f aca="false">D17*($C17-D$2)</f>
        <v>-1900</v>
      </c>
      <c r="AH17" s="0" t="n">
        <f aca="false">E17*($C17-E$2)</f>
        <v>825</v>
      </c>
      <c r="AI17" s="0" t="n">
        <f aca="false">F17*($C17-F$2)</f>
        <v>850</v>
      </c>
      <c r="AJ17" s="0" t="n">
        <f aca="false">G17*($C17-G$2)</f>
        <v>1615</v>
      </c>
      <c r="AK17" s="0" t="n">
        <f aca="false">H17*($C17-H$2)</f>
        <v>2100</v>
      </c>
      <c r="AL17" s="0" t="n">
        <f aca="false">I17*($C17-I$2)</f>
        <v>1050</v>
      </c>
      <c r="AM17" s="0" t="n">
        <f aca="false">J17*($C17-J$2)</f>
        <v>2000</v>
      </c>
      <c r="AN17" s="0" t="n">
        <f aca="false">K17*($C17-K$2)</f>
        <v>150.000000000001</v>
      </c>
      <c r="AO17" s="0" t="n">
        <f aca="false">L17*($C17-L$2)</f>
        <v>-249.999999999999</v>
      </c>
      <c r="AP17" s="0" t="n">
        <f aca="false">M17*($C17-M$2)</f>
        <v>-649.999999999999</v>
      </c>
      <c r="AQ17" s="0" t="n">
        <f aca="false">N17*($C17-N$2)</f>
        <v>-449.999999999999</v>
      </c>
      <c r="AR17" s="0" t="n">
        <f aca="false">O17*($C17-O$2)</f>
        <v>499.999999999998</v>
      </c>
      <c r="AS17" s="0" t="n">
        <f aca="false">P17*($C17-P$2)</f>
        <v>200</v>
      </c>
      <c r="AT17" s="0" t="n">
        <f aca="false">Q17*($C17-Q$2)</f>
        <v>200</v>
      </c>
      <c r="AU17" s="0" t="n">
        <f aca="false">R17*($C17-R$2)</f>
        <v>-300.000000000003</v>
      </c>
      <c r="AV17" s="0" t="n">
        <f aca="false">S17*($C17-S$2)</f>
        <v>0</v>
      </c>
      <c r="AW17" s="0" t="n">
        <f aca="false">T17*($C17-T$2)</f>
        <v>0</v>
      </c>
      <c r="AX17" s="0" t="n">
        <f aca="false">U17*($C17-U$2)</f>
        <v>0</v>
      </c>
      <c r="AY17" s="0" t="n">
        <f aca="false">V17*($C17-V$2)</f>
        <v>0</v>
      </c>
      <c r="AZ17" s="0" t="n">
        <f aca="false">W17*($C17-W$2)</f>
        <v>0</v>
      </c>
      <c r="BA17" s="0" t="n">
        <f aca="false">X17*($C17-X$2)</f>
        <v>0</v>
      </c>
      <c r="BB17" s="0" t="n">
        <f aca="false">Y17*($C17-Y$2)</f>
        <v>0</v>
      </c>
      <c r="BC17" s="0" t="n">
        <f aca="false">Z17*($C17-Z$2)</f>
        <v>0</v>
      </c>
      <c r="BD17" s="0" t="n">
        <f aca="false">AA17*($C17-AA$2)</f>
        <v>0</v>
      </c>
      <c r="BE17" s="0" t="n">
        <f aca="false">AB17*($C17-AB$2)</f>
        <v>0</v>
      </c>
      <c r="BF17" s="0" t="n">
        <f aca="false">AC17*($C17-AC$2)</f>
        <v>0</v>
      </c>
      <c r="BG17" s="0" t="n">
        <f aca="false">AD17*($C17-AD$2)</f>
        <v>0</v>
      </c>
      <c r="BJ17" s="0" t="n">
        <f aca="false">SUM(AG17:BI17)</f>
        <v>5940.00000000001</v>
      </c>
    </row>
    <row r="18" customFormat="false" ht="12.75" hidden="false" customHeight="false" outlineLevel="0" collapsed="false">
      <c r="A18" s="45" t="n">
        <v>36965</v>
      </c>
      <c r="B18" s="0" t="n">
        <f aca="false">B$2+B$3</f>
        <v>5.35</v>
      </c>
      <c r="C18" s="44" t="n">
        <f aca="false">GasDaily!C18</f>
        <v>3.835</v>
      </c>
      <c r="D18" s="26" t="n">
        <v>-20000</v>
      </c>
      <c r="E18" s="26" t="n">
        <v>5000</v>
      </c>
      <c r="F18" s="26" t="n">
        <v>5000</v>
      </c>
      <c r="G18" s="26" t="n">
        <v>8500</v>
      </c>
      <c r="H18" s="26" t="n">
        <v>10000</v>
      </c>
      <c r="I18" s="26" t="n">
        <v>5000</v>
      </c>
      <c r="J18" s="26" t="n">
        <v>10000</v>
      </c>
      <c r="K18" s="26" t="n">
        <v>10000</v>
      </c>
      <c r="L18" s="26" t="n">
        <v>-10000</v>
      </c>
      <c r="M18" s="26" t="n">
        <v>-10000</v>
      </c>
      <c r="N18" s="26" t="n">
        <v>-10000</v>
      </c>
      <c r="O18" s="26" t="n">
        <v>10000</v>
      </c>
      <c r="P18" s="26" t="n">
        <v>10000</v>
      </c>
      <c r="Q18" s="26" t="n">
        <v>-10000</v>
      </c>
      <c r="R18" s="26" t="n">
        <v>10000</v>
      </c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13" t="n">
        <f aca="false">SUM(D18:AB18)</f>
        <v>23500</v>
      </c>
      <c r="AF18" s="46"/>
      <c r="AG18" s="0" t="n">
        <f aca="false">D18*($C18-D$2)</f>
        <v>-1900</v>
      </c>
      <c r="AH18" s="0" t="n">
        <f aca="false">E18*($C18-E$2)</f>
        <v>825</v>
      </c>
      <c r="AI18" s="0" t="n">
        <f aca="false">F18*($C18-F$2)</f>
        <v>850</v>
      </c>
      <c r="AJ18" s="0" t="n">
        <f aca="false">G18*($C18-G$2)</f>
        <v>1615</v>
      </c>
      <c r="AK18" s="0" t="n">
        <f aca="false">H18*($C18-H$2)</f>
        <v>2100</v>
      </c>
      <c r="AL18" s="0" t="n">
        <f aca="false">I18*($C18-I$2)</f>
        <v>1050</v>
      </c>
      <c r="AM18" s="0" t="n">
        <f aca="false">J18*($C18-J$2)</f>
        <v>2000</v>
      </c>
      <c r="AN18" s="0" t="n">
        <f aca="false">K18*($C18-K$2)</f>
        <v>150.000000000001</v>
      </c>
      <c r="AO18" s="0" t="n">
        <f aca="false">L18*($C18-L$2)</f>
        <v>-249.999999999999</v>
      </c>
      <c r="AP18" s="0" t="n">
        <f aca="false">M18*($C18-M$2)</f>
        <v>-649.999999999999</v>
      </c>
      <c r="AQ18" s="0" t="n">
        <f aca="false">N18*($C18-N$2)</f>
        <v>-449.999999999999</v>
      </c>
      <c r="AR18" s="0" t="n">
        <f aca="false">O18*($C18-O$2)</f>
        <v>499.999999999998</v>
      </c>
      <c r="AS18" s="0" t="n">
        <f aca="false">P18*($C18-P$2)</f>
        <v>200</v>
      </c>
      <c r="AT18" s="0" t="n">
        <f aca="false">Q18*($C18-Q$2)</f>
        <v>200</v>
      </c>
      <c r="AU18" s="0" t="n">
        <f aca="false">R18*($C18-R$2)</f>
        <v>-300.000000000003</v>
      </c>
      <c r="AV18" s="0" t="n">
        <f aca="false">S18*($C18-S$2)</f>
        <v>0</v>
      </c>
      <c r="AW18" s="0" t="n">
        <f aca="false">T18*($C18-T$2)</f>
        <v>0</v>
      </c>
      <c r="AX18" s="0" t="n">
        <f aca="false">U18*($C18-U$2)</f>
        <v>0</v>
      </c>
      <c r="AY18" s="0" t="n">
        <f aca="false">V18*($C18-V$2)</f>
        <v>0</v>
      </c>
      <c r="AZ18" s="0" t="n">
        <f aca="false">W18*($C18-W$2)</f>
        <v>0</v>
      </c>
      <c r="BA18" s="0" t="n">
        <f aca="false">X18*($C18-X$2)</f>
        <v>0</v>
      </c>
      <c r="BB18" s="0" t="n">
        <f aca="false">Y18*($C18-Y$2)</f>
        <v>0</v>
      </c>
      <c r="BC18" s="0" t="n">
        <f aca="false">Z18*($C18-Z$2)</f>
        <v>0</v>
      </c>
      <c r="BD18" s="0" t="n">
        <f aca="false">AA18*($C18-AA$2)</f>
        <v>0</v>
      </c>
      <c r="BE18" s="0" t="n">
        <f aca="false">AB18*($C18-AB$2)</f>
        <v>0</v>
      </c>
      <c r="BF18" s="0" t="n">
        <f aca="false">AC18*($C18-AC$2)</f>
        <v>0</v>
      </c>
      <c r="BG18" s="0" t="n">
        <f aca="false">AD18*($C18-AD$2)</f>
        <v>0</v>
      </c>
      <c r="BJ18" s="0" t="n">
        <f aca="false">SUM(AG18:BI18)</f>
        <v>5940.00000000001</v>
      </c>
    </row>
    <row r="19" customFormat="false" ht="12.75" hidden="false" customHeight="false" outlineLevel="0" collapsed="false">
      <c r="A19" s="45" t="n">
        <v>36966</v>
      </c>
      <c r="B19" s="0" t="n">
        <f aca="false">B$2+B$3</f>
        <v>5.35</v>
      </c>
      <c r="C19" s="44" t="n">
        <f aca="false">GasDaily!C19</f>
        <v>3.835</v>
      </c>
      <c r="D19" s="26" t="n">
        <v>-20000</v>
      </c>
      <c r="E19" s="26" t="n">
        <v>5000</v>
      </c>
      <c r="F19" s="26" t="n">
        <v>5000</v>
      </c>
      <c r="G19" s="26" t="n">
        <v>8500</v>
      </c>
      <c r="H19" s="26" t="n">
        <v>10000</v>
      </c>
      <c r="I19" s="26" t="n">
        <v>5000</v>
      </c>
      <c r="J19" s="26" t="n">
        <v>10000</v>
      </c>
      <c r="K19" s="26" t="n">
        <v>10000</v>
      </c>
      <c r="L19" s="26" t="n">
        <v>-10000</v>
      </c>
      <c r="M19" s="26" t="n">
        <v>-10000</v>
      </c>
      <c r="N19" s="26" t="n">
        <v>-10000</v>
      </c>
      <c r="O19" s="26" t="n">
        <v>10000</v>
      </c>
      <c r="P19" s="26" t="n">
        <v>10000</v>
      </c>
      <c r="Q19" s="26" t="n">
        <v>-10000</v>
      </c>
      <c r="R19" s="26" t="n">
        <v>10000</v>
      </c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13" t="n">
        <f aca="false">SUM(D19:AB19)</f>
        <v>23500</v>
      </c>
      <c r="AF19" s="46"/>
      <c r="AG19" s="0" t="n">
        <f aca="false">D19*($C19-D$2)</f>
        <v>-1900</v>
      </c>
      <c r="AH19" s="0" t="n">
        <f aca="false">E19*($C19-E$2)</f>
        <v>825</v>
      </c>
      <c r="AI19" s="0" t="n">
        <f aca="false">F19*($C19-F$2)</f>
        <v>850</v>
      </c>
      <c r="AJ19" s="0" t="n">
        <f aca="false">G19*($C19-G$2)</f>
        <v>1615</v>
      </c>
      <c r="AK19" s="0" t="n">
        <f aca="false">H19*($C19-H$2)</f>
        <v>2100</v>
      </c>
      <c r="AL19" s="0" t="n">
        <f aca="false">I19*($C19-I$2)</f>
        <v>1050</v>
      </c>
      <c r="AM19" s="0" t="n">
        <f aca="false">J19*($C19-J$2)</f>
        <v>2000</v>
      </c>
      <c r="AN19" s="0" t="n">
        <f aca="false">K19*($C19-K$2)</f>
        <v>150.000000000001</v>
      </c>
      <c r="AO19" s="0" t="n">
        <f aca="false">L19*($C19-L$2)</f>
        <v>-249.999999999999</v>
      </c>
      <c r="AP19" s="0" t="n">
        <f aca="false">M19*($C19-M$2)</f>
        <v>-649.999999999999</v>
      </c>
      <c r="AQ19" s="0" t="n">
        <f aca="false">N19*($C19-N$2)</f>
        <v>-449.999999999999</v>
      </c>
      <c r="AR19" s="0" t="n">
        <f aca="false">O19*($C19-O$2)</f>
        <v>499.999999999998</v>
      </c>
      <c r="AS19" s="0" t="n">
        <f aca="false">P19*($C19-P$2)</f>
        <v>200</v>
      </c>
      <c r="AT19" s="0" t="n">
        <f aca="false">Q19*($C19-Q$2)</f>
        <v>200</v>
      </c>
      <c r="AU19" s="0" t="n">
        <f aca="false">R19*($C19-R$2)</f>
        <v>-300.000000000003</v>
      </c>
      <c r="AV19" s="0" t="n">
        <f aca="false">S19*($C19-S$2)</f>
        <v>0</v>
      </c>
      <c r="AW19" s="0" t="n">
        <f aca="false">T19*($C19-T$2)</f>
        <v>0</v>
      </c>
      <c r="AX19" s="0" t="n">
        <f aca="false">U19*($C19-U$2)</f>
        <v>0</v>
      </c>
      <c r="AY19" s="0" t="n">
        <f aca="false">V19*($C19-V$2)</f>
        <v>0</v>
      </c>
      <c r="AZ19" s="0" t="n">
        <f aca="false">W19*($C19-W$2)</f>
        <v>0</v>
      </c>
      <c r="BA19" s="0" t="n">
        <f aca="false">X19*($C19-X$2)</f>
        <v>0</v>
      </c>
      <c r="BB19" s="0" t="n">
        <f aca="false">Y19*($C19-Y$2)</f>
        <v>0</v>
      </c>
      <c r="BC19" s="0" t="n">
        <f aca="false">Z19*($C19-Z$2)</f>
        <v>0</v>
      </c>
      <c r="BD19" s="0" t="n">
        <f aca="false">AA19*($C19-AA$2)</f>
        <v>0</v>
      </c>
      <c r="BE19" s="0" t="n">
        <f aca="false">AB19*($C19-AB$2)</f>
        <v>0</v>
      </c>
      <c r="BF19" s="0" t="n">
        <f aca="false">AC19*($C19-AC$2)</f>
        <v>0</v>
      </c>
      <c r="BG19" s="0" t="n">
        <f aca="false">AD19*($C19-AD$2)</f>
        <v>0</v>
      </c>
      <c r="BJ19" s="0" t="n">
        <f aca="false">SUM(AG19:BI19)</f>
        <v>5940.00000000001</v>
      </c>
    </row>
    <row r="20" customFormat="false" ht="12.75" hidden="false" customHeight="false" outlineLevel="0" collapsed="false">
      <c r="A20" s="45" t="n">
        <v>36967</v>
      </c>
      <c r="B20" s="0" t="n">
        <f aca="false">B$2+B$3</f>
        <v>5.35</v>
      </c>
      <c r="C20" s="44" t="n">
        <f aca="false">GasDaily!C20</f>
        <v>3.835</v>
      </c>
      <c r="D20" s="26" t="n">
        <v>-20000</v>
      </c>
      <c r="E20" s="26" t="n">
        <v>5000</v>
      </c>
      <c r="F20" s="26" t="n">
        <v>5000</v>
      </c>
      <c r="G20" s="26" t="n">
        <v>8500</v>
      </c>
      <c r="H20" s="26" t="n">
        <v>10000</v>
      </c>
      <c r="I20" s="26" t="n">
        <v>5000</v>
      </c>
      <c r="J20" s="26" t="n">
        <v>10000</v>
      </c>
      <c r="K20" s="26" t="n">
        <v>10000</v>
      </c>
      <c r="L20" s="26" t="n">
        <v>-10000</v>
      </c>
      <c r="M20" s="26" t="n">
        <v>-10000</v>
      </c>
      <c r="N20" s="26" t="n">
        <v>-10000</v>
      </c>
      <c r="O20" s="26" t="n">
        <v>10000</v>
      </c>
      <c r="P20" s="26" t="n">
        <v>10000</v>
      </c>
      <c r="Q20" s="26" t="n">
        <v>-10000</v>
      </c>
      <c r="R20" s="26" t="n">
        <v>10000</v>
      </c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13" t="n">
        <f aca="false">SUM(D20:AB20)</f>
        <v>23500</v>
      </c>
      <c r="AF20" s="46"/>
      <c r="AG20" s="0" t="n">
        <f aca="false">D20*($C20-D$2)</f>
        <v>-1900</v>
      </c>
      <c r="AH20" s="0" t="n">
        <f aca="false">E20*($C20-E$2)</f>
        <v>825</v>
      </c>
      <c r="AI20" s="0" t="n">
        <f aca="false">F20*($C20-F$2)</f>
        <v>850</v>
      </c>
      <c r="AJ20" s="0" t="n">
        <f aca="false">G20*($C20-G$2)</f>
        <v>1615</v>
      </c>
      <c r="AK20" s="0" t="n">
        <f aca="false">H20*($C20-H$2)</f>
        <v>2100</v>
      </c>
      <c r="AL20" s="0" t="n">
        <f aca="false">I20*($C20-I$2)</f>
        <v>1050</v>
      </c>
      <c r="AM20" s="0" t="n">
        <f aca="false">J20*($C20-J$2)</f>
        <v>2000</v>
      </c>
      <c r="AN20" s="0" t="n">
        <f aca="false">K20*($C20-K$2)</f>
        <v>150.000000000001</v>
      </c>
      <c r="AO20" s="0" t="n">
        <f aca="false">L20*($C20-L$2)</f>
        <v>-249.999999999999</v>
      </c>
      <c r="AP20" s="0" t="n">
        <f aca="false">M20*($C20-M$2)</f>
        <v>-649.999999999999</v>
      </c>
      <c r="AQ20" s="0" t="n">
        <f aca="false">N20*($C20-N$2)</f>
        <v>-449.999999999999</v>
      </c>
      <c r="AR20" s="0" t="n">
        <f aca="false">O20*($C20-O$2)</f>
        <v>499.999999999998</v>
      </c>
      <c r="AS20" s="0" t="n">
        <f aca="false">P20*($C20-P$2)</f>
        <v>200</v>
      </c>
      <c r="AT20" s="0" t="n">
        <f aca="false">Q20*($C20-Q$2)</f>
        <v>200</v>
      </c>
      <c r="AU20" s="0" t="n">
        <f aca="false">R20*($C20-R$2)</f>
        <v>-300.000000000003</v>
      </c>
      <c r="AV20" s="0" t="n">
        <f aca="false">S20*($C20-S$2)</f>
        <v>0</v>
      </c>
      <c r="AW20" s="0" t="n">
        <f aca="false">T20*($C20-T$2)</f>
        <v>0</v>
      </c>
      <c r="AX20" s="0" t="n">
        <f aca="false">U20*($C20-U$2)</f>
        <v>0</v>
      </c>
      <c r="AY20" s="0" t="n">
        <f aca="false">V20*($C20-V$2)</f>
        <v>0</v>
      </c>
      <c r="AZ20" s="0" t="n">
        <f aca="false">W20*($C20-W$2)</f>
        <v>0</v>
      </c>
      <c r="BA20" s="0" t="n">
        <f aca="false">X20*($C20-X$2)</f>
        <v>0</v>
      </c>
      <c r="BB20" s="0" t="n">
        <f aca="false">Y20*($C20-Y$2)</f>
        <v>0</v>
      </c>
      <c r="BC20" s="0" t="n">
        <f aca="false">Z20*($C20-Z$2)</f>
        <v>0</v>
      </c>
      <c r="BD20" s="0" t="n">
        <f aca="false">AA20*($C20-AA$2)</f>
        <v>0</v>
      </c>
      <c r="BE20" s="0" t="n">
        <f aca="false">AB20*($C20-AB$2)</f>
        <v>0</v>
      </c>
      <c r="BF20" s="0" t="n">
        <f aca="false">AC20*($C20-AC$2)</f>
        <v>0</v>
      </c>
      <c r="BG20" s="0" t="n">
        <f aca="false">AD20*($C20-AD$2)</f>
        <v>0</v>
      </c>
      <c r="BJ20" s="0" t="n">
        <f aca="false">SUM(AG20:BI20)</f>
        <v>5940.00000000001</v>
      </c>
    </row>
    <row r="21" customFormat="false" ht="12.75" hidden="false" customHeight="false" outlineLevel="0" collapsed="false">
      <c r="A21" s="45" t="n">
        <v>36968</v>
      </c>
      <c r="B21" s="0" t="n">
        <f aca="false">B$2+B$3</f>
        <v>5.35</v>
      </c>
      <c r="C21" s="44" t="n">
        <f aca="false">GasDaily!C21</f>
        <v>3.835</v>
      </c>
      <c r="D21" s="26" t="n">
        <v>-20000</v>
      </c>
      <c r="E21" s="26" t="n">
        <v>5000</v>
      </c>
      <c r="F21" s="26" t="n">
        <v>5000</v>
      </c>
      <c r="G21" s="26" t="n">
        <v>8500</v>
      </c>
      <c r="H21" s="26" t="n">
        <v>10000</v>
      </c>
      <c r="I21" s="26" t="n">
        <v>5000</v>
      </c>
      <c r="J21" s="26" t="n">
        <v>10000</v>
      </c>
      <c r="K21" s="26" t="n">
        <v>10000</v>
      </c>
      <c r="L21" s="26" t="n">
        <v>-10000</v>
      </c>
      <c r="M21" s="26" t="n">
        <v>-10000</v>
      </c>
      <c r="N21" s="26" t="n">
        <v>-10000</v>
      </c>
      <c r="O21" s="26" t="n">
        <v>10000</v>
      </c>
      <c r="P21" s="26" t="n">
        <v>10000</v>
      </c>
      <c r="Q21" s="26" t="n">
        <v>-10000</v>
      </c>
      <c r="R21" s="26" t="n">
        <v>10000</v>
      </c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13" t="n">
        <f aca="false">SUM(D21:AB21)</f>
        <v>23500</v>
      </c>
      <c r="AF21" s="46"/>
      <c r="AG21" s="0" t="n">
        <f aca="false">D21*($C21-D$2)</f>
        <v>-1900</v>
      </c>
      <c r="AH21" s="0" t="n">
        <f aca="false">E21*($C21-E$2)</f>
        <v>825</v>
      </c>
      <c r="AI21" s="0" t="n">
        <f aca="false">F21*($C21-F$2)</f>
        <v>850</v>
      </c>
      <c r="AJ21" s="0" t="n">
        <f aca="false">G21*($C21-G$2)</f>
        <v>1615</v>
      </c>
      <c r="AK21" s="0" t="n">
        <f aca="false">H21*($C21-H$2)</f>
        <v>2100</v>
      </c>
      <c r="AL21" s="0" t="n">
        <f aca="false">I21*($C21-I$2)</f>
        <v>1050</v>
      </c>
      <c r="AM21" s="0" t="n">
        <f aca="false">J21*($C21-J$2)</f>
        <v>2000</v>
      </c>
      <c r="AN21" s="0" t="n">
        <f aca="false">K21*($C21-K$2)</f>
        <v>150.000000000001</v>
      </c>
      <c r="AO21" s="0" t="n">
        <f aca="false">L21*($C21-L$2)</f>
        <v>-249.999999999999</v>
      </c>
      <c r="AP21" s="0" t="n">
        <f aca="false">M21*($C21-M$2)</f>
        <v>-649.999999999999</v>
      </c>
      <c r="AQ21" s="0" t="n">
        <f aca="false">N21*($C21-N$2)</f>
        <v>-449.999999999999</v>
      </c>
      <c r="AR21" s="0" t="n">
        <f aca="false">O21*($C21-O$2)</f>
        <v>499.999999999998</v>
      </c>
      <c r="AS21" s="0" t="n">
        <f aca="false">P21*($C21-P$2)</f>
        <v>200</v>
      </c>
      <c r="AT21" s="0" t="n">
        <f aca="false">Q21*($C21-Q$2)</f>
        <v>200</v>
      </c>
      <c r="AU21" s="0" t="n">
        <f aca="false">R21*($C21-R$2)</f>
        <v>-300.000000000003</v>
      </c>
      <c r="AV21" s="0" t="n">
        <f aca="false">S21*($C21-S$2)</f>
        <v>0</v>
      </c>
      <c r="AW21" s="0" t="n">
        <f aca="false">T21*($C21-T$2)</f>
        <v>0</v>
      </c>
      <c r="AX21" s="0" t="n">
        <f aca="false">U21*($C21-U$2)</f>
        <v>0</v>
      </c>
      <c r="AY21" s="0" t="n">
        <f aca="false">V21*($C21-V$2)</f>
        <v>0</v>
      </c>
      <c r="AZ21" s="0" t="n">
        <f aca="false">W21*($C21-W$2)</f>
        <v>0</v>
      </c>
      <c r="BA21" s="0" t="n">
        <f aca="false">X21*($C21-X$2)</f>
        <v>0</v>
      </c>
      <c r="BB21" s="0" t="n">
        <f aca="false">Y21*($C21-Y$2)</f>
        <v>0</v>
      </c>
      <c r="BC21" s="0" t="n">
        <f aca="false">Z21*($C21-Z$2)</f>
        <v>0</v>
      </c>
      <c r="BD21" s="0" t="n">
        <f aca="false">AA21*($C21-AA$2)</f>
        <v>0</v>
      </c>
      <c r="BE21" s="0" t="n">
        <f aca="false">AB21*($C21-AB$2)</f>
        <v>0</v>
      </c>
      <c r="BF21" s="0" t="n">
        <f aca="false">AC21*($C21-AC$2)</f>
        <v>0</v>
      </c>
      <c r="BG21" s="0" t="n">
        <f aca="false">AD21*($C21-AD$2)</f>
        <v>0</v>
      </c>
      <c r="BJ21" s="0" t="n">
        <f aca="false">SUM(AG21:BI21)</f>
        <v>5940.00000000001</v>
      </c>
    </row>
    <row r="22" customFormat="false" ht="12.75" hidden="false" customHeight="false" outlineLevel="0" collapsed="false">
      <c r="A22" s="45" t="n">
        <v>36969</v>
      </c>
      <c r="B22" s="0" t="n">
        <f aca="false">B$2+B$3</f>
        <v>5.35</v>
      </c>
      <c r="C22" s="44" t="n">
        <f aca="false">GasDaily!C22</f>
        <v>3.835</v>
      </c>
      <c r="D22" s="26" t="n">
        <v>-20000</v>
      </c>
      <c r="E22" s="26" t="n">
        <v>5000</v>
      </c>
      <c r="F22" s="26" t="n">
        <v>5000</v>
      </c>
      <c r="G22" s="26" t="n">
        <v>8500</v>
      </c>
      <c r="H22" s="26" t="n">
        <v>10000</v>
      </c>
      <c r="I22" s="26" t="n">
        <v>5000</v>
      </c>
      <c r="J22" s="26" t="n">
        <v>10000</v>
      </c>
      <c r="K22" s="26" t="n">
        <v>10000</v>
      </c>
      <c r="L22" s="26" t="n">
        <v>-10000</v>
      </c>
      <c r="M22" s="26" t="n">
        <v>-10000</v>
      </c>
      <c r="N22" s="26" t="n">
        <v>-10000</v>
      </c>
      <c r="O22" s="26" t="n">
        <v>10000</v>
      </c>
      <c r="P22" s="26" t="n">
        <v>10000</v>
      </c>
      <c r="Q22" s="26" t="n">
        <v>-10000</v>
      </c>
      <c r="R22" s="26" t="n">
        <v>10000</v>
      </c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13" t="n">
        <f aca="false">SUM(D22:AB22)</f>
        <v>23500</v>
      </c>
      <c r="AF22" s="46"/>
      <c r="AG22" s="0" t="n">
        <f aca="false">D22*($C22-D$2)</f>
        <v>-1900</v>
      </c>
      <c r="AH22" s="0" t="n">
        <f aca="false">E22*($C22-E$2)</f>
        <v>825</v>
      </c>
      <c r="AI22" s="0" t="n">
        <f aca="false">F22*($C22-F$2)</f>
        <v>850</v>
      </c>
      <c r="AJ22" s="0" t="n">
        <f aca="false">G22*($C22-G$2)</f>
        <v>1615</v>
      </c>
      <c r="AK22" s="0" t="n">
        <f aca="false">H22*($C22-H$2)</f>
        <v>2100</v>
      </c>
      <c r="AL22" s="0" t="n">
        <f aca="false">I22*($C22-I$2)</f>
        <v>1050</v>
      </c>
      <c r="AM22" s="0" t="n">
        <f aca="false">J22*($C22-J$2)</f>
        <v>2000</v>
      </c>
      <c r="AN22" s="0" t="n">
        <f aca="false">K22*($C22-K$2)</f>
        <v>150.000000000001</v>
      </c>
      <c r="AO22" s="0" t="n">
        <f aca="false">L22*($C22-L$2)</f>
        <v>-249.999999999999</v>
      </c>
      <c r="AP22" s="0" t="n">
        <f aca="false">M22*($C22-M$2)</f>
        <v>-649.999999999999</v>
      </c>
      <c r="AQ22" s="0" t="n">
        <f aca="false">N22*($C22-N$2)</f>
        <v>-449.999999999999</v>
      </c>
      <c r="AR22" s="0" t="n">
        <f aca="false">O22*($C22-O$2)</f>
        <v>499.999999999998</v>
      </c>
      <c r="AS22" s="0" t="n">
        <f aca="false">P22*($C22-P$2)</f>
        <v>200</v>
      </c>
      <c r="AT22" s="0" t="n">
        <f aca="false">Q22*($C22-Q$2)</f>
        <v>200</v>
      </c>
      <c r="AU22" s="0" t="n">
        <f aca="false">R22*($C22-R$2)</f>
        <v>-300.000000000003</v>
      </c>
      <c r="AV22" s="0" t="n">
        <f aca="false">S22*($C22-S$2)</f>
        <v>0</v>
      </c>
      <c r="AW22" s="0" t="n">
        <f aca="false">T22*($C22-T$2)</f>
        <v>0</v>
      </c>
      <c r="AX22" s="0" t="n">
        <f aca="false">U22*($C22-U$2)</f>
        <v>0</v>
      </c>
      <c r="AY22" s="0" t="n">
        <f aca="false">V22*($C22-V$2)</f>
        <v>0</v>
      </c>
      <c r="AZ22" s="0" t="n">
        <f aca="false">W22*($C22-W$2)</f>
        <v>0</v>
      </c>
      <c r="BA22" s="0" t="n">
        <f aca="false">X22*($C22-X$2)</f>
        <v>0</v>
      </c>
      <c r="BB22" s="0" t="n">
        <f aca="false">Y22*($C22-Y$2)</f>
        <v>0</v>
      </c>
      <c r="BC22" s="0" t="n">
        <f aca="false">Z22*($C22-Z$2)</f>
        <v>0</v>
      </c>
      <c r="BD22" s="0" t="n">
        <f aca="false">AA22*($C22-AA$2)</f>
        <v>0</v>
      </c>
      <c r="BE22" s="0" t="n">
        <f aca="false">AB22*($C22-AB$2)</f>
        <v>0</v>
      </c>
      <c r="BF22" s="0" t="n">
        <f aca="false">AC22*($C22-AC$2)</f>
        <v>0</v>
      </c>
      <c r="BG22" s="0" t="n">
        <f aca="false">AD22*($C22-AD$2)</f>
        <v>0</v>
      </c>
      <c r="BJ22" s="0" t="n">
        <f aca="false">SUM(AG22:BI22)</f>
        <v>5940.00000000001</v>
      </c>
    </row>
    <row r="23" customFormat="false" ht="12.75" hidden="false" customHeight="false" outlineLevel="0" collapsed="false">
      <c r="A23" s="45" t="n">
        <v>36970</v>
      </c>
      <c r="B23" s="0" t="n">
        <f aca="false">B$2+B$3</f>
        <v>5.35</v>
      </c>
      <c r="C23" s="44" t="n">
        <f aca="false">GasDaily!C23</f>
        <v>3.835</v>
      </c>
      <c r="D23" s="26" t="n">
        <v>-20000</v>
      </c>
      <c r="E23" s="26" t="n">
        <v>5000</v>
      </c>
      <c r="F23" s="26" t="n">
        <v>5000</v>
      </c>
      <c r="G23" s="26" t="n">
        <v>8500</v>
      </c>
      <c r="H23" s="26" t="n">
        <v>10000</v>
      </c>
      <c r="I23" s="26" t="n">
        <v>5000</v>
      </c>
      <c r="J23" s="26" t="n">
        <v>10000</v>
      </c>
      <c r="K23" s="26" t="n">
        <v>10000</v>
      </c>
      <c r="L23" s="26" t="n">
        <v>-10000</v>
      </c>
      <c r="M23" s="26" t="n">
        <v>-10000</v>
      </c>
      <c r="N23" s="26" t="n">
        <v>-10000</v>
      </c>
      <c r="O23" s="26" t="n">
        <v>10000</v>
      </c>
      <c r="P23" s="26" t="n">
        <v>10000</v>
      </c>
      <c r="Q23" s="26" t="n">
        <v>-10000</v>
      </c>
      <c r="R23" s="26" t="n">
        <v>10000</v>
      </c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13" t="n">
        <f aca="false">SUM(D23:AB23)</f>
        <v>23500</v>
      </c>
      <c r="AF23" s="46"/>
      <c r="AG23" s="0" t="n">
        <f aca="false">D23*($C23-D$2)</f>
        <v>-1900</v>
      </c>
      <c r="AH23" s="0" t="n">
        <f aca="false">E23*($C23-E$2)</f>
        <v>825</v>
      </c>
      <c r="AI23" s="0" t="n">
        <f aca="false">F23*($C23-F$2)</f>
        <v>850</v>
      </c>
      <c r="AJ23" s="0" t="n">
        <f aca="false">G23*($C23-G$2)</f>
        <v>1615</v>
      </c>
      <c r="AK23" s="0" t="n">
        <f aca="false">H23*($C23-H$2)</f>
        <v>2100</v>
      </c>
      <c r="AL23" s="0" t="n">
        <f aca="false">I23*($C23-I$2)</f>
        <v>1050</v>
      </c>
      <c r="AM23" s="0" t="n">
        <f aca="false">J23*($C23-J$2)</f>
        <v>2000</v>
      </c>
      <c r="AN23" s="0" t="n">
        <f aca="false">K23*($C23-K$2)</f>
        <v>150.000000000001</v>
      </c>
      <c r="AO23" s="0" t="n">
        <f aca="false">L23*($C23-L$2)</f>
        <v>-249.999999999999</v>
      </c>
      <c r="AP23" s="0" t="n">
        <f aca="false">M23*($C23-M$2)</f>
        <v>-649.999999999999</v>
      </c>
      <c r="AQ23" s="0" t="n">
        <f aca="false">N23*($C23-N$2)</f>
        <v>-449.999999999999</v>
      </c>
      <c r="AR23" s="0" t="n">
        <f aca="false">O23*($C23-O$2)</f>
        <v>499.999999999998</v>
      </c>
      <c r="AS23" s="0" t="n">
        <f aca="false">P23*($C23-P$2)</f>
        <v>200</v>
      </c>
      <c r="AT23" s="0" t="n">
        <f aca="false">Q23*($C23-Q$2)</f>
        <v>200</v>
      </c>
      <c r="AU23" s="0" t="n">
        <f aca="false">R23*($C23-R$2)</f>
        <v>-300.000000000003</v>
      </c>
      <c r="AV23" s="0" t="n">
        <f aca="false">S23*($C23-S$2)</f>
        <v>0</v>
      </c>
      <c r="AW23" s="0" t="n">
        <f aca="false">T23*($C23-T$2)</f>
        <v>0</v>
      </c>
      <c r="AX23" s="0" t="n">
        <f aca="false">U23*($C23-U$2)</f>
        <v>0</v>
      </c>
      <c r="AY23" s="0" t="n">
        <f aca="false">V23*($C23-V$2)</f>
        <v>0</v>
      </c>
      <c r="AZ23" s="0" t="n">
        <f aca="false">W23*($C23-W$2)</f>
        <v>0</v>
      </c>
      <c r="BA23" s="0" t="n">
        <f aca="false">X23*($C23-X$2)</f>
        <v>0</v>
      </c>
      <c r="BB23" s="0" t="n">
        <f aca="false">Y23*($C23-Y$2)</f>
        <v>0</v>
      </c>
      <c r="BC23" s="0" t="n">
        <f aca="false">Z23*($C23-Z$2)</f>
        <v>0</v>
      </c>
      <c r="BD23" s="0" t="n">
        <f aca="false">AA23*($C23-AA$2)</f>
        <v>0</v>
      </c>
      <c r="BE23" s="0" t="n">
        <f aca="false">AB23*($C23-AB$2)</f>
        <v>0</v>
      </c>
      <c r="BF23" s="0" t="n">
        <f aca="false">AC23*($C23-AC$2)</f>
        <v>0</v>
      </c>
      <c r="BG23" s="0" t="n">
        <f aca="false">AD23*($C23-AD$2)</f>
        <v>0</v>
      </c>
      <c r="BJ23" s="0" t="n">
        <f aca="false">SUM(AG23:BI23)</f>
        <v>5940.00000000001</v>
      </c>
    </row>
    <row r="24" customFormat="false" ht="12.75" hidden="false" customHeight="false" outlineLevel="0" collapsed="false">
      <c r="A24" s="45" t="n">
        <v>36971</v>
      </c>
      <c r="B24" s="0" t="n">
        <f aca="false">B$2+B$3</f>
        <v>5.35</v>
      </c>
      <c r="C24" s="44" t="n">
        <f aca="false">GasDaily!C24</f>
        <v>3.835</v>
      </c>
      <c r="D24" s="26" t="n">
        <v>-20000</v>
      </c>
      <c r="E24" s="26" t="n">
        <v>5000</v>
      </c>
      <c r="F24" s="26" t="n">
        <v>5000</v>
      </c>
      <c r="G24" s="26" t="n">
        <v>8500</v>
      </c>
      <c r="H24" s="26" t="n">
        <v>10000</v>
      </c>
      <c r="I24" s="26" t="n">
        <v>5000</v>
      </c>
      <c r="J24" s="26" t="n">
        <v>10000</v>
      </c>
      <c r="K24" s="26" t="n">
        <v>10000</v>
      </c>
      <c r="L24" s="26" t="n">
        <v>-10000</v>
      </c>
      <c r="M24" s="26" t="n">
        <v>-10000</v>
      </c>
      <c r="N24" s="26" t="n">
        <v>-10000</v>
      </c>
      <c r="O24" s="26" t="n">
        <v>10000</v>
      </c>
      <c r="P24" s="26" t="n">
        <v>10000</v>
      </c>
      <c r="Q24" s="26" t="n">
        <v>-10000</v>
      </c>
      <c r="R24" s="26" t="n">
        <v>10000</v>
      </c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13" t="n">
        <f aca="false">SUM(D24:AB24)</f>
        <v>23500</v>
      </c>
      <c r="AF24" s="46"/>
      <c r="AG24" s="0" t="n">
        <f aca="false">D24*($C24-D$2)</f>
        <v>-1900</v>
      </c>
      <c r="AH24" s="0" t="n">
        <f aca="false">E24*($C24-E$2)</f>
        <v>825</v>
      </c>
      <c r="AI24" s="0" t="n">
        <f aca="false">F24*($C24-F$2)</f>
        <v>850</v>
      </c>
      <c r="AJ24" s="0" t="n">
        <f aca="false">G24*($C24-G$2)</f>
        <v>1615</v>
      </c>
      <c r="AK24" s="0" t="n">
        <f aca="false">H24*($C24-H$2)</f>
        <v>2100</v>
      </c>
      <c r="AL24" s="0" t="n">
        <f aca="false">I24*($C24-I$2)</f>
        <v>1050</v>
      </c>
      <c r="AM24" s="0" t="n">
        <f aca="false">J24*($C24-J$2)</f>
        <v>2000</v>
      </c>
      <c r="AN24" s="0" t="n">
        <f aca="false">K24*($C24-K$2)</f>
        <v>150.000000000001</v>
      </c>
      <c r="AO24" s="0" t="n">
        <f aca="false">L24*($C24-L$2)</f>
        <v>-249.999999999999</v>
      </c>
      <c r="AP24" s="0" t="n">
        <f aca="false">M24*($C24-M$2)</f>
        <v>-649.999999999999</v>
      </c>
      <c r="AQ24" s="0" t="n">
        <f aca="false">N24*($C24-N$2)</f>
        <v>-449.999999999999</v>
      </c>
      <c r="AR24" s="0" t="n">
        <f aca="false">O24*($C24-O$2)</f>
        <v>499.999999999998</v>
      </c>
      <c r="AS24" s="0" t="n">
        <f aca="false">P24*($C24-P$2)</f>
        <v>200</v>
      </c>
      <c r="AT24" s="0" t="n">
        <f aca="false">Q24*($C24-Q$2)</f>
        <v>200</v>
      </c>
      <c r="AU24" s="0" t="n">
        <f aca="false">R24*($C24-R$2)</f>
        <v>-300.000000000003</v>
      </c>
      <c r="AV24" s="0" t="n">
        <f aca="false">S24*($C24-S$2)</f>
        <v>0</v>
      </c>
      <c r="AW24" s="0" t="n">
        <f aca="false">T24*($C24-T$2)</f>
        <v>0</v>
      </c>
      <c r="AX24" s="0" t="n">
        <f aca="false">U24*($C24-U$2)</f>
        <v>0</v>
      </c>
      <c r="AY24" s="0" t="n">
        <f aca="false">V24*($C24-V$2)</f>
        <v>0</v>
      </c>
      <c r="AZ24" s="0" t="n">
        <f aca="false">W24*($C24-W$2)</f>
        <v>0</v>
      </c>
      <c r="BA24" s="0" t="n">
        <f aca="false">X24*($C24-X$2)</f>
        <v>0</v>
      </c>
      <c r="BB24" s="0" t="n">
        <f aca="false">Y24*($C24-Y$2)</f>
        <v>0</v>
      </c>
      <c r="BC24" s="0" t="n">
        <f aca="false">Z24*($C24-Z$2)</f>
        <v>0</v>
      </c>
      <c r="BD24" s="0" t="n">
        <f aca="false">AA24*($C24-AA$2)</f>
        <v>0</v>
      </c>
      <c r="BE24" s="0" t="n">
        <f aca="false">AB24*($C24-AB$2)</f>
        <v>0</v>
      </c>
      <c r="BF24" s="0" t="n">
        <f aca="false">AC24*($C24-AC$2)</f>
        <v>0</v>
      </c>
      <c r="BG24" s="0" t="n">
        <f aca="false">AD24*($C24-AD$2)</f>
        <v>0</v>
      </c>
      <c r="BJ24" s="0" t="n">
        <f aca="false">SUM(AG24:BI24)</f>
        <v>5940.00000000001</v>
      </c>
    </row>
    <row r="25" customFormat="false" ht="12.75" hidden="false" customHeight="false" outlineLevel="0" collapsed="false">
      <c r="A25" s="45" t="n">
        <v>36972</v>
      </c>
      <c r="B25" s="0" t="n">
        <f aca="false">B$2+B$3</f>
        <v>5.35</v>
      </c>
      <c r="C25" s="44" t="n">
        <f aca="false">GasDaily!C25</f>
        <v>3.835</v>
      </c>
      <c r="D25" s="26" t="n">
        <v>-20000</v>
      </c>
      <c r="E25" s="26" t="n">
        <v>5000</v>
      </c>
      <c r="F25" s="26" t="n">
        <v>5000</v>
      </c>
      <c r="G25" s="26" t="n">
        <v>8500</v>
      </c>
      <c r="H25" s="26" t="n">
        <v>10000</v>
      </c>
      <c r="I25" s="26" t="n">
        <v>5000</v>
      </c>
      <c r="J25" s="26" t="n">
        <v>10000</v>
      </c>
      <c r="K25" s="26" t="n">
        <v>10000</v>
      </c>
      <c r="L25" s="26" t="n">
        <v>-10000</v>
      </c>
      <c r="M25" s="26" t="n">
        <v>-10000</v>
      </c>
      <c r="N25" s="26" t="n">
        <v>-10000</v>
      </c>
      <c r="O25" s="26" t="n">
        <v>10000</v>
      </c>
      <c r="P25" s="26" t="n">
        <v>10000</v>
      </c>
      <c r="Q25" s="26" t="n">
        <v>-10000</v>
      </c>
      <c r="R25" s="26" t="n">
        <v>10000</v>
      </c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13" t="n">
        <f aca="false">SUM(D25:AB25)</f>
        <v>23500</v>
      </c>
      <c r="AF25" s="46"/>
      <c r="AG25" s="0" t="n">
        <f aca="false">D25*($C25-D$2)</f>
        <v>-1900</v>
      </c>
      <c r="AH25" s="0" t="n">
        <f aca="false">E25*($C25-E$2)</f>
        <v>825</v>
      </c>
      <c r="AI25" s="0" t="n">
        <f aca="false">F25*($C25-F$2)</f>
        <v>850</v>
      </c>
      <c r="AJ25" s="0" t="n">
        <f aca="false">G25*($C25-G$2)</f>
        <v>1615</v>
      </c>
      <c r="AK25" s="0" t="n">
        <f aca="false">H25*($C25-H$2)</f>
        <v>2100</v>
      </c>
      <c r="AL25" s="0" t="n">
        <f aca="false">I25*($C25-I$2)</f>
        <v>1050</v>
      </c>
      <c r="AM25" s="0" t="n">
        <f aca="false">J25*($C25-J$2)</f>
        <v>2000</v>
      </c>
      <c r="AN25" s="0" t="n">
        <f aca="false">K25*($C25-K$2)</f>
        <v>150.000000000001</v>
      </c>
      <c r="AO25" s="0" t="n">
        <f aca="false">L25*($C25-L$2)</f>
        <v>-249.999999999999</v>
      </c>
      <c r="AP25" s="0" t="n">
        <f aca="false">M25*($C25-M$2)</f>
        <v>-649.999999999999</v>
      </c>
      <c r="AQ25" s="0" t="n">
        <f aca="false">N25*($C25-N$2)</f>
        <v>-449.999999999999</v>
      </c>
      <c r="AR25" s="0" t="n">
        <f aca="false">O25*($C25-O$2)</f>
        <v>499.999999999998</v>
      </c>
      <c r="AS25" s="0" t="n">
        <f aca="false">P25*($C25-P$2)</f>
        <v>200</v>
      </c>
      <c r="AT25" s="0" t="n">
        <f aca="false">Q25*($C25-Q$2)</f>
        <v>200</v>
      </c>
      <c r="AU25" s="0" t="n">
        <f aca="false">R25*($C25-R$2)</f>
        <v>-300.000000000003</v>
      </c>
      <c r="AV25" s="0" t="n">
        <f aca="false">S25*($C25-S$2)</f>
        <v>0</v>
      </c>
      <c r="AW25" s="0" t="n">
        <f aca="false">T25*($C25-T$2)</f>
        <v>0</v>
      </c>
      <c r="AX25" s="0" t="n">
        <f aca="false">U25*($C25-U$2)</f>
        <v>0</v>
      </c>
      <c r="AY25" s="0" t="n">
        <f aca="false">V25*($C25-V$2)</f>
        <v>0</v>
      </c>
      <c r="AZ25" s="0" t="n">
        <f aca="false">W25*($C25-W$2)</f>
        <v>0</v>
      </c>
      <c r="BA25" s="0" t="n">
        <f aca="false">X25*($C25-X$2)</f>
        <v>0</v>
      </c>
      <c r="BB25" s="0" t="n">
        <f aca="false">Y25*($C25-Y$2)</f>
        <v>0</v>
      </c>
      <c r="BC25" s="0" t="n">
        <f aca="false">Z25*($C25-Z$2)</f>
        <v>0</v>
      </c>
      <c r="BD25" s="0" t="n">
        <f aca="false">AA25*($C25-AA$2)</f>
        <v>0</v>
      </c>
      <c r="BE25" s="0" t="n">
        <f aca="false">AB25*($C25-AB$2)</f>
        <v>0</v>
      </c>
      <c r="BF25" s="0" t="n">
        <f aca="false">AC25*($C25-AC$2)</f>
        <v>0</v>
      </c>
      <c r="BG25" s="0" t="n">
        <f aca="false">AD25*($C25-AD$2)</f>
        <v>0</v>
      </c>
      <c r="BJ25" s="0" t="n">
        <f aca="false">SUM(AG25:BI25)</f>
        <v>5940.00000000001</v>
      </c>
    </row>
    <row r="26" customFormat="false" ht="12.75" hidden="false" customHeight="false" outlineLevel="0" collapsed="false">
      <c r="A26" s="45" t="n">
        <v>36973</v>
      </c>
      <c r="B26" s="0" t="n">
        <f aca="false">B$2+B$3</f>
        <v>5.35</v>
      </c>
      <c r="C26" s="44" t="n">
        <f aca="false">GasDaily!C26</f>
        <v>3.835</v>
      </c>
      <c r="D26" s="26" t="n">
        <v>-20000</v>
      </c>
      <c r="E26" s="26" t="n">
        <v>5000</v>
      </c>
      <c r="F26" s="26" t="n">
        <v>5000</v>
      </c>
      <c r="G26" s="26" t="n">
        <v>8500</v>
      </c>
      <c r="H26" s="26" t="n">
        <v>10000</v>
      </c>
      <c r="I26" s="26" t="n">
        <v>5000</v>
      </c>
      <c r="J26" s="26" t="n">
        <v>10000</v>
      </c>
      <c r="K26" s="26" t="n">
        <v>10000</v>
      </c>
      <c r="L26" s="26" t="n">
        <v>-10000</v>
      </c>
      <c r="M26" s="26" t="n">
        <v>-10000</v>
      </c>
      <c r="N26" s="26" t="n">
        <v>-10000</v>
      </c>
      <c r="O26" s="26" t="n">
        <v>10000</v>
      </c>
      <c r="P26" s="26" t="n">
        <v>10000</v>
      </c>
      <c r="Q26" s="26" t="n">
        <v>-10000</v>
      </c>
      <c r="R26" s="26" t="n">
        <v>10000</v>
      </c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13" t="n">
        <f aca="false">SUM(D26:AB26)</f>
        <v>23500</v>
      </c>
      <c r="AF26" s="46"/>
      <c r="AG26" s="0" t="n">
        <f aca="false">D26*($C26-D$2)</f>
        <v>-1900</v>
      </c>
      <c r="AH26" s="0" t="n">
        <f aca="false">E26*($C26-E$2)</f>
        <v>825</v>
      </c>
      <c r="AI26" s="0" t="n">
        <f aca="false">F26*($C26-F$2)</f>
        <v>850</v>
      </c>
      <c r="AJ26" s="0" t="n">
        <f aca="false">G26*($C26-G$2)</f>
        <v>1615</v>
      </c>
      <c r="AK26" s="0" t="n">
        <f aca="false">H26*($C26-H$2)</f>
        <v>2100</v>
      </c>
      <c r="AL26" s="0" t="n">
        <f aca="false">I26*($C26-I$2)</f>
        <v>1050</v>
      </c>
      <c r="AM26" s="0" t="n">
        <f aca="false">J26*($C26-J$2)</f>
        <v>2000</v>
      </c>
      <c r="AN26" s="0" t="n">
        <f aca="false">K26*($C26-K$2)</f>
        <v>150.000000000001</v>
      </c>
      <c r="AO26" s="0" t="n">
        <f aca="false">L26*($C26-L$2)</f>
        <v>-249.999999999999</v>
      </c>
      <c r="AP26" s="0" t="n">
        <f aca="false">M26*($C26-M$2)</f>
        <v>-649.999999999999</v>
      </c>
      <c r="AQ26" s="0" t="n">
        <f aca="false">N26*($C26-N$2)</f>
        <v>-449.999999999999</v>
      </c>
      <c r="AR26" s="0" t="n">
        <f aca="false">O26*($C26-O$2)</f>
        <v>499.999999999998</v>
      </c>
      <c r="AS26" s="0" t="n">
        <f aca="false">P26*($C26-P$2)</f>
        <v>200</v>
      </c>
      <c r="AT26" s="0" t="n">
        <f aca="false">Q26*($C26-Q$2)</f>
        <v>200</v>
      </c>
      <c r="AU26" s="0" t="n">
        <f aca="false">R26*($C26-R$2)</f>
        <v>-300.000000000003</v>
      </c>
      <c r="AV26" s="0" t="n">
        <f aca="false">S26*($C26-S$2)</f>
        <v>0</v>
      </c>
      <c r="AW26" s="0" t="n">
        <f aca="false">T26*($C26-T$2)</f>
        <v>0</v>
      </c>
      <c r="AX26" s="0" t="n">
        <f aca="false">U26*($C26-U$2)</f>
        <v>0</v>
      </c>
      <c r="AY26" s="0" t="n">
        <f aca="false">V26*($C26-V$2)</f>
        <v>0</v>
      </c>
      <c r="AZ26" s="0" t="n">
        <f aca="false">W26*($C26-W$2)</f>
        <v>0</v>
      </c>
      <c r="BA26" s="0" t="n">
        <f aca="false">X26*($C26-X$2)</f>
        <v>0</v>
      </c>
      <c r="BB26" s="0" t="n">
        <f aca="false">Y26*($C26-Y$2)</f>
        <v>0</v>
      </c>
      <c r="BC26" s="0" t="n">
        <f aca="false">Z26*($C26-Z$2)</f>
        <v>0</v>
      </c>
      <c r="BD26" s="0" t="n">
        <f aca="false">AA26*($C26-AA$2)</f>
        <v>0</v>
      </c>
      <c r="BE26" s="0" t="n">
        <f aca="false">AB26*($C26-AB$2)</f>
        <v>0</v>
      </c>
      <c r="BF26" s="0" t="n">
        <f aca="false">AC26*($C26-AC$2)</f>
        <v>0</v>
      </c>
      <c r="BG26" s="0" t="n">
        <f aca="false">AD26*($C26-AD$2)</f>
        <v>0</v>
      </c>
      <c r="BJ26" s="0" t="n">
        <f aca="false">SUM(AG26:BI26)</f>
        <v>5940.00000000001</v>
      </c>
    </row>
    <row r="27" customFormat="false" ht="12.75" hidden="false" customHeight="false" outlineLevel="0" collapsed="false">
      <c r="A27" s="45" t="n">
        <v>36974</v>
      </c>
      <c r="B27" s="0" t="n">
        <f aca="false">B$2+B$3</f>
        <v>5.35</v>
      </c>
      <c r="C27" s="44" t="n">
        <f aca="false">GasDaily!C27</f>
        <v>3.835</v>
      </c>
      <c r="D27" s="26" t="n">
        <v>-20000</v>
      </c>
      <c r="E27" s="26" t="n">
        <v>5000</v>
      </c>
      <c r="F27" s="26" t="n">
        <v>5000</v>
      </c>
      <c r="G27" s="26" t="n">
        <v>8500</v>
      </c>
      <c r="H27" s="26" t="n">
        <v>10000</v>
      </c>
      <c r="I27" s="26" t="n">
        <v>5000</v>
      </c>
      <c r="J27" s="26" t="n">
        <v>10000</v>
      </c>
      <c r="K27" s="26" t="n">
        <v>10000</v>
      </c>
      <c r="L27" s="26" t="n">
        <v>-10000</v>
      </c>
      <c r="M27" s="26" t="n">
        <v>-10000</v>
      </c>
      <c r="N27" s="26" t="n">
        <v>-10000</v>
      </c>
      <c r="O27" s="26" t="n">
        <v>10000</v>
      </c>
      <c r="P27" s="26" t="n">
        <v>10000</v>
      </c>
      <c r="Q27" s="26" t="n">
        <v>-10000</v>
      </c>
      <c r="R27" s="26" t="n">
        <v>10000</v>
      </c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13" t="n">
        <f aca="false">SUM(D27:AB27)</f>
        <v>23500</v>
      </c>
      <c r="AF27" s="46"/>
      <c r="AG27" s="0" t="n">
        <f aca="false">D27*($C27-D$2)</f>
        <v>-1900</v>
      </c>
      <c r="AH27" s="0" t="n">
        <f aca="false">E27*($C27-E$2)</f>
        <v>825</v>
      </c>
      <c r="AI27" s="0" t="n">
        <f aca="false">F27*($C27-F$2)</f>
        <v>850</v>
      </c>
      <c r="AJ27" s="0" t="n">
        <f aca="false">G27*($C27-G$2)</f>
        <v>1615</v>
      </c>
      <c r="AK27" s="0" t="n">
        <f aca="false">H27*($C27-H$2)</f>
        <v>2100</v>
      </c>
      <c r="AL27" s="0" t="n">
        <f aca="false">I27*($C27-I$2)</f>
        <v>1050</v>
      </c>
      <c r="AM27" s="0" t="n">
        <f aca="false">J27*($C27-J$2)</f>
        <v>2000</v>
      </c>
      <c r="AN27" s="0" t="n">
        <f aca="false">K27*($C27-K$2)</f>
        <v>150.000000000001</v>
      </c>
      <c r="AO27" s="0" t="n">
        <f aca="false">L27*($C27-L$2)</f>
        <v>-249.999999999999</v>
      </c>
      <c r="AP27" s="0" t="n">
        <f aca="false">M27*($C27-M$2)</f>
        <v>-649.999999999999</v>
      </c>
      <c r="AQ27" s="0" t="n">
        <f aca="false">N27*($C27-N$2)</f>
        <v>-449.999999999999</v>
      </c>
      <c r="AR27" s="0" t="n">
        <f aca="false">O27*($C27-O$2)</f>
        <v>499.999999999998</v>
      </c>
      <c r="AS27" s="0" t="n">
        <f aca="false">P27*($C27-P$2)</f>
        <v>200</v>
      </c>
      <c r="AT27" s="0" t="n">
        <f aca="false">Q27*($C27-Q$2)</f>
        <v>200</v>
      </c>
      <c r="AU27" s="0" t="n">
        <f aca="false">R27*($C27-R$2)</f>
        <v>-300.000000000003</v>
      </c>
      <c r="AV27" s="0" t="n">
        <f aca="false">S27*($C27-S$2)</f>
        <v>0</v>
      </c>
      <c r="AW27" s="0" t="n">
        <f aca="false">T27*($C27-T$2)</f>
        <v>0</v>
      </c>
      <c r="AX27" s="0" t="n">
        <f aca="false">U27*($C27-U$2)</f>
        <v>0</v>
      </c>
      <c r="AY27" s="0" t="n">
        <f aca="false">V27*($C27-V$2)</f>
        <v>0</v>
      </c>
      <c r="AZ27" s="0" t="n">
        <f aca="false">W27*($C27-W$2)</f>
        <v>0</v>
      </c>
      <c r="BA27" s="0" t="n">
        <f aca="false">X27*($C27-X$2)</f>
        <v>0</v>
      </c>
      <c r="BB27" s="0" t="n">
        <f aca="false">Y27*($C27-Y$2)</f>
        <v>0</v>
      </c>
      <c r="BC27" s="0" t="n">
        <f aca="false">Z27*($C27-Z$2)</f>
        <v>0</v>
      </c>
      <c r="BD27" s="0" t="n">
        <f aca="false">AA27*($C27-AA$2)</f>
        <v>0</v>
      </c>
      <c r="BE27" s="0" t="n">
        <f aca="false">AB27*($C27-AB$2)</f>
        <v>0</v>
      </c>
      <c r="BF27" s="0" t="n">
        <f aca="false">AC27*($C27-AC$2)</f>
        <v>0</v>
      </c>
      <c r="BG27" s="0" t="n">
        <f aca="false">AD27*($C27-AD$2)</f>
        <v>0</v>
      </c>
      <c r="BJ27" s="0" t="n">
        <f aca="false">SUM(AG27:BI27)</f>
        <v>5940.00000000001</v>
      </c>
    </row>
    <row r="28" customFormat="false" ht="12.75" hidden="false" customHeight="false" outlineLevel="0" collapsed="false">
      <c r="A28" s="45" t="n">
        <v>36975</v>
      </c>
      <c r="B28" s="0" t="n">
        <f aca="false">B$2+B$3</f>
        <v>5.35</v>
      </c>
      <c r="C28" s="44" t="n">
        <f aca="false">GasDaily!C28</f>
        <v>3.835</v>
      </c>
      <c r="D28" s="26" t="n">
        <v>-20000</v>
      </c>
      <c r="E28" s="26" t="n">
        <v>5000</v>
      </c>
      <c r="F28" s="26" t="n">
        <v>5000</v>
      </c>
      <c r="G28" s="26" t="n">
        <v>8500</v>
      </c>
      <c r="H28" s="26" t="n">
        <v>10000</v>
      </c>
      <c r="I28" s="26" t="n">
        <v>5000</v>
      </c>
      <c r="J28" s="26" t="n">
        <v>10000</v>
      </c>
      <c r="K28" s="26" t="n">
        <v>10000</v>
      </c>
      <c r="L28" s="26" t="n">
        <v>-10000</v>
      </c>
      <c r="M28" s="26" t="n">
        <v>-10000</v>
      </c>
      <c r="N28" s="26" t="n">
        <v>-10000</v>
      </c>
      <c r="O28" s="26" t="n">
        <v>10000</v>
      </c>
      <c r="P28" s="26" t="n">
        <v>10000</v>
      </c>
      <c r="Q28" s="26" t="n">
        <v>-10000</v>
      </c>
      <c r="R28" s="26" t="n">
        <v>10000</v>
      </c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13" t="n">
        <f aca="false">SUM(D28:AD28)</f>
        <v>23500</v>
      </c>
      <c r="AF28" s="46"/>
      <c r="AG28" s="0" t="n">
        <f aca="false">D28*($C28-D$2)</f>
        <v>-1900</v>
      </c>
      <c r="AH28" s="0" t="n">
        <f aca="false">E28*($C28-E$2)</f>
        <v>825</v>
      </c>
      <c r="AI28" s="0" t="n">
        <f aca="false">F28*($C28-F$2)</f>
        <v>850</v>
      </c>
      <c r="AJ28" s="0" t="n">
        <f aca="false">G28*($C28-G$2)</f>
        <v>1615</v>
      </c>
      <c r="AK28" s="0" t="n">
        <f aca="false">H28*($C28-H$2)</f>
        <v>2100</v>
      </c>
      <c r="AL28" s="0" t="n">
        <f aca="false">I28*($C28-I$2)</f>
        <v>1050</v>
      </c>
      <c r="AM28" s="0" t="n">
        <f aca="false">J28*($C28-J$2)</f>
        <v>2000</v>
      </c>
      <c r="AN28" s="0" t="n">
        <f aca="false">K28*($C28-K$2)</f>
        <v>150.000000000001</v>
      </c>
      <c r="AO28" s="0" t="n">
        <f aca="false">L28*($C28-L$2)</f>
        <v>-249.999999999999</v>
      </c>
      <c r="AP28" s="0" t="n">
        <f aca="false">M28*($C28-M$2)</f>
        <v>-649.999999999999</v>
      </c>
      <c r="AQ28" s="0" t="n">
        <f aca="false">N28*($C28-N$2)</f>
        <v>-449.999999999999</v>
      </c>
      <c r="AR28" s="0" t="n">
        <f aca="false">O28*($C28-O$2)</f>
        <v>499.999999999998</v>
      </c>
      <c r="AS28" s="0" t="n">
        <f aca="false">P28*($C28-P$2)</f>
        <v>200</v>
      </c>
      <c r="AT28" s="0" t="n">
        <f aca="false">Q28*($C28-Q$2)</f>
        <v>200</v>
      </c>
      <c r="AU28" s="0" t="n">
        <f aca="false">R28*($C28-R$2)</f>
        <v>-300.000000000003</v>
      </c>
      <c r="AV28" s="0" t="n">
        <f aca="false">S28*($C28-S$2)</f>
        <v>0</v>
      </c>
      <c r="AW28" s="0" t="n">
        <f aca="false">T28*($C28-T$2)</f>
        <v>0</v>
      </c>
      <c r="AX28" s="0" t="n">
        <f aca="false">U28*($C28-U$2)</f>
        <v>0</v>
      </c>
      <c r="AY28" s="0" t="n">
        <f aca="false">V28*($C28-V$2)</f>
        <v>0</v>
      </c>
      <c r="AZ28" s="0" t="n">
        <f aca="false">W28*($C28-W$2)</f>
        <v>0</v>
      </c>
      <c r="BA28" s="0" t="n">
        <f aca="false">X28*($C28-X$2)</f>
        <v>0</v>
      </c>
      <c r="BB28" s="0" t="n">
        <f aca="false">Y28*($C28-Y$2)</f>
        <v>0</v>
      </c>
      <c r="BC28" s="0" t="n">
        <f aca="false">Z28*($C28-Z$2)</f>
        <v>0</v>
      </c>
      <c r="BD28" s="0" t="n">
        <f aca="false">AA28*($C28-AA$2)</f>
        <v>0</v>
      </c>
      <c r="BE28" s="0" t="n">
        <f aca="false">AB28*($C28-AB$2)</f>
        <v>0</v>
      </c>
      <c r="BF28" s="0" t="n">
        <f aca="false">AC28*($C28-AC$2)</f>
        <v>0</v>
      </c>
      <c r="BG28" s="0" t="n">
        <f aca="false">AD28*($C28-AD$2)</f>
        <v>0</v>
      </c>
      <c r="BJ28" s="0" t="n">
        <f aca="false">SUM(AG28:BI28)</f>
        <v>5940.00000000001</v>
      </c>
    </row>
    <row r="29" customFormat="false" ht="12.75" hidden="false" customHeight="false" outlineLevel="0" collapsed="false">
      <c r="A29" s="45" t="n">
        <v>36976</v>
      </c>
      <c r="B29" s="0" t="n">
        <f aca="false">B$2+B$3</f>
        <v>5.35</v>
      </c>
      <c r="C29" s="44" t="n">
        <f aca="false">GasDaily!C29</f>
        <v>3.835</v>
      </c>
      <c r="D29" s="26" t="n">
        <v>-20000</v>
      </c>
      <c r="E29" s="26" t="n">
        <v>5000</v>
      </c>
      <c r="F29" s="26" t="n">
        <v>5000</v>
      </c>
      <c r="G29" s="26" t="n">
        <v>8500</v>
      </c>
      <c r="H29" s="26" t="n">
        <v>10000</v>
      </c>
      <c r="I29" s="26" t="n">
        <v>5000</v>
      </c>
      <c r="J29" s="26" t="n">
        <v>10000</v>
      </c>
      <c r="K29" s="26" t="n">
        <v>10000</v>
      </c>
      <c r="L29" s="26" t="n">
        <v>-10000</v>
      </c>
      <c r="M29" s="26" t="n">
        <v>-10000</v>
      </c>
      <c r="N29" s="26" t="n">
        <v>-10000</v>
      </c>
      <c r="O29" s="26" t="n">
        <v>10000</v>
      </c>
      <c r="P29" s="26" t="n">
        <v>10000</v>
      </c>
      <c r="Q29" s="26" t="n">
        <v>-10000</v>
      </c>
      <c r="R29" s="26" t="n">
        <v>10000</v>
      </c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13" t="n">
        <f aca="false">SUM(D29:AD29)</f>
        <v>23500</v>
      </c>
      <c r="AF29" s="46"/>
      <c r="AG29" s="0" t="n">
        <f aca="false">D29*($C29-D$2)</f>
        <v>-1900</v>
      </c>
      <c r="AH29" s="0" t="n">
        <f aca="false">E29*($C29-E$2)</f>
        <v>825</v>
      </c>
      <c r="AI29" s="0" t="n">
        <f aca="false">F29*($C29-F$2)</f>
        <v>850</v>
      </c>
      <c r="AJ29" s="0" t="n">
        <f aca="false">G29*($C29-G$2)</f>
        <v>1615</v>
      </c>
      <c r="AK29" s="0" t="n">
        <f aca="false">H29*($C29-H$2)</f>
        <v>2100</v>
      </c>
      <c r="AL29" s="0" t="n">
        <f aca="false">I29*($C29-I$2)</f>
        <v>1050</v>
      </c>
      <c r="AM29" s="0" t="n">
        <f aca="false">J29*($C29-J$2)</f>
        <v>2000</v>
      </c>
      <c r="AN29" s="0" t="n">
        <f aca="false">K29*($C29-K$2)</f>
        <v>150.000000000001</v>
      </c>
      <c r="AO29" s="0" t="n">
        <f aca="false">L29*($C29-L$2)</f>
        <v>-249.999999999999</v>
      </c>
      <c r="AP29" s="0" t="n">
        <f aca="false">M29*($C29-M$2)</f>
        <v>-649.999999999999</v>
      </c>
      <c r="AQ29" s="0" t="n">
        <f aca="false">N29*($C29-N$2)</f>
        <v>-449.999999999999</v>
      </c>
      <c r="AR29" s="0" t="n">
        <f aca="false">O29*($C29-O$2)</f>
        <v>499.999999999998</v>
      </c>
      <c r="AS29" s="0" t="n">
        <f aca="false">P29*($C29-P$2)</f>
        <v>200</v>
      </c>
      <c r="AT29" s="0" t="n">
        <f aca="false">Q29*($C29-Q$2)</f>
        <v>200</v>
      </c>
      <c r="AU29" s="0" t="n">
        <f aca="false">R29*($C29-R$2)</f>
        <v>-300.000000000003</v>
      </c>
      <c r="AV29" s="0" t="n">
        <f aca="false">S29*($C29-S$2)</f>
        <v>0</v>
      </c>
      <c r="AW29" s="0" t="n">
        <f aca="false">T29*($C29-T$2)</f>
        <v>0</v>
      </c>
      <c r="AX29" s="0" t="n">
        <f aca="false">U29*($C29-U$2)</f>
        <v>0</v>
      </c>
      <c r="AY29" s="0" t="n">
        <f aca="false">V29*($C29-V$2)</f>
        <v>0</v>
      </c>
      <c r="AZ29" s="0" t="n">
        <f aca="false">W29*($C29-W$2)</f>
        <v>0</v>
      </c>
      <c r="BA29" s="0" t="n">
        <f aca="false">X29*($C29-X$2)</f>
        <v>0</v>
      </c>
      <c r="BB29" s="0" t="n">
        <f aca="false">Y29*($C29-Y$2)</f>
        <v>0</v>
      </c>
      <c r="BC29" s="0" t="n">
        <f aca="false">Z29*($C29-Z$2)</f>
        <v>0</v>
      </c>
      <c r="BD29" s="0" t="n">
        <f aca="false">AA29*($C29-AA$2)</f>
        <v>0</v>
      </c>
      <c r="BE29" s="0" t="n">
        <f aca="false">AB29*($C29-AB$2)</f>
        <v>0</v>
      </c>
      <c r="BF29" s="0" t="n">
        <f aca="false">AC29*($C29-AC$2)</f>
        <v>0</v>
      </c>
      <c r="BG29" s="0" t="n">
        <f aca="false">AD29*($C29-AD$2)</f>
        <v>0</v>
      </c>
      <c r="BJ29" s="0" t="n">
        <f aca="false">SUM(AG29:BI29)</f>
        <v>5940.00000000001</v>
      </c>
    </row>
    <row r="30" customFormat="false" ht="12.75" hidden="false" customHeight="false" outlineLevel="0" collapsed="false">
      <c r="A30" s="45" t="n">
        <v>36977</v>
      </c>
      <c r="B30" s="0" t="n">
        <f aca="false">B$2+B$3</f>
        <v>5.35</v>
      </c>
      <c r="C30" s="44" t="n">
        <f aca="false">GasDaily!C30</f>
        <v>3.835</v>
      </c>
      <c r="D30" s="26" t="n">
        <v>-20000</v>
      </c>
      <c r="E30" s="26" t="n">
        <v>5000</v>
      </c>
      <c r="F30" s="26" t="n">
        <v>5000</v>
      </c>
      <c r="G30" s="26" t="n">
        <v>8500</v>
      </c>
      <c r="H30" s="26" t="n">
        <v>10000</v>
      </c>
      <c r="I30" s="26" t="n">
        <v>5000</v>
      </c>
      <c r="J30" s="26" t="n">
        <v>10000</v>
      </c>
      <c r="K30" s="26" t="n">
        <v>10000</v>
      </c>
      <c r="L30" s="26" t="n">
        <v>-10000</v>
      </c>
      <c r="M30" s="26" t="n">
        <v>-10000</v>
      </c>
      <c r="N30" s="26" t="n">
        <v>-10000</v>
      </c>
      <c r="O30" s="26" t="n">
        <v>10000</v>
      </c>
      <c r="P30" s="26" t="n">
        <v>10000</v>
      </c>
      <c r="Q30" s="26" t="n">
        <v>-10000</v>
      </c>
      <c r="R30" s="26" t="n">
        <v>10000</v>
      </c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13" t="n">
        <f aca="false">SUM(D30:AD30)</f>
        <v>23500</v>
      </c>
      <c r="AF30" s="46"/>
      <c r="AG30" s="0" t="n">
        <f aca="false">D30*($C30-D$2)</f>
        <v>-1900</v>
      </c>
      <c r="AH30" s="0" t="n">
        <f aca="false">E30*($C30-E$2)</f>
        <v>825</v>
      </c>
      <c r="AI30" s="0" t="n">
        <f aca="false">F30*($C30-F$2)</f>
        <v>850</v>
      </c>
      <c r="AJ30" s="0" t="n">
        <f aca="false">G30*($C30-G$2)</f>
        <v>1615</v>
      </c>
      <c r="AK30" s="0" t="n">
        <f aca="false">H30*($C30-H$2)</f>
        <v>2100</v>
      </c>
      <c r="AL30" s="0" t="n">
        <f aca="false">I30*($C30-I$2)</f>
        <v>1050</v>
      </c>
      <c r="AM30" s="0" t="n">
        <f aca="false">J30*($C30-J$2)</f>
        <v>2000</v>
      </c>
      <c r="AN30" s="0" t="n">
        <f aca="false">K30*($C30-K$2)</f>
        <v>150.000000000001</v>
      </c>
      <c r="AO30" s="0" t="n">
        <f aca="false">L30*($C30-L$2)</f>
        <v>-249.999999999999</v>
      </c>
      <c r="AP30" s="0" t="n">
        <f aca="false">M30*($C30-M$2)</f>
        <v>-649.999999999999</v>
      </c>
      <c r="AQ30" s="0" t="n">
        <f aca="false">N30*($C30-N$2)</f>
        <v>-449.999999999999</v>
      </c>
      <c r="AR30" s="0" t="n">
        <f aca="false">O30*($C30-O$2)</f>
        <v>499.999999999998</v>
      </c>
      <c r="AS30" s="0" t="n">
        <f aca="false">P30*($C30-P$2)</f>
        <v>200</v>
      </c>
      <c r="AT30" s="0" t="n">
        <f aca="false">Q30*($C30-Q$2)</f>
        <v>200</v>
      </c>
      <c r="AU30" s="0" t="n">
        <f aca="false">R30*($C30-R$2)</f>
        <v>-300.000000000003</v>
      </c>
      <c r="AV30" s="0" t="n">
        <f aca="false">S30*($C30-S$2)</f>
        <v>0</v>
      </c>
      <c r="AW30" s="0" t="n">
        <f aca="false">T30*($C30-T$2)</f>
        <v>0</v>
      </c>
      <c r="AX30" s="0" t="n">
        <f aca="false">U30*($C30-U$2)</f>
        <v>0</v>
      </c>
      <c r="AY30" s="0" t="n">
        <f aca="false">V30*($C30-V$2)</f>
        <v>0</v>
      </c>
      <c r="AZ30" s="0" t="n">
        <f aca="false">W30*($C30-W$2)</f>
        <v>0</v>
      </c>
      <c r="BA30" s="0" t="n">
        <f aca="false">X30*($C30-X$2)</f>
        <v>0</v>
      </c>
      <c r="BB30" s="0" t="n">
        <f aca="false">Y30*($C30-Y$2)</f>
        <v>0</v>
      </c>
      <c r="BC30" s="0" t="n">
        <f aca="false">Z30*($C30-Z$2)</f>
        <v>0</v>
      </c>
      <c r="BD30" s="0" t="n">
        <f aca="false">AA30*($C30-AA$2)</f>
        <v>0</v>
      </c>
      <c r="BE30" s="0" t="n">
        <f aca="false">AB30*($C30-AB$2)</f>
        <v>0</v>
      </c>
      <c r="BF30" s="0" t="n">
        <f aca="false">AC30*($C30-AC$2)</f>
        <v>0</v>
      </c>
      <c r="BG30" s="0" t="n">
        <f aca="false">AD30*($C30-AD$2)</f>
        <v>0</v>
      </c>
      <c r="BJ30" s="0" t="n">
        <f aca="false">SUM(AG30:BI30)</f>
        <v>5940.00000000001</v>
      </c>
    </row>
    <row r="31" customFormat="false" ht="12.75" hidden="false" customHeight="false" outlineLevel="0" collapsed="false">
      <c r="A31" s="45" t="n">
        <v>36978</v>
      </c>
      <c r="B31" s="0" t="n">
        <f aca="false">B$2+B$3</f>
        <v>5.35</v>
      </c>
      <c r="C31" s="44" t="n">
        <f aca="false">GasDaily!C31</f>
        <v>3.835</v>
      </c>
      <c r="D31" s="26" t="n">
        <v>-20000</v>
      </c>
      <c r="E31" s="26" t="n">
        <v>5000</v>
      </c>
      <c r="F31" s="26" t="n">
        <v>5000</v>
      </c>
      <c r="G31" s="26" t="n">
        <v>8500</v>
      </c>
      <c r="H31" s="26" t="n">
        <v>10000</v>
      </c>
      <c r="I31" s="26" t="n">
        <v>5000</v>
      </c>
      <c r="J31" s="26" t="n">
        <v>10000</v>
      </c>
      <c r="K31" s="26" t="n">
        <v>10000</v>
      </c>
      <c r="L31" s="26" t="n">
        <v>-10000</v>
      </c>
      <c r="M31" s="26" t="n">
        <v>-10000</v>
      </c>
      <c r="N31" s="26" t="n">
        <v>-10000</v>
      </c>
      <c r="O31" s="26" t="n">
        <v>10000</v>
      </c>
      <c r="P31" s="26" t="n">
        <v>10000</v>
      </c>
      <c r="Q31" s="26" t="n">
        <v>-10000</v>
      </c>
      <c r="R31" s="26" t="n">
        <v>10000</v>
      </c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13" t="n">
        <f aca="false">SUM(D31:AD31)</f>
        <v>23500</v>
      </c>
      <c r="AF31" s="46"/>
      <c r="AG31" s="0" t="n">
        <f aca="false">D31*($C31-D$2)</f>
        <v>-1900</v>
      </c>
      <c r="AH31" s="0" t="n">
        <f aca="false">E31*($C31-E$2)</f>
        <v>825</v>
      </c>
      <c r="AI31" s="0" t="n">
        <f aca="false">F31*($C31-F$2)</f>
        <v>850</v>
      </c>
      <c r="AJ31" s="0" t="n">
        <f aca="false">G31*($C31-G$2)</f>
        <v>1615</v>
      </c>
      <c r="AK31" s="0" t="n">
        <f aca="false">H31*($C31-H$2)</f>
        <v>2100</v>
      </c>
      <c r="AL31" s="0" t="n">
        <f aca="false">I31*($C31-I$2)</f>
        <v>1050</v>
      </c>
      <c r="AM31" s="0" t="n">
        <f aca="false">J31*($C31-J$2)</f>
        <v>2000</v>
      </c>
      <c r="AN31" s="0" t="n">
        <f aca="false">K31*($C31-K$2)</f>
        <v>150.000000000001</v>
      </c>
      <c r="AO31" s="0" t="n">
        <f aca="false">L31*($C31-L$2)</f>
        <v>-249.999999999999</v>
      </c>
      <c r="AP31" s="0" t="n">
        <f aca="false">M31*($C31-M$2)</f>
        <v>-649.999999999999</v>
      </c>
      <c r="AQ31" s="0" t="n">
        <f aca="false">N31*($C31-N$2)</f>
        <v>-449.999999999999</v>
      </c>
      <c r="AR31" s="0" t="n">
        <f aca="false">O31*($C31-O$2)</f>
        <v>499.999999999998</v>
      </c>
      <c r="AS31" s="0" t="n">
        <f aca="false">P31*($C31-P$2)</f>
        <v>200</v>
      </c>
      <c r="AT31" s="0" t="n">
        <f aca="false">Q31*($C31-Q$2)</f>
        <v>200</v>
      </c>
      <c r="AU31" s="0" t="n">
        <f aca="false">R31*($C31-R$2)</f>
        <v>-300.000000000003</v>
      </c>
      <c r="AV31" s="0" t="n">
        <f aca="false">S31*($C31-S$2)</f>
        <v>0</v>
      </c>
      <c r="AW31" s="0" t="n">
        <f aca="false">T31*($C31-T$2)</f>
        <v>0</v>
      </c>
      <c r="AX31" s="0" t="n">
        <f aca="false">U31*($C31-U$2)</f>
        <v>0</v>
      </c>
      <c r="AY31" s="0" t="n">
        <f aca="false">V31*($C31-V$2)</f>
        <v>0</v>
      </c>
      <c r="AZ31" s="0" t="n">
        <f aca="false">W31*($C31-W$2)</f>
        <v>0</v>
      </c>
      <c r="BA31" s="0" t="n">
        <f aca="false">X31*($C31-X$2)</f>
        <v>0</v>
      </c>
      <c r="BB31" s="0" t="n">
        <f aca="false">Y31*($C31-Y$2)</f>
        <v>0</v>
      </c>
      <c r="BC31" s="0" t="n">
        <f aca="false">Z31*($C31-Z$2)</f>
        <v>0</v>
      </c>
      <c r="BD31" s="0" t="n">
        <f aca="false">AA31*($C31-AA$2)</f>
        <v>0</v>
      </c>
      <c r="BE31" s="0" t="n">
        <f aca="false">AB31*($C31-AB$2)</f>
        <v>0</v>
      </c>
      <c r="BF31" s="0" t="n">
        <f aca="false">AC31*($C31-AC$2)</f>
        <v>0</v>
      </c>
      <c r="BG31" s="0" t="n">
        <f aca="false">AD31*($C31-AD$2)</f>
        <v>0</v>
      </c>
      <c r="BJ31" s="0" t="n">
        <f aca="false">SUM(AG31:BI31)</f>
        <v>5940.00000000001</v>
      </c>
    </row>
    <row r="32" customFormat="false" ht="12.75" hidden="false" customHeight="false" outlineLevel="0" collapsed="false">
      <c r="A32" s="45" t="n">
        <v>36979</v>
      </c>
      <c r="B32" s="0" t="n">
        <f aca="false">B$2+B$3</f>
        <v>5.35</v>
      </c>
      <c r="C32" s="44" t="n">
        <f aca="false">GasDaily!C32</f>
        <v>3.835</v>
      </c>
      <c r="D32" s="26" t="n">
        <v>-20000</v>
      </c>
      <c r="E32" s="26" t="n">
        <v>5000</v>
      </c>
      <c r="F32" s="26" t="n">
        <v>5000</v>
      </c>
      <c r="G32" s="26" t="n">
        <v>8500</v>
      </c>
      <c r="H32" s="26" t="n">
        <v>10000</v>
      </c>
      <c r="I32" s="26" t="n">
        <v>5000</v>
      </c>
      <c r="J32" s="26" t="n">
        <v>10000</v>
      </c>
      <c r="K32" s="26" t="n">
        <v>10000</v>
      </c>
      <c r="L32" s="26" t="n">
        <v>-10000</v>
      </c>
      <c r="M32" s="26" t="n">
        <v>-10000</v>
      </c>
      <c r="N32" s="26" t="n">
        <v>-10000</v>
      </c>
      <c r="O32" s="26" t="n">
        <v>10000</v>
      </c>
      <c r="P32" s="26" t="n">
        <v>10000</v>
      </c>
      <c r="Q32" s="26" t="n">
        <v>-10000</v>
      </c>
      <c r="R32" s="26" t="n">
        <v>10000</v>
      </c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13" t="n">
        <f aca="false">SUM(D32:AD32)</f>
        <v>23500</v>
      </c>
      <c r="AF32" s="46"/>
      <c r="AG32" s="0" t="n">
        <f aca="false">D32*($C32-D$2)</f>
        <v>-1900</v>
      </c>
      <c r="AH32" s="0" t="n">
        <f aca="false">E32*($C32-E$2)</f>
        <v>825</v>
      </c>
      <c r="AI32" s="0" t="n">
        <f aca="false">F32*($C32-F$2)</f>
        <v>850</v>
      </c>
      <c r="AJ32" s="0" t="n">
        <f aca="false">G32*($C32-G$2)</f>
        <v>1615</v>
      </c>
      <c r="AK32" s="0" t="n">
        <f aca="false">H32*($C32-H$2)</f>
        <v>2100</v>
      </c>
      <c r="AL32" s="0" t="n">
        <f aca="false">I32*($C32-I$2)</f>
        <v>1050</v>
      </c>
      <c r="AM32" s="0" t="n">
        <f aca="false">J32*($C32-J$2)</f>
        <v>2000</v>
      </c>
      <c r="AN32" s="0" t="n">
        <f aca="false">K32*($C32-K$2)</f>
        <v>150.000000000001</v>
      </c>
      <c r="AO32" s="0" t="n">
        <f aca="false">L32*($C32-L$2)</f>
        <v>-249.999999999999</v>
      </c>
      <c r="AP32" s="0" t="n">
        <f aca="false">M32*($C32-M$2)</f>
        <v>-649.999999999999</v>
      </c>
      <c r="AQ32" s="0" t="n">
        <f aca="false">N32*($C32-N$2)</f>
        <v>-449.999999999999</v>
      </c>
      <c r="AR32" s="0" t="n">
        <f aca="false">O32*($C32-O$2)</f>
        <v>499.999999999998</v>
      </c>
      <c r="AS32" s="0" t="n">
        <f aca="false">P32*($C32-P$2)</f>
        <v>200</v>
      </c>
      <c r="AT32" s="0" t="n">
        <f aca="false">Q32*($C32-Q$2)</f>
        <v>200</v>
      </c>
      <c r="AU32" s="0" t="n">
        <f aca="false">R32*($C32-R$2)</f>
        <v>-300.000000000003</v>
      </c>
      <c r="AV32" s="0" t="n">
        <f aca="false">S32*($C32-S$2)</f>
        <v>0</v>
      </c>
      <c r="AW32" s="0" t="n">
        <f aca="false">T32*($C32-T$2)</f>
        <v>0</v>
      </c>
      <c r="AX32" s="0" t="n">
        <f aca="false">U32*($C32-U$2)</f>
        <v>0</v>
      </c>
      <c r="AY32" s="0" t="n">
        <f aca="false">V32*($C32-V$2)</f>
        <v>0</v>
      </c>
      <c r="AZ32" s="0" t="n">
        <f aca="false">W32*($C32-W$2)</f>
        <v>0</v>
      </c>
      <c r="BA32" s="0" t="n">
        <f aca="false">X32*($C32-X$2)</f>
        <v>0</v>
      </c>
      <c r="BB32" s="0" t="n">
        <f aca="false">Y32*($C32-Y$2)</f>
        <v>0</v>
      </c>
      <c r="BC32" s="0" t="n">
        <f aca="false">Z32*($C32-Z$2)</f>
        <v>0</v>
      </c>
      <c r="BD32" s="0" t="n">
        <f aca="false">AA32*($C32-AA$2)</f>
        <v>0</v>
      </c>
      <c r="BE32" s="0" t="n">
        <f aca="false">AB32*($C32-AB$2)</f>
        <v>0</v>
      </c>
      <c r="BF32" s="0" t="n">
        <f aca="false">AC32*($C32-AC$2)</f>
        <v>0</v>
      </c>
      <c r="BG32" s="0" t="n">
        <f aca="false">AD32*($C32-AD$2)</f>
        <v>0</v>
      </c>
      <c r="BJ32" s="0" t="n">
        <f aca="false">SUM(AG32:BI32)</f>
        <v>5940.00000000001</v>
      </c>
    </row>
    <row r="33" customFormat="false" ht="12.75" hidden="false" customHeight="false" outlineLevel="0" collapsed="false">
      <c r="A33" s="45" t="n">
        <v>36980</v>
      </c>
      <c r="B33" s="0" t="n">
        <f aca="false">B$2+B$3</f>
        <v>5.35</v>
      </c>
      <c r="C33" s="44" t="n">
        <f aca="false">GasDaily!C33</f>
        <v>3.835</v>
      </c>
      <c r="D33" s="26" t="n">
        <v>-20000</v>
      </c>
      <c r="E33" s="26" t="n">
        <v>5000</v>
      </c>
      <c r="F33" s="26" t="n">
        <v>5000</v>
      </c>
      <c r="G33" s="26" t="n">
        <v>8500</v>
      </c>
      <c r="H33" s="26" t="n">
        <v>10000</v>
      </c>
      <c r="I33" s="26" t="n">
        <v>5000</v>
      </c>
      <c r="J33" s="26" t="n">
        <v>10000</v>
      </c>
      <c r="K33" s="26" t="n">
        <v>10000</v>
      </c>
      <c r="L33" s="26" t="n">
        <v>-10000</v>
      </c>
      <c r="M33" s="26" t="n">
        <v>-10000</v>
      </c>
      <c r="N33" s="26" t="n">
        <v>-10000</v>
      </c>
      <c r="O33" s="26" t="n">
        <v>10000</v>
      </c>
      <c r="P33" s="26" t="n">
        <v>10000</v>
      </c>
      <c r="Q33" s="26" t="n">
        <v>-10000</v>
      </c>
      <c r="R33" s="26" t="n">
        <v>10000</v>
      </c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13" t="n">
        <f aca="false">SUM(D33:AD33)</f>
        <v>23500</v>
      </c>
      <c r="AG33" s="0" t="n">
        <f aca="false">D33*($C33-D$2)</f>
        <v>-1900</v>
      </c>
      <c r="AH33" s="0" t="n">
        <f aca="false">E33*($C33-E$2)</f>
        <v>825</v>
      </c>
      <c r="AI33" s="0" t="n">
        <f aca="false">F33*($C33-F$2)</f>
        <v>850</v>
      </c>
      <c r="AJ33" s="0" t="n">
        <f aca="false">G33*($C33-G$2)</f>
        <v>1615</v>
      </c>
      <c r="AK33" s="0" t="n">
        <f aca="false">H33*($C33-H$2)</f>
        <v>2100</v>
      </c>
      <c r="AL33" s="0" t="n">
        <f aca="false">I33*($C33-I$2)</f>
        <v>1050</v>
      </c>
      <c r="AM33" s="0" t="n">
        <f aca="false">J33*($C33-J$2)</f>
        <v>2000</v>
      </c>
      <c r="AN33" s="0" t="n">
        <f aca="false">K33*($C33-K$2)</f>
        <v>150.000000000001</v>
      </c>
      <c r="AO33" s="0" t="n">
        <f aca="false">L33*($C33-L$2)</f>
        <v>-249.999999999999</v>
      </c>
      <c r="AP33" s="0" t="n">
        <f aca="false">M33*($C33-M$2)</f>
        <v>-649.999999999999</v>
      </c>
      <c r="AQ33" s="0" t="n">
        <f aca="false">N33*($C33-N$2)</f>
        <v>-449.999999999999</v>
      </c>
      <c r="AR33" s="0" t="n">
        <f aca="false">O33*($C33-O$2)</f>
        <v>499.999999999998</v>
      </c>
      <c r="AS33" s="0" t="n">
        <f aca="false">P33*($C33-P$2)</f>
        <v>200</v>
      </c>
      <c r="AT33" s="0" t="n">
        <f aca="false">Q33*($C33-Q$2)</f>
        <v>200</v>
      </c>
      <c r="AU33" s="0" t="n">
        <f aca="false">R33*($C33-R$2)</f>
        <v>-300.000000000003</v>
      </c>
      <c r="AV33" s="0" t="n">
        <f aca="false">S33*($C33-S$2)</f>
        <v>0</v>
      </c>
      <c r="AW33" s="0" t="n">
        <f aca="false">T33*($C33-T$2)</f>
        <v>0</v>
      </c>
      <c r="AX33" s="0" t="n">
        <f aca="false">U33*($C33-U$2)</f>
        <v>0</v>
      </c>
      <c r="AY33" s="0" t="n">
        <f aca="false">V33*($C33-V$2)</f>
        <v>0</v>
      </c>
      <c r="AZ33" s="0" t="n">
        <f aca="false">W33*($C33-W$2)</f>
        <v>0</v>
      </c>
      <c r="BA33" s="0" t="n">
        <f aca="false">X33*($C33-X$2)</f>
        <v>0</v>
      </c>
      <c r="BB33" s="0" t="n">
        <f aca="false">Y33*($C33-Y$2)</f>
        <v>0</v>
      </c>
      <c r="BC33" s="0" t="n">
        <f aca="false">Z33*($C33-Z$2)</f>
        <v>0</v>
      </c>
      <c r="BD33" s="0" t="n">
        <f aca="false">AA33*($C33-AA$2)</f>
        <v>0</v>
      </c>
      <c r="BE33" s="0" t="n">
        <f aca="false">AB33*($C33-AB$2)</f>
        <v>0</v>
      </c>
      <c r="BF33" s="0" t="n">
        <f aca="false">AC33*($C33-AC$2)</f>
        <v>0</v>
      </c>
      <c r="BG33" s="0" t="n">
        <f aca="false">AD33*($C33-AD$2)</f>
        <v>0</v>
      </c>
      <c r="BJ33" s="0" t="n">
        <f aca="false">SUM(AG33:BI33)</f>
        <v>5940.00000000001</v>
      </c>
    </row>
    <row r="34" customFormat="false" ht="12.75" hidden="false" customHeight="false" outlineLevel="0" collapsed="false">
      <c r="A34" s="45" t="n">
        <v>36981</v>
      </c>
      <c r="B34" s="0" t="n">
        <f aca="false">B$2+B$3</f>
        <v>5.35</v>
      </c>
      <c r="C34" s="44" t="n">
        <f aca="false">GasDaily!C34</f>
        <v>0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13" t="n">
        <f aca="false">SUM(D34:AD34)</f>
        <v>0</v>
      </c>
      <c r="AG34" s="0" t="n">
        <f aca="false">D34*($C34-D$2)</f>
        <v>-0</v>
      </c>
      <c r="AH34" s="0" t="n">
        <f aca="false">E34*($C34-E$2)</f>
        <v>-0</v>
      </c>
      <c r="AI34" s="0" t="n">
        <f aca="false">F34*($C34-F$2)</f>
        <v>-0</v>
      </c>
      <c r="AJ34" s="0" t="n">
        <f aca="false">G34*($C34-G$2)</f>
        <v>-0</v>
      </c>
      <c r="AK34" s="0" t="n">
        <f aca="false">H34*($C34-H$2)</f>
        <v>-0</v>
      </c>
      <c r="AL34" s="0" t="n">
        <f aca="false">I34*($C34-I$2)</f>
        <v>-0</v>
      </c>
      <c r="AM34" s="0" t="n">
        <f aca="false">J34*($C34-J$2)</f>
        <v>-0</v>
      </c>
      <c r="AN34" s="0" t="n">
        <f aca="false">K34*($C34-K$2)</f>
        <v>-0</v>
      </c>
      <c r="AO34" s="0" t="n">
        <f aca="false">L34*($C34-L$2)</f>
        <v>-0</v>
      </c>
      <c r="AP34" s="0" t="n">
        <f aca="false">M34*($C34-M$2)</f>
        <v>-0</v>
      </c>
      <c r="AQ34" s="0" t="n">
        <f aca="false">N34*($C34-N$2)</f>
        <v>-0</v>
      </c>
      <c r="AR34" s="0" t="n">
        <f aca="false">O34*($C34-O$2)</f>
        <v>-0</v>
      </c>
      <c r="AS34" s="0" t="n">
        <f aca="false">P34*($C34-P$2)</f>
        <v>-0</v>
      </c>
      <c r="AT34" s="0" t="n">
        <f aca="false">Q34*($C34-Q$2)</f>
        <v>-0</v>
      </c>
      <c r="AU34" s="0" t="n">
        <f aca="false">R34*($C34-R$2)</f>
        <v>-0</v>
      </c>
      <c r="AV34" s="0" t="n">
        <f aca="false">S34*($C34-S$2)</f>
        <v>0</v>
      </c>
      <c r="AW34" s="0" t="n">
        <f aca="false">T34*($C34-T$2)</f>
        <v>0</v>
      </c>
      <c r="AX34" s="0" t="n">
        <f aca="false">U34*($C34-U$2)</f>
        <v>0</v>
      </c>
      <c r="AY34" s="0" t="n">
        <f aca="false">V34*($C34-V$2)</f>
        <v>0</v>
      </c>
      <c r="AZ34" s="0" t="n">
        <f aca="false">W34*($C34-W$2)</f>
        <v>0</v>
      </c>
      <c r="BA34" s="0" t="n">
        <f aca="false">X34*($C34-X$2)</f>
        <v>0</v>
      </c>
      <c r="BB34" s="0" t="n">
        <f aca="false">Y34*($C34-Y$2)</f>
        <v>0</v>
      </c>
      <c r="BC34" s="0" t="n">
        <f aca="false">Z34*($C34-Z$2)</f>
        <v>0</v>
      </c>
      <c r="BD34" s="0" t="n">
        <f aca="false">AA34*($C34-AA$2)</f>
        <v>0</v>
      </c>
      <c r="BE34" s="0" t="n">
        <f aca="false">AB34*($C34-AB$2)</f>
        <v>0</v>
      </c>
      <c r="BF34" s="0" t="n">
        <f aca="false">AC34*($C34-AC$2)</f>
        <v>0</v>
      </c>
      <c r="BG34" s="0" t="n">
        <f aca="false">AD34*($C34-AD$2)</f>
        <v>0</v>
      </c>
      <c r="BJ34" s="0" t="n">
        <f aca="false">SUM(AG34:BI34)</f>
        <v>0</v>
      </c>
    </row>
    <row r="35" customFormat="false" ht="12.75" hidden="false" customHeight="false" outlineLevel="0" collapsed="false">
      <c r="A35" s="47"/>
      <c r="C35" s="44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BM35" s="0" t="s">
        <v>48</v>
      </c>
    </row>
    <row r="36" customFormat="false" ht="12.75" hidden="false" customHeight="false" outlineLevel="0" collapsed="false">
      <c r="D36" s="26" t="n">
        <f aca="false">SUM(D4:D34)</f>
        <v>-600000</v>
      </c>
      <c r="E36" s="26" t="n">
        <f aca="false">SUM(E4:E34)</f>
        <v>150000</v>
      </c>
      <c r="F36" s="26" t="n">
        <f aca="false">SUM(F4:F34)</f>
        <v>150000</v>
      </c>
      <c r="G36" s="26" t="n">
        <f aca="false">SUM(G4:G34)</f>
        <v>255000</v>
      </c>
      <c r="H36" s="26" t="n">
        <f aca="false">SUM(H4:H34)</f>
        <v>300000</v>
      </c>
      <c r="I36" s="26" t="n">
        <f aca="false">SUM(I4:I34)</f>
        <v>150000</v>
      </c>
      <c r="J36" s="26" t="n">
        <f aca="false">SUM(J4:J34)</f>
        <v>300000</v>
      </c>
      <c r="K36" s="26" t="n">
        <f aca="false">SUM(K4:K34)</f>
        <v>300000</v>
      </c>
      <c r="L36" s="26" t="n">
        <f aca="false">SUM(L4:L34)</f>
        <v>-300000</v>
      </c>
      <c r="M36" s="26" t="n">
        <f aca="false">SUM(M4:M34)</f>
        <v>-300000</v>
      </c>
      <c r="N36" s="26" t="n">
        <f aca="false">SUM(N4:N34)</f>
        <v>-300000</v>
      </c>
      <c r="O36" s="26" t="n">
        <f aca="false">SUM(O4:O34)</f>
        <v>300000</v>
      </c>
      <c r="P36" s="26" t="n">
        <f aca="false">SUM(P4:P34)</f>
        <v>300000</v>
      </c>
      <c r="Q36" s="26" t="n">
        <f aca="false">SUM(Q4:Q34)</f>
        <v>-290000</v>
      </c>
      <c r="R36" s="26" t="n">
        <f aca="false">SUM(R4:R34)</f>
        <v>260000</v>
      </c>
      <c r="S36" s="26" t="n">
        <f aca="false">SUM(S4:S34)</f>
        <v>0</v>
      </c>
      <c r="T36" s="26" t="n">
        <f aca="false">SUM(T4:T34)</f>
        <v>0</v>
      </c>
      <c r="U36" s="26" t="n">
        <f aca="false">SUM(U4:U34)</f>
        <v>0</v>
      </c>
      <c r="V36" s="26" t="n">
        <f aca="false">SUM(V4:V34)</f>
        <v>0</v>
      </c>
      <c r="W36" s="26" t="n">
        <f aca="false">SUM(W4:W34)</f>
        <v>0</v>
      </c>
      <c r="X36" s="26" t="n">
        <f aca="false">SUM(X4:X34)</f>
        <v>0</v>
      </c>
      <c r="Y36" s="26" t="n">
        <f aca="false">SUM(Y4:Y34)</f>
        <v>0</v>
      </c>
      <c r="Z36" s="26" t="n">
        <f aca="false">SUM(Z4:Z34)</f>
        <v>0</v>
      </c>
      <c r="AA36" s="26" t="n">
        <f aca="false">SUM(AA4:AA34)</f>
        <v>0</v>
      </c>
      <c r="AB36" s="26" t="n">
        <f aca="false">SUM(AB4:AB34)</f>
        <v>0</v>
      </c>
      <c r="AC36" s="26"/>
      <c r="AD36" s="26"/>
      <c r="AE36" s="13" t="n">
        <f aca="false">SUM(AE8:AE34)</f>
        <v>611000</v>
      </c>
      <c r="BJ36" s="48" t="n">
        <f aca="false">SUM(BJ4:BJ34)</f>
        <v>176732.5</v>
      </c>
      <c r="BM36" s="7" t="e">
        <f aca="false">BJ36+#REF!+#REF!+#REF!</f>
        <v>#REF!</v>
      </c>
    </row>
    <row r="37" customFormat="false" ht="12.75" hidden="false" customHeight="false" outlineLevel="0" collapsed="false">
      <c r="A37" s="0" t="n">
        <f aca="false">COUNT(A18:A33)</f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37"/>
  <sheetViews>
    <sheetView showFormulas="false" showGridLines="true" showRowColHeaders="true" showZeros="true" rightToLeft="false" tabSelected="false" showOutlineSymbols="true" defaultGridColor="true" view="normal" topLeftCell="A2" colorId="64" zoomScale="85" zoomScaleNormal="85" zoomScalePageLayoutView="100" workbookViewId="0">
      <selection pane="topLeft" activeCell="I8" activeCellId="0" sqref="I8:I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4" min="14" style="40" width="13.14"/>
    <col collapsed="false" customWidth="true" hidden="false" outlineLevel="0" max="15" min="15" style="41" width="2.84"/>
    <col collapsed="false" customWidth="true" hidden="false" outlineLevel="0" max="24" min="24" style="41" width="2.7"/>
    <col collapsed="false" customWidth="true" hidden="false" outlineLevel="0" max="25" min="25" style="0" width="10.85"/>
  </cols>
  <sheetData>
    <row r="1" customFormat="false" ht="12.75" hidden="false" customHeight="false" outlineLevel="0" collapsed="false">
      <c r="B1" s="40" t="s">
        <v>43</v>
      </c>
    </row>
    <row r="2" customFormat="false" ht="12.75" hidden="false" customHeight="false" outlineLevel="0" collapsed="false">
      <c r="B2" s="42" t="n">
        <v>3.86</v>
      </c>
      <c r="C2" s="43"/>
      <c r="N2" s="40" t="s">
        <v>44</v>
      </c>
    </row>
    <row r="3" customFormat="false" ht="12.75" hidden="false" customHeight="false" outlineLevel="0" collapsed="false">
      <c r="B3" s="44" t="n">
        <v>0</v>
      </c>
      <c r="C3" s="0" t="s">
        <v>45</v>
      </c>
      <c r="D3" s="0" t="n">
        <v>3.665</v>
      </c>
      <c r="E3" s="0" t="n">
        <v>3.785</v>
      </c>
      <c r="F3" s="0" t="n">
        <v>3.82</v>
      </c>
      <c r="G3" s="0" t="n">
        <v>3.845</v>
      </c>
      <c r="H3" s="0" t="n">
        <v>3.85</v>
      </c>
      <c r="I3" s="0" t="n">
        <v>3.885</v>
      </c>
      <c r="Y3" s="0" t="s">
        <v>46</v>
      </c>
    </row>
    <row r="4" customFormat="false" ht="12.75" hidden="false" customHeight="false" outlineLevel="0" collapsed="false">
      <c r="A4" s="47" t="n">
        <v>36586</v>
      </c>
      <c r="B4" s="0" t="n">
        <f aca="false">B$2+B$3</f>
        <v>3.86</v>
      </c>
      <c r="C4" s="44" t="n">
        <f aca="false">GasDaily!AF4</f>
        <v>3.83</v>
      </c>
      <c r="D4" s="26" t="n">
        <v>5000</v>
      </c>
      <c r="E4" s="26" t="n">
        <v>15000</v>
      </c>
      <c r="F4" s="26" t="n">
        <v>10000</v>
      </c>
      <c r="G4" s="26"/>
      <c r="H4" s="26"/>
      <c r="I4" s="26"/>
      <c r="J4" s="26"/>
      <c r="K4" s="26"/>
      <c r="L4" s="26"/>
      <c r="M4" s="26"/>
      <c r="N4" s="13" t="n">
        <f aca="false">SUM(D4:M4)</f>
        <v>30000</v>
      </c>
      <c r="O4" s="46"/>
      <c r="P4" s="0" t="n">
        <f aca="false">D4*($C4-D$3)</f>
        <v>825</v>
      </c>
      <c r="Q4" s="0" t="n">
        <f aca="false">E4*($C4-E$3)</f>
        <v>674.999999999999</v>
      </c>
      <c r="R4" s="0" t="n">
        <f aca="false">F4*($C4-F$3)</f>
        <v>100.000000000002</v>
      </c>
      <c r="S4" s="0" t="n">
        <f aca="false">G4*($C4-G$3)</f>
        <v>-0</v>
      </c>
      <c r="T4" s="0" t="n">
        <f aca="false">H4*($C4-H$3)</f>
        <v>-0</v>
      </c>
      <c r="Y4" s="0" t="n">
        <f aca="false">SUM(P4:X4)</f>
        <v>1600</v>
      </c>
    </row>
    <row r="5" customFormat="false" ht="12.75" hidden="false" customHeight="false" outlineLevel="0" collapsed="false">
      <c r="A5" s="47" t="n">
        <v>36587</v>
      </c>
      <c r="B5" s="0" t="n">
        <f aca="false">B$2+B$3</f>
        <v>3.86</v>
      </c>
      <c r="C5" s="44" t="n">
        <f aca="false">GasDaily!AF5</f>
        <v>3.875</v>
      </c>
      <c r="D5" s="26" t="n">
        <v>5000</v>
      </c>
      <c r="E5" s="26" t="n">
        <v>15000</v>
      </c>
      <c r="F5" s="26" t="n">
        <v>10000</v>
      </c>
      <c r="G5" s="26" t="n">
        <v>-15000</v>
      </c>
      <c r="H5" s="26"/>
      <c r="I5" s="26"/>
      <c r="J5" s="26"/>
      <c r="K5" s="26"/>
      <c r="L5" s="26"/>
      <c r="M5" s="26"/>
      <c r="N5" s="13" t="n">
        <f aca="false">SUM(D5:M5)</f>
        <v>15000</v>
      </c>
      <c r="O5" s="46"/>
      <c r="P5" s="0" t="n">
        <f aca="false">D5*($C5-D$3)</f>
        <v>1050</v>
      </c>
      <c r="Q5" s="0" t="n">
        <f aca="false">E5*($C5-E$3)</f>
        <v>1350</v>
      </c>
      <c r="R5" s="0" t="n">
        <f aca="false">F5*($C5-F$3)</f>
        <v>550.000000000002</v>
      </c>
      <c r="S5" s="0" t="n">
        <f aca="false">G5*($C5-G$3)</f>
        <v>-449.999999999997</v>
      </c>
      <c r="T5" s="0" t="n">
        <f aca="false">H5*($C5-H$3)</f>
        <v>0</v>
      </c>
      <c r="U5" s="0" t="n">
        <f aca="false">I5*($C5-I$3)</f>
        <v>-0</v>
      </c>
      <c r="V5" s="0" t="n">
        <f aca="false">J5*($C5-J$3)</f>
        <v>0</v>
      </c>
      <c r="Y5" s="0" t="n">
        <f aca="false">SUM(P5:X5)</f>
        <v>2500</v>
      </c>
    </row>
    <row r="6" customFormat="false" ht="12.75" hidden="false" customHeight="false" outlineLevel="0" collapsed="false">
      <c r="A6" s="47" t="n">
        <v>36588</v>
      </c>
      <c r="B6" s="0" t="n">
        <f aca="false">B$2+B$3</f>
        <v>3.86</v>
      </c>
      <c r="C6" s="44" t="n">
        <f aca="false">GasDaily!AF6</f>
        <v>3.875</v>
      </c>
      <c r="D6" s="26" t="n">
        <v>5000</v>
      </c>
      <c r="E6" s="26" t="n">
        <v>15000</v>
      </c>
      <c r="F6" s="26" t="n">
        <v>10000</v>
      </c>
      <c r="G6" s="26" t="n">
        <v>-15000</v>
      </c>
      <c r="H6" s="26"/>
      <c r="I6" s="26"/>
      <c r="J6" s="26"/>
      <c r="K6" s="26"/>
      <c r="L6" s="26"/>
      <c r="M6" s="26"/>
      <c r="N6" s="13" t="n">
        <f aca="false">SUM(D6:M6)</f>
        <v>15000</v>
      </c>
      <c r="O6" s="46"/>
      <c r="P6" s="0" t="n">
        <f aca="false">D6*($C6-D$3)</f>
        <v>1050</v>
      </c>
      <c r="Q6" s="0" t="n">
        <f aca="false">E6*($C6-E$3)</f>
        <v>1350</v>
      </c>
      <c r="R6" s="0" t="n">
        <f aca="false">F6*($C6-F$3)</f>
        <v>550.000000000002</v>
      </c>
      <c r="S6" s="0" t="n">
        <f aca="false">G6*($C6-G$3)</f>
        <v>-449.999999999997</v>
      </c>
      <c r="T6" s="0" t="n">
        <f aca="false">H6*($C6-H$3)</f>
        <v>0</v>
      </c>
      <c r="U6" s="0" t="n">
        <f aca="false">I6*($C6-I$3)</f>
        <v>-0</v>
      </c>
      <c r="V6" s="0" t="n">
        <f aca="false">J6*($C6-J$3)</f>
        <v>0</v>
      </c>
      <c r="Y6" s="0" t="n">
        <f aca="false">SUM(P6:X6)</f>
        <v>2500</v>
      </c>
    </row>
    <row r="7" customFormat="false" ht="12.75" hidden="false" customHeight="false" outlineLevel="0" collapsed="false">
      <c r="A7" s="47" t="n">
        <v>36589</v>
      </c>
      <c r="B7" s="0" t="n">
        <f aca="false">B$2+B$3</f>
        <v>3.86</v>
      </c>
      <c r="C7" s="44" t="n">
        <f aca="false">GasDaily!AF7</f>
        <v>3.875</v>
      </c>
      <c r="D7" s="26" t="n">
        <v>5000</v>
      </c>
      <c r="E7" s="26" t="n">
        <v>15000</v>
      </c>
      <c r="F7" s="26" t="n">
        <v>10000</v>
      </c>
      <c r="G7" s="26" t="n">
        <v>-15000</v>
      </c>
      <c r="H7" s="26"/>
      <c r="I7" s="26"/>
      <c r="J7" s="26"/>
      <c r="K7" s="26"/>
      <c r="L7" s="26"/>
      <c r="M7" s="26"/>
      <c r="N7" s="13" t="n">
        <f aca="false">SUM(D7:M7)</f>
        <v>15000</v>
      </c>
      <c r="O7" s="46"/>
      <c r="P7" s="0" t="n">
        <f aca="false">D7*($C7-D$3)</f>
        <v>1050</v>
      </c>
      <c r="Q7" s="0" t="n">
        <f aca="false">E7*($C7-E$3)</f>
        <v>1350</v>
      </c>
      <c r="R7" s="0" t="n">
        <f aca="false">F7*($C7-F$3)</f>
        <v>550.000000000002</v>
      </c>
      <c r="S7" s="0" t="n">
        <f aca="false">G7*($C7-G$3)</f>
        <v>-449.999999999997</v>
      </c>
      <c r="T7" s="0" t="n">
        <f aca="false">H7*($C7-H$3)</f>
        <v>0</v>
      </c>
      <c r="U7" s="0" t="n">
        <f aca="false">I7*($C7-I$3)</f>
        <v>-0</v>
      </c>
      <c r="V7" s="0" t="n">
        <f aca="false">J7*($C7-J$3)</f>
        <v>0</v>
      </c>
      <c r="Y7" s="0" t="n">
        <f aca="false">SUM(P7:X7)</f>
        <v>2500</v>
      </c>
    </row>
    <row r="8" customFormat="false" ht="12.75" hidden="false" customHeight="false" outlineLevel="0" collapsed="false">
      <c r="A8" s="47" t="n">
        <v>36590</v>
      </c>
      <c r="B8" s="0" t="n">
        <f aca="false">B$2+B$3</f>
        <v>3.86</v>
      </c>
      <c r="C8" s="44" t="n">
        <f aca="false">GasDaily!AF8</f>
        <v>3.875</v>
      </c>
      <c r="D8" s="26" t="n">
        <v>5000</v>
      </c>
      <c r="E8" s="26" t="n">
        <v>15000</v>
      </c>
      <c r="F8" s="26" t="n">
        <v>10000</v>
      </c>
      <c r="G8" s="26" t="n">
        <v>-15000</v>
      </c>
      <c r="H8" s="26" t="n">
        <v>10000</v>
      </c>
      <c r="I8" s="26" t="n">
        <v>-15000</v>
      </c>
      <c r="J8" s="26"/>
      <c r="K8" s="26"/>
      <c r="L8" s="26"/>
      <c r="M8" s="26"/>
      <c r="N8" s="13" t="n">
        <f aca="false">SUM(D8:M8)</f>
        <v>10000</v>
      </c>
      <c r="O8" s="46"/>
      <c r="P8" s="0" t="n">
        <f aca="false">D8*($C8-D$3)</f>
        <v>1050</v>
      </c>
      <c r="Q8" s="0" t="n">
        <f aca="false">E8*($C8-E$3)</f>
        <v>1350</v>
      </c>
      <c r="R8" s="0" t="n">
        <f aca="false">F8*($C8-F$3)</f>
        <v>550.000000000002</v>
      </c>
      <c r="S8" s="0" t="n">
        <f aca="false">G8*($C8-G$3)</f>
        <v>-449.999999999997</v>
      </c>
      <c r="T8" s="0" t="n">
        <f aca="false">H8*($C8-H$3)</f>
        <v>249.999999999999</v>
      </c>
      <c r="U8" s="0" t="n">
        <f aca="false">I8*($C8-I$3)</f>
        <v>149.999999999997</v>
      </c>
      <c r="V8" s="0" t="n">
        <f aca="false">J8*($C8-J$3)</f>
        <v>0</v>
      </c>
      <c r="Y8" s="0" t="n">
        <f aca="false">SUM(P8:X8)</f>
        <v>2900</v>
      </c>
    </row>
    <row r="9" customFormat="false" ht="12.75" hidden="false" customHeight="false" outlineLevel="0" collapsed="false">
      <c r="A9" s="47" t="n">
        <v>36591</v>
      </c>
      <c r="B9" s="0" t="n">
        <f aca="false">B$2+B$3</f>
        <v>3.86</v>
      </c>
      <c r="C9" s="44" t="n">
        <f aca="false">GasDaily!AF9</f>
        <v>3.875</v>
      </c>
      <c r="D9" s="26" t="n">
        <v>5000</v>
      </c>
      <c r="E9" s="26" t="n">
        <v>15000</v>
      </c>
      <c r="F9" s="26" t="n">
        <v>10000</v>
      </c>
      <c r="G9" s="26" t="n">
        <v>-15000</v>
      </c>
      <c r="H9" s="26" t="n">
        <v>10000</v>
      </c>
      <c r="I9" s="26" t="n">
        <v>-15000</v>
      </c>
      <c r="J9" s="26"/>
      <c r="K9" s="26"/>
      <c r="L9" s="26"/>
      <c r="M9" s="26"/>
      <c r="N9" s="13" t="n">
        <f aca="false">SUM(D9:M9)</f>
        <v>10000</v>
      </c>
      <c r="O9" s="46"/>
      <c r="P9" s="0" t="n">
        <f aca="false">D9*($C9-D$3)</f>
        <v>1050</v>
      </c>
      <c r="Q9" s="0" t="n">
        <f aca="false">E9*($C9-E$3)</f>
        <v>1350</v>
      </c>
      <c r="R9" s="0" t="n">
        <f aca="false">F9*($C9-F$3)</f>
        <v>550.000000000002</v>
      </c>
      <c r="S9" s="0" t="n">
        <f aca="false">G9*($C9-G$3)</f>
        <v>-449.999999999997</v>
      </c>
      <c r="T9" s="0" t="n">
        <f aca="false">H9*($C9-H$3)</f>
        <v>249.999999999999</v>
      </c>
      <c r="U9" s="0" t="n">
        <f aca="false">I9*($C9-I$3)</f>
        <v>149.999999999997</v>
      </c>
      <c r="V9" s="0" t="n">
        <f aca="false">J9*($C9-J$3)</f>
        <v>0</v>
      </c>
      <c r="Y9" s="0" t="n">
        <f aca="false">SUM(P9:X9)</f>
        <v>2900</v>
      </c>
    </row>
    <row r="10" customFormat="false" ht="12.75" hidden="false" customHeight="false" outlineLevel="0" collapsed="false">
      <c r="A10" s="47" t="n">
        <v>36592</v>
      </c>
      <c r="B10" s="0" t="n">
        <f aca="false">B$2+B$3</f>
        <v>3.86</v>
      </c>
      <c r="C10" s="44" t="n">
        <f aca="false">GasDaily!AF10</f>
        <v>3.875</v>
      </c>
      <c r="D10" s="26" t="n">
        <v>5000</v>
      </c>
      <c r="E10" s="26" t="n">
        <v>15000</v>
      </c>
      <c r="F10" s="26" t="n">
        <v>10000</v>
      </c>
      <c r="G10" s="26" t="n">
        <v>-15000</v>
      </c>
      <c r="H10" s="26" t="n">
        <v>10000</v>
      </c>
      <c r="I10" s="26" t="n">
        <v>-15000</v>
      </c>
      <c r="J10" s="26"/>
      <c r="K10" s="26"/>
      <c r="L10" s="26"/>
      <c r="M10" s="26"/>
      <c r="N10" s="13" t="n">
        <f aca="false">SUM(D10:M10)</f>
        <v>10000</v>
      </c>
      <c r="O10" s="46"/>
      <c r="P10" s="0" t="n">
        <f aca="false">D10*($C10-D$3)</f>
        <v>1050</v>
      </c>
      <c r="Q10" s="0" t="n">
        <f aca="false">E10*($C10-E$3)</f>
        <v>1350</v>
      </c>
      <c r="R10" s="0" t="n">
        <f aca="false">F10*($C10-F$3)</f>
        <v>550.000000000002</v>
      </c>
      <c r="S10" s="0" t="n">
        <f aca="false">G10*($C10-G$3)</f>
        <v>-449.999999999997</v>
      </c>
      <c r="T10" s="0" t="n">
        <f aca="false">H10*($C10-H$3)</f>
        <v>249.999999999999</v>
      </c>
      <c r="U10" s="0" t="n">
        <f aca="false">I10*($C10-I$3)</f>
        <v>149.999999999997</v>
      </c>
      <c r="V10" s="0" t="n">
        <f aca="false">J10*($C10-J$3)</f>
        <v>0</v>
      </c>
      <c r="Y10" s="0" t="n">
        <f aca="false">SUM(P10:X10)</f>
        <v>2900</v>
      </c>
    </row>
    <row r="11" customFormat="false" ht="12.75" hidden="false" customHeight="false" outlineLevel="0" collapsed="false">
      <c r="A11" s="47" t="n">
        <v>36593</v>
      </c>
      <c r="B11" s="0" t="n">
        <f aca="false">B$2+B$3</f>
        <v>3.86</v>
      </c>
      <c r="C11" s="44" t="n">
        <f aca="false">GasDaily!AF11</f>
        <v>3.875</v>
      </c>
      <c r="D11" s="26" t="n">
        <v>5000</v>
      </c>
      <c r="E11" s="26" t="n">
        <v>15000</v>
      </c>
      <c r="F11" s="26" t="n">
        <v>10000</v>
      </c>
      <c r="G11" s="26" t="n">
        <v>-15000</v>
      </c>
      <c r="H11" s="26" t="n">
        <v>10000</v>
      </c>
      <c r="I11" s="26" t="n">
        <v>-15000</v>
      </c>
      <c r="J11" s="26"/>
      <c r="K11" s="26"/>
      <c r="L11" s="26"/>
      <c r="M11" s="26"/>
      <c r="N11" s="13" t="n">
        <f aca="false">SUM(D11:M11)</f>
        <v>10000</v>
      </c>
      <c r="O11" s="46"/>
      <c r="P11" s="0" t="n">
        <f aca="false">D11*($C11-D$3)</f>
        <v>1050</v>
      </c>
      <c r="Q11" s="0" t="n">
        <f aca="false">E11*($C11-E$3)</f>
        <v>1350</v>
      </c>
      <c r="R11" s="0" t="n">
        <f aca="false">F11*($C11-F$3)</f>
        <v>550.000000000002</v>
      </c>
      <c r="S11" s="0" t="n">
        <f aca="false">G11*($C11-G$3)</f>
        <v>-449.999999999997</v>
      </c>
      <c r="T11" s="0" t="n">
        <f aca="false">H11*($C11-H$3)</f>
        <v>249.999999999999</v>
      </c>
      <c r="U11" s="0" t="n">
        <f aca="false">I11*($C11-I$3)</f>
        <v>149.999999999997</v>
      </c>
      <c r="V11" s="0" t="n">
        <f aca="false">J11*($C11-J$3)</f>
        <v>0</v>
      </c>
      <c r="Y11" s="0" t="n">
        <f aca="false">SUM(P11:X11)</f>
        <v>2900</v>
      </c>
    </row>
    <row r="12" customFormat="false" ht="12.75" hidden="false" customHeight="false" outlineLevel="0" collapsed="false">
      <c r="A12" s="47" t="n">
        <v>36594</v>
      </c>
      <c r="B12" s="0" t="n">
        <f aca="false">B$2+B$3</f>
        <v>3.86</v>
      </c>
      <c r="C12" s="44" t="n">
        <f aca="false">GasDaily!AF12</f>
        <v>3.875</v>
      </c>
      <c r="D12" s="26" t="n">
        <v>5000</v>
      </c>
      <c r="E12" s="26" t="n">
        <v>15000</v>
      </c>
      <c r="F12" s="26" t="n">
        <v>10000</v>
      </c>
      <c r="G12" s="26" t="n">
        <v>-15000</v>
      </c>
      <c r="H12" s="26" t="n">
        <v>10000</v>
      </c>
      <c r="I12" s="26" t="n">
        <v>-15000</v>
      </c>
      <c r="J12" s="26"/>
      <c r="K12" s="26"/>
      <c r="L12" s="26"/>
      <c r="M12" s="26"/>
      <c r="N12" s="13" t="n">
        <f aca="false">SUM(D12:M12)</f>
        <v>10000</v>
      </c>
      <c r="O12" s="46"/>
      <c r="P12" s="0" t="n">
        <f aca="false">D12*($C12-D$3)</f>
        <v>1050</v>
      </c>
      <c r="Q12" s="0" t="n">
        <f aca="false">E12*($C12-E$3)</f>
        <v>1350</v>
      </c>
      <c r="R12" s="0" t="n">
        <f aca="false">F12*($C12-F$3)</f>
        <v>550.000000000002</v>
      </c>
      <c r="S12" s="0" t="n">
        <f aca="false">G12*($C12-G$3)</f>
        <v>-449.999999999997</v>
      </c>
      <c r="T12" s="0" t="n">
        <f aca="false">H12*($C12-H$3)</f>
        <v>249.999999999999</v>
      </c>
      <c r="U12" s="0" t="n">
        <f aca="false">I12*($C12-I$3)</f>
        <v>149.999999999997</v>
      </c>
      <c r="V12" s="0" t="n">
        <f aca="false">J12*($C12-J$3)</f>
        <v>0</v>
      </c>
      <c r="Y12" s="0" t="n">
        <f aca="false">SUM(P12:X12)</f>
        <v>2900</v>
      </c>
    </row>
    <row r="13" customFormat="false" ht="12.75" hidden="false" customHeight="false" outlineLevel="0" collapsed="false">
      <c r="A13" s="47" t="n">
        <v>36595</v>
      </c>
      <c r="B13" s="0" t="n">
        <f aca="false">B$2+B$3</f>
        <v>3.86</v>
      </c>
      <c r="C13" s="44" t="n">
        <f aca="false">GasDaily!AF13</f>
        <v>3.875</v>
      </c>
      <c r="D13" s="26" t="n">
        <v>5000</v>
      </c>
      <c r="E13" s="26" t="n">
        <v>15000</v>
      </c>
      <c r="F13" s="26" t="n">
        <v>10000</v>
      </c>
      <c r="G13" s="26" t="n">
        <v>-15000</v>
      </c>
      <c r="H13" s="26" t="n">
        <v>10000</v>
      </c>
      <c r="I13" s="26" t="n">
        <v>-15000</v>
      </c>
      <c r="J13" s="26"/>
      <c r="K13" s="26"/>
      <c r="L13" s="26"/>
      <c r="M13" s="26"/>
      <c r="N13" s="13" t="n">
        <f aca="false">SUM(D13:M13)</f>
        <v>10000</v>
      </c>
      <c r="O13" s="46"/>
      <c r="P13" s="0" t="n">
        <f aca="false">D13*($C13-D$3)</f>
        <v>1050</v>
      </c>
      <c r="Q13" s="0" t="n">
        <f aca="false">E13*($C13-E$3)</f>
        <v>1350</v>
      </c>
      <c r="R13" s="0" t="n">
        <f aca="false">F13*($C13-F$3)</f>
        <v>550.000000000002</v>
      </c>
      <c r="S13" s="0" t="n">
        <f aca="false">G13*($C13-G$3)</f>
        <v>-449.999999999997</v>
      </c>
      <c r="T13" s="0" t="n">
        <f aca="false">H13*($C13-H$3)</f>
        <v>249.999999999999</v>
      </c>
      <c r="U13" s="0" t="n">
        <f aca="false">I13*($C13-I$3)</f>
        <v>149.999999999997</v>
      </c>
      <c r="V13" s="0" t="n">
        <f aca="false">J13*($C13-J$3)</f>
        <v>0</v>
      </c>
      <c r="Y13" s="0" t="n">
        <f aca="false">SUM(P13:X13)</f>
        <v>2900</v>
      </c>
    </row>
    <row r="14" customFormat="false" ht="12.75" hidden="false" customHeight="false" outlineLevel="0" collapsed="false">
      <c r="A14" s="47" t="n">
        <v>36596</v>
      </c>
      <c r="B14" s="0" t="n">
        <f aca="false">B$2+B$3</f>
        <v>3.86</v>
      </c>
      <c r="C14" s="44" t="n">
        <f aca="false">GasDaily!AF14</f>
        <v>3.875</v>
      </c>
      <c r="D14" s="26" t="n">
        <v>5000</v>
      </c>
      <c r="E14" s="26" t="n">
        <v>15000</v>
      </c>
      <c r="F14" s="26" t="n">
        <v>10000</v>
      </c>
      <c r="G14" s="26" t="n">
        <v>-15000</v>
      </c>
      <c r="H14" s="26" t="n">
        <v>10000</v>
      </c>
      <c r="I14" s="26" t="n">
        <v>-15000</v>
      </c>
      <c r="J14" s="26"/>
      <c r="K14" s="26"/>
      <c r="L14" s="26"/>
      <c r="M14" s="26"/>
      <c r="N14" s="13" t="n">
        <f aca="false">SUM(D14:M14)</f>
        <v>10000</v>
      </c>
      <c r="O14" s="46"/>
      <c r="P14" s="0" t="n">
        <f aca="false">D14*($C14-D$3)</f>
        <v>1050</v>
      </c>
      <c r="Q14" s="0" t="n">
        <f aca="false">E14*($C14-E$3)</f>
        <v>1350</v>
      </c>
      <c r="R14" s="0" t="n">
        <f aca="false">F14*($C14-F$3)</f>
        <v>550.000000000002</v>
      </c>
      <c r="S14" s="0" t="n">
        <f aca="false">G14*($C14-G$3)</f>
        <v>-449.999999999997</v>
      </c>
      <c r="T14" s="0" t="n">
        <f aca="false">H14*($C14-H$3)</f>
        <v>249.999999999999</v>
      </c>
      <c r="U14" s="0" t="n">
        <f aca="false">I14*($C14-I$3)</f>
        <v>149.999999999997</v>
      </c>
      <c r="V14" s="0" t="n">
        <f aca="false">J14*($C14-J$3)</f>
        <v>0</v>
      </c>
      <c r="Y14" s="0" t="n">
        <f aca="false">SUM(P14:X14)</f>
        <v>2900</v>
      </c>
    </row>
    <row r="15" customFormat="false" ht="12.75" hidden="false" customHeight="false" outlineLevel="0" collapsed="false">
      <c r="A15" s="47" t="n">
        <v>36597</v>
      </c>
      <c r="B15" s="0" t="n">
        <f aca="false">B$2+B$3</f>
        <v>3.86</v>
      </c>
      <c r="C15" s="44" t="n">
        <f aca="false">GasDaily!AF15</f>
        <v>3.875</v>
      </c>
      <c r="D15" s="26" t="n">
        <v>5000</v>
      </c>
      <c r="E15" s="26" t="n">
        <v>15000</v>
      </c>
      <c r="F15" s="26" t="n">
        <v>10000</v>
      </c>
      <c r="G15" s="26" t="n">
        <v>-15000</v>
      </c>
      <c r="H15" s="26" t="n">
        <v>10000</v>
      </c>
      <c r="I15" s="26" t="n">
        <v>-15000</v>
      </c>
      <c r="J15" s="26"/>
      <c r="K15" s="26"/>
      <c r="L15" s="26"/>
      <c r="M15" s="26"/>
      <c r="N15" s="13" t="n">
        <f aca="false">SUM(D15:M15)</f>
        <v>10000</v>
      </c>
      <c r="O15" s="46"/>
      <c r="P15" s="0" t="n">
        <f aca="false">D15*($C15-D$3)</f>
        <v>1050</v>
      </c>
      <c r="Q15" s="0" t="n">
        <f aca="false">E15*($C15-E$3)</f>
        <v>1350</v>
      </c>
      <c r="R15" s="0" t="n">
        <f aca="false">F15*($C15-F$3)</f>
        <v>550.000000000002</v>
      </c>
      <c r="S15" s="0" t="n">
        <f aca="false">G15*($C15-G$3)</f>
        <v>-449.999999999997</v>
      </c>
      <c r="T15" s="0" t="n">
        <f aca="false">H15*($C15-H$3)</f>
        <v>249.999999999999</v>
      </c>
      <c r="U15" s="0" t="n">
        <f aca="false">I15*($C15-I$3)</f>
        <v>149.999999999997</v>
      </c>
      <c r="V15" s="0" t="n">
        <f aca="false">J15*($C15-J$3)</f>
        <v>0</v>
      </c>
      <c r="Y15" s="0" t="n">
        <f aca="false">SUM(P15:X15)</f>
        <v>2900</v>
      </c>
    </row>
    <row r="16" customFormat="false" ht="12.75" hidden="false" customHeight="false" outlineLevel="0" collapsed="false">
      <c r="A16" s="47" t="n">
        <v>36598</v>
      </c>
      <c r="B16" s="0" t="n">
        <f aca="false">B$2+B$3</f>
        <v>3.86</v>
      </c>
      <c r="C16" s="44" t="n">
        <f aca="false">GasDaily!AF16</f>
        <v>3.875</v>
      </c>
      <c r="D16" s="26" t="n">
        <v>5000</v>
      </c>
      <c r="E16" s="26" t="n">
        <v>15000</v>
      </c>
      <c r="F16" s="26" t="n">
        <v>10000</v>
      </c>
      <c r="G16" s="26" t="n">
        <v>-15000</v>
      </c>
      <c r="H16" s="26" t="n">
        <v>10000</v>
      </c>
      <c r="I16" s="26" t="n">
        <v>-15000</v>
      </c>
      <c r="J16" s="26"/>
      <c r="K16" s="26"/>
      <c r="L16" s="26"/>
      <c r="M16" s="26"/>
      <c r="N16" s="13" t="n">
        <f aca="false">SUM(D16:M16)</f>
        <v>10000</v>
      </c>
      <c r="O16" s="46"/>
      <c r="P16" s="0" t="n">
        <f aca="false">D16*($C16-D$3)</f>
        <v>1050</v>
      </c>
      <c r="Q16" s="0" t="n">
        <f aca="false">E16*($C16-E$3)</f>
        <v>1350</v>
      </c>
      <c r="R16" s="0" t="n">
        <f aca="false">F16*($C16-F$3)</f>
        <v>550.000000000002</v>
      </c>
      <c r="S16" s="0" t="n">
        <f aca="false">G16*($C16-G$3)</f>
        <v>-449.999999999997</v>
      </c>
      <c r="T16" s="0" t="n">
        <f aca="false">H16*($C16-H$3)</f>
        <v>249.999999999999</v>
      </c>
      <c r="U16" s="0" t="n">
        <f aca="false">I16*($C16-I$3)</f>
        <v>149.999999999997</v>
      </c>
      <c r="V16" s="0" t="n">
        <f aca="false">J16*($C16-J$3)</f>
        <v>0</v>
      </c>
      <c r="Y16" s="0" t="n">
        <f aca="false">SUM(P16:X16)</f>
        <v>2900</v>
      </c>
    </row>
    <row r="17" customFormat="false" ht="12.75" hidden="false" customHeight="false" outlineLevel="0" collapsed="false">
      <c r="A17" s="47" t="n">
        <v>36599</v>
      </c>
      <c r="B17" s="0" t="n">
        <f aca="false">B$2+B$3</f>
        <v>3.86</v>
      </c>
      <c r="C17" s="44" t="n">
        <f aca="false">GasDaily!AF17</f>
        <v>3.875</v>
      </c>
      <c r="D17" s="26" t="n">
        <v>5000</v>
      </c>
      <c r="E17" s="26" t="n">
        <v>15000</v>
      </c>
      <c r="F17" s="26" t="n">
        <v>10000</v>
      </c>
      <c r="G17" s="26" t="n">
        <v>-15000</v>
      </c>
      <c r="H17" s="26" t="n">
        <v>10000</v>
      </c>
      <c r="I17" s="26" t="n">
        <v>-15000</v>
      </c>
      <c r="J17" s="26"/>
      <c r="K17" s="26"/>
      <c r="L17" s="26"/>
      <c r="M17" s="26"/>
      <c r="N17" s="13" t="n">
        <f aca="false">SUM(D17:M17)</f>
        <v>10000</v>
      </c>
      <c r="O17" s="46"/>
      <c r="P17" s="0" t="n">
        <f aca="false">D17*($C17-D$3)</f>
        <v>1050</v>
      </c>
      <c r="Q17" s="0" t="n">
        <f aca="false">E17*($C17-E$3)</f>
        <v>1350</v>
      </c>
      <c r="R17" s="0" t="n">
        <f aca="false">F17*($C17-F$3)</f>
        <v>550.000000000002</v>
      </c>
      <c r="S17" s="0" t="n">
        <f aca="false">G17*($C17-G$3)</f>
        <v>-449.999999999997</v>
      </c>
      <c r="T17" s="0" t="n">
        <f aca="false">H17*($C17-H$3)</f>
        <v>249.999999999999</v>
      </c>
      <c r="U17" s="0" t="n">
        <f aca="false">I17*($C17-I$3)</f>
        <v>149.999999999997</v>
      </c>
      <c r="V17" s="0" t="n">
        <f aca="false">J17*($C17-J$3)</f>
        <v>0</v>
      </c>
      <c r="Y17" s="0" t="n">
        <f aca="false">SUM(P17:X17)</f>
        <v>2900</v>
      </c>
    </row>
    <row r="18" customFormat="false" ht="12.75" hidden="false" customHeight="false" outlineLevel="0" collapsed="false">
      <c r="A18" s="47" t="n">
        <v>36600</v>
      </c>
      <c r="B18" s="0" t="n">
        <f aca="false">B$2+B$3</f>
        <v>3.86</v>
      </c>
      <c r="C18" s="44" t="n">
        <f aca="false">GasDaily!AF18</f>
        <v>3.875</v>
      </c>
      <c r="D18" s="26" t="n">
        <v>5000</v>
      </c>
      <c r="E18" s="26" t="n">
        <v>15000</v>
      </c>
      <c r="F18" s="26" t="n">
        <v>10000</v>
      </c>
      <c r="G18" s="26" t="n">
        <v>-15000</v>
      </c>
      <c r="H18" s="26" t="n">
        <v>10000</v>
      </c>
      <c r="I18" s="26" t="n">
        <v>-15000</v>
      </c>
      <c r="J18" s="26"/>
      <c r="K18" s="26"/>
      <c r="L18" s="26"/>
      <c r="M18" s="26"/>
      <c r="N18" s="13" t="n">
        <f aca="false">SUM(D18:M18)</f>
        <v>10000</v>
      </c>
      <c r="O18" s="46"/>
      <c r="P18" s="0" t="n">
        <f aca="false">D18*($C18-D$3)</f>
        <v>1050</v>
      </c>
      <c r="Q18" s="0" t="n">
        <f aca="false">E18*($C18-E$3)</f>
        <v>1350</v>
      </c>
      <c r="R18" s="0" t="n">
        <f aca="false">F18*($C18-F$3)</f>
        <v>550.000000000002</v>
      </c>
      <c r="S18" s="0" t="n">
        <f aca="false">G18*($C18-G$3)</f>
        <v>-449.999999999997</v>
      </c>
      <c r="T18" s="0" t="n">
        <f aca="false">H18*($C18-H$3)</f>
        <v>249.999999999999</v>
      </c>
      <c r="U18" s="0" t="n">
        <f aca="false">I18*($C18-I$3)</f>
        <v>149.999999999997</v>
      </c>
      <c r="V18" s="0" t="n">
        <f aca="false">J18*($C18-J$3)</f>
        <v>0</v>
      </c>
      <c r="Y18" s="0" t="n">
        <f aca="false">SUM(P18:X18)</f>
        <v>2900</v>
      </c>
    </row>
    <row r="19" customFormat="false" ht="12.75" hidden="false" customHeight="false" outlineLevel="0" collapsed="false">
      <c r="A19" s="47" t="n">
        <v>36601</v>
      </c>
      <c r="B19" s="0" t="n">
        <f aca="false">B$2+B$3</f>
        <v>3.86</v>
      </c>
      <c r="C19" s="44" t="n">
        <f aca="false">GasDaily!AF19</f>
        <v>3.875</v>
      </c>
      <c r="D19" s="26" t="n">
        <v>5000</v>
      </c>
      <c r="E19" s="26" t="n">
        <v>15000</v>
      </c>
      <c r="F19" s="26" t="n">
        <v>10000</v>
      </c>
      <c r="G19" s="26" t="n">
        <v>-15000</v>
      </c>
      <c r="H19" s="26" t="n">
        <v>10000</v>
      </c>
      <c r="I19" s="26" t="n">
        <v>-15000</v>
      </c>
      <c r="J19" s="26"/>
      <c r="K19" s="26"/>
      <c r="L19" s="26"/>
      <c r="M19" s="26"/>
      <c r="N19" s="13" t="n">
        <f aca="false">SUM(D19:M19)</f>
        <v>10000</v>
      </c>
      <c r="O19" s="46"/>
      <c r="P19" s="0" t="n">
        <f aca="false">D19*($C19-D$3)</f>
        <v>1050</v>
      </c>
      <c r="Q19" s="0" t="n">
        <f aca="false">E19*($C19-E$3)</f>
        <v>1350</v>
      </c>
      <c r="R19" s="0" t="n">
        <f aca="false">F19*($C19-F$3)</f>
        <v>550.000000000002</v>
      </c>
      <c r="S19" s="0" t="n">
        <f aca="false">G19*($C19-G$3)</f>
        <v>-449.999999999997</v>
      </c>
      <c r="T19" s="0" t="n">
        <f aca="false">H19*($C19-H$3)</f>
        <v>249.999999999999</v>
      </c>
      <c r="U19" s="0" t="n">
        <f aca="false">I19*($C19-I$3)</f>
        <v>149.999999999997</v>
      </c>
      <c r="V19" s="0" t="n">
        <f aca="false">J19*($C19-J$3)</f>
        <v>0</v>
      </c>
      <c r="Y19" s="0" t="n">
        <f aca="false">SUM(P19:X19)</f>
        <v>2900</v>
      </c>
    </row>
    <row r="20" customFormat="false" ht="12.75" hidden="false" customHeight="false" outlineLevel="0" collapsed="false">
      <c r="A20" s="47" t="n">
        <v>36602</v>
      </c>
      <c r="B20" s="0" t="n">
        <f aca="false">B$2+B$3</f>
        <v>3.86</v>
      </c>
      <c r="C20" s="44" t="n">
        <f aca="false">GasDaily!AF20</f>
        <v>3.875</v>
      </c>
      <c r="D20" s="26" t="n">
        <v>5000</v>
      </c>
      <c r="E20" s="26" t="n">
        <v>15000</v>
      </c>
      <c r="F20" s="26" t="n">
        <v>10000</v>
      </c>
      <c r="G20" s="26" t="n">
        <v>-15000</v>
      </c>
      <c r="H20" s="26" t="n">
        <v>10000</v>
      </c>
      <c r="I20" s="26" t="n">
        <v>-15000</v>
      </c>
      <c r="J20" s="26"/>
      <c r="K20" s="26"/>
      <c r="L20" s="26"/>
      <c r="M20" s="26"/>
      <c r="N20" s="13" t="n">
        <f aca="false">SUM(D20:M20)</f>
        <v>10000</v>
      </c>
      <c r="O20" s="46"/>
      <c r="P20" s="0" t="n">
        <f aca="false">D20*($C20-D$3)</f>
        <v>1050</v>
      </c>
      <c r="Q20" s="0" t="n">
        <f aca="false">E20*($C20-E$3)</f>
        <v>1350</v>
      </c>
      <c r="R20" s="0" t="n">
        <f aca="false">F20*($C20-F$3)</f>
        <v>550.000000000002</v>
      </c>
      <c r="S20" s="0" t="n">
        <f aca="false">G20*($C20-G$3)</f>
        <v>-449.999999999997</v>
      </c>
      <c r="T20" s="0" t="n">
        <f aca="false">H20*($C20-H$3)</f>
        <v>249.999999999999</v>
      </c>
      <c r="U20" s="0" t="n">
        <f aca="false">I20*($C20-I$3)</f>
        <v>149.999999999997</v>
      </c>
      <c r="V20" s="0" t="n">
        <f aca="false">J20*($C20-J$3)</f>
        <v>0</v>
      </c>
      <c r="Y20" s="0" t="n">
        <f aca="false">SUM(P20:X20)</f>
        <v>2900</v>
      </c>
    </row>
    <row r="21" customFormat="false" ht="12.75" hidden="false" customHeight="false" outlineLevel="0" collapsed="false">
      <c r="A21" s="47" t="n">
        <v>36603</v>
      </c>
      <c r="B21" s="0" t="n">
        <f aca="false">B$2+B$3</f>
        <v>3.86</v>
      </c>
      <c r="C21" s="44" t="n">
        <f aca="false">GasDaily!AF21</f>
        <v>3.875</v>
      </c>
      <c r="D21" s="26" t="n">
        <v>5000</v>
      </c>
      <c r="E21" s="26" t="n">
        <v>15000</v>
      </c>
      <c r="F21" s="26" t="n">
        <v>10000</v>
      </c>
      <c r="G21" s="26" t="n">
        <v>-15000</v>
      </c>
      <c r="H21" s="26" t="n">
        <v>10000</v>
      </c>
      <c r="I21" s="26" t="n">
        <v>-15000</v>
      </c>
      <c r="J21" s="26"/>
      <c r="K21" s="26"/>
      <c r="L21" s="26"/>
      <c r="M21" s="26"/>
      <c r="N21" s="13" t="n">
        <f aca="false">SUM(D21:M21)</f>
        <v>10000</v>
      </c>
      <c r="O21" s="46"/>
      <c r="P21" s="0" t="n">
        <f aca="false">D21*($C21-D$3)</f>
        <v>1050</v>
      </c>
      <c r="Q21" s="0" t="n">
        <f aca="false">E21*($C21-E$3)</f>
        <v>1350</v>
      </c>
      <c r="R21" s="0" t="n">
        <f aca="false">F21*($C21-F$3)</f>
        <v>550.000000000002</v>
      </c>
      <c r="S21" s="0" t="n">
        <f aca="false">G21*($C21-G$3)</f>
        <v>-449.999999999997</v>
      </c>
      <c r="T21" s="0" t="n">
        <f aca="false">H21*($C21-H$3)</f>
        <v>249.999999999999</v>
      </c>
      <c r="U21" s="0" t="n">
        <f aca="false">I21*($C21-I$3)</f>
        <v>149.999999999997</v>
      </c>
      <c r="V21" s="0" t="n">
        <f aca="false">J21*($C21-J$3)</f>
        <v>0</v>
      </c>
      <c r="Y21" s="0" t="n">
        <f aca="false">SUM(P21:X21)</f>
        <v>2900</v>
      </c>
    </row>
    <row r="22" customFormat="false" ht="12.75" hidden="false" customHeight="false" outlineLevel="0" collapsed="false">
      <c r="A22" s="47" t="n">
        <v>36604</v>
      </c>
      <c r="B22" s="0" t="n">
        <f aca="false">B$2+B$3</f>
        <v>3.86</v>
      </c>
      <c r="C22" s="44" t="n">
        <f aca="false">GasDaily!AF22</f>
        <v>3.875</v>
      </c>
      <c r="D22" s="26" t="n">
        <v>5000</v>
      </c>
      <c r="E22" s="26" t="n">
        <v>15000</v>
      </c>
      <c r="F22" s="26" t="n">
        <v>10000</v>
      </c>
      <c r="G22" s="26" t="n">
        <v>-15000</v>
      </c>
      <c r="H22" s="26" t="n">
        <v>10000</v>
      </c>
      <c r="I22" s="26" t="n">
        <v>-15000</v>
      </c>
      <c r="J22" s="26"/>
      <c r="K22" s="26"/>
      <c r="L22" s="26"/>
      <c r="M22" s="26"/>
      <c r="N22" s="13" t="n">
        <f aca="false">SUM(D22:M22)</f>
        <v>10000</v>
      </c>
      <c r="O22" s="46"/>
      <c r="P22" s="0" t="n">
        <f aca="false">D22*($C22-D$3)</f>
        <v>1050</v>
      </c>
      <c r="Q22" s="0" t="n">
        <f aca="false">E22*($C22-E$3)</f>
        <v>1350</v>
      </c>
      <c r="R22" s="0" t="n">
        <f aca="false">F22*($C22-F$3)</f>
        <v>550.000000000002</v>
      </c>
      <c r="S22" s="0" t="n">
        <f aca="false">G22*($C22-G$3)</f>
        <v>-449.999999999997</v>
      </c>
      <c r="T22" s="0" t="n">
        <f aca="false">H22*($C22-H$3)</f>
        <v>249.999999999999</v>
      </c>
      <c r="U22" s="0" t="n">
        <f aca="false">I22*($C22-I$3)</f>
        <v>149.999999999997</v>
      </c>
      <c r="V22" s="0" t="n">
        <f aca="false">J22*($C22-J$3)</f>
        <v>0</v>
      </c>
      <c r="Y22" s="0" t="n">
        <f aca="false">SUM(P22:X22)</f>
        <v>2900</v>
      </c>
    </row>
    <row r="23" customFormat="false" ht="12.75" hidden="false" customHeight="false" outlineLevel="0" collapsed="false">
      <c r="A23" s="47" t="n">
        <v>36605</v>
      </c>
      <c r="B23" s="0" t="n">
        <f aca="false">B$2+B$3</f>
        <v>3.86</v>
      </c>
      <c r="C23" s="44" t="n">
        <f aca="false">GasDaily!AF23</f>
        <v>3.875</v>
      </c>
      <c r="D23" s="26" t="n">
        <v>5000</v>
      </c>
      <c r="E23" s="26" t="n">
        <v>15000</v>
      </c>
      <c r="F23" s="26" t="n">
        <v>10000</v>
      </c>
      <c r="G23" s="26" t="n">
        <v>-15000</v>
      </c>
      <c r="H23" s="26" t="n">
        <v>10000</v>
      </c>
      <c r="I23" s="26" t="n">
        <v>-15000</v>
      </c>
      <c r="J23" s="26"/>
      <c r="K23" s="26"/>
      <c r="L23" s="26"/>
      <c r="M23" s="26"/>
      <c r="N23" s="13" t="n">
        <f aca="false">SUM(D23:M23)</f>
        <v>10000</v>
      </c>
      <c r="O23" s="46"/>
      <c r="P23" s="0" t="n">
        <f aca="false">D23*($C23-D$3)</f>
        <v>1050</v>
      </c>
      <c r="Q23" s="0" t="n">
        <f aca="false">E23*($C23-E$3)</f>
        <v>1350</v>
      </c>
      <c r="R23" s="0" t="n">
        <f aca="false">F23*($C23-F$3)</f>
        <v>550.000000000002</v>
      </c>
      <c r="S23" s="0" t="n">
        <f aca="false">G23*($C23-G$3)</f>
        <v>-449.999999999997</v>
      </c>
      <c r="T23" s="0" t="n">
        <f aca="false">H23*($C23-H$3)</f>
        <v>249.999999999999</v>
      </c>
      <c r="U23" s="0" t="n">
        <f aca="false">I23*($C23-I$3)</f>
        <v>149.999999999997</v>
      </c>
      <c r="V23" s="0" t="n">
        <f aca="false">J23*($C23-J$3)</f>
        <v>0</v>
      </c>
      <c r="Y23" s="0" t="n">
        <f aca="false">SUM(P23:X23)</f>
        <v>2900</v>
      </c>
    </row>
    <row r="24" customFormat="false" ht="12.75" hidden="false" customHeight="false" outlineLevel="0" collapsed="false">
      <c r="A24" s="47" t="n">
        <v>36606</v>
      </c>
      <c r="B24" s="0" t="n">
        <f aca="false">B$2+B$3</f>
        <v>3.86</v>
      </c>
      <c r="C24" s="44" t="n">
        <f aca="false">GasDaily!AF24</f>
        <v>3.875</v>
      </c>
      <c r="D24" s="26" t="n">
        <v>5000</v>
      </c>
      <c r="E24" s="26" t="n">
        <v>15000</v>
      </c>
      <c r="F24" s="26" t="n">
        <v>10000</v>
      </c>
      <c r="G24" s="26" t="n">
        <v>-15000</v>
      </c>
      <c r="H24" s="26" t="n">
        <v>10000</v>
      </c>
      <c r="I24" s="26" t="n">
        <v>-15000</v>
      </c>
      <c r="J24" s="26"/>
      <c r="K24" s="26"/>
      <c r="L24" s="26"/>
      <c r="M24" s="26"/>
      <c r="N24" s="13" t="n">
        <f aca="false">SUM(D24:M24)</f>
        <v>10000</v>
      </c>
      <c r="O24" s="46"/>
      <c r="P24" s="0" t="n">
        <f aca="false">D24*($C24-D$3)</f>
        <v>1050</v>
      </c>
      <c r="Q24" s="0" t="n">
        <f aca="false">E24*($C24-E$3)</f>
        <v>1350</v>
      </c>
      <c r="R24" s="0" t="n">
        <f aca="false">F24*($C24-F$3)</f>
        <v>550.000000000002</v>
      </c>
      <c r="S24" s="0" t="n">
        <f aca="false">G24*($C24-G$3)</f>
        <v>-449.999999999997</v>
      </c>
      <c r="T24" s="0" t="n">
        <f aca="false">H24*($C24-H$3)</f>
        <v>249.999999999999</v>
      </c>
      <c r="U24" s="0" t="n">
        <f aca="false">I24*($C24-I$3)</f>
        <v>149.999999999997</v>
      </c>
      <c r="V24" s="0" t="n">
        <f aca="false">J24*($C24-J$3)</f>
        <v>0</v>
      </c>
      <c r="Y24" s="0" t="n">
        <f aca="false">SUM(P24:X24)</f>
        <v>2900</v>
      </c>
    </row>
    <row r="25" customFormat="false" ht="12.75" hidden="false" customHeight="false" outlineLevel="0" collapsed="false">
      <c r="A25" s="47" t="n">
        <v>36607</v>
      </c>
      <c r="B25" s="0" t="n">
        <f aca="false">B$2+B$3</f>
        <v>3.86</v>
      </c>
      <c r="C25" s="44" t="n">
        <f aca="false">GasDaily!AF25</f>
        <v>3.875</v>
      </c>
      <c r="D25" s="26" t="n">
        <v>5000</v>
      </c>
      <c r="E25" s="26" t="n">
        <v>15000</v>
      </c>
      <c r="F25" s="26" t="n">
        <v>10000</v>
      </c>
      <c r="G25" s="26" t="n">
        <v>-15000</v>
      </c>
      <c r="H25" s="26" t="n">
        <v>10000</v>
      </c>
      <c r="I25" s="26" t="n">
        <v>-15000</v>
      </c>
      <c r="J25" s="26"/>
      <c r="K25" s="26"/>
      <c r="L25" s="26"/>
      <c r="M25" s="26"/>
      <c r="N25" s="13" t="n">
        <f aca="false">SUM(D25:M25)</f>
        <v>10000</v>
      </c>
      <c r="O25" s="46"/>
      <c r="P25" s="0" t="n">
        <f aca="false">D25*($C25-D$3)</f>
        <v>1050</v>
      </c>
      <c r="Q25" s="0" t="n">
        <f aca="false">E25*($C25-E$3)</f>
        <v>1350</v>
      </c>
      <c r="R25" s="0" t="n">
        <f aca="false">F25*($C25-F$3)</f>
        <v>550.000000000002</v>
      </c>
      <c r="S25" s="0" t="n">
        <f aca="false">G25*($C25-G$3)</f>
        <v>-449.999999999997</v>
      </c>
      <c r="T25" s="0" t="n">
        <f aca="false">H25*($C25-H$3)</f>
        <v>249.999999999999</v>
      </c>
      <c r="U25" s="0" t="n">
        <f aca="false">I25*($C25-I$3)</f>
        <v>149.999999999997</v>
      </c>
      <c r="V25" s="0" t="n">
        <f aca="false">J25*($C25-J$3)</f>
        <v>0</v>
      </c>
      <c r="Y25" s="0" t="n">
        <f aca="false">SUM(P25:X25)</f>
        <v>2900</v>
      </c>
    </row>
    <row r="26" customFormat="false" ht="12.75" hidden="false" customHeight="false" outlineLevel="0" collapsed="false">
      <c r="A26" s="47" t="n">
        <v>36608</v>
      </c>
      <c r="B26" s="0" t="n">
        <f aca="false">B$2+B$3</f>
        <v>3.86</v>
      </c>
      <c r="C26" s="44" t="n">
        <f aca="false">GasDaily!AF26</f>
        <v>3.875</v>
      </c>
      <c r="D26" s="26" t="n">
        <v>5000</v>
      </c>
      <c r="E26" s="26" t="n">
        <v>15000</v>
      </c>
      <c r="F26" s="26" t="n">
        <v>10000</v>
      </c>
      <c r="G26" s="26" t="n">
        <v>-15000</v>
      </c>
      <c r="H26" s="26" t="n">
        <v>10000</v>
      </c>
      <c r="I26" s="26" t="n">
        <v>-15000</v>
      </c>
      <c r="J26" s="26"/>
      <c r="K26" s="26"/>
      <c r="L26" s="26"/>
      <c r="M26" s="26"/>
      <c r="N26" s="13" t="n">
        <f aca="false">SUM(D26:M26)</f>
        <v>10000</v>
      </c>
      <c r="O26" s="46"/>
      <c r="P26" s="0" t="n">
        <f aca="false">D26*($C26-D$3)</f>
        <v>1050</v>
      </c>
      <c r="Q26" s="0" t="n">
        <f aca="false">E26*($C26-E$3)</f>
        <v>1350</v>
      </c>
      <c r="R26" s="0" t="n">
        <f aca="false">F26*($C26-F$3)</f>
        <v>550.000000000002</v>
      </c>
      <c r="S26" s="0" t="n">
        <f aca="false">G26*($C26-G$3)</f>
        <v>-449.999999999997</v>
      </c>
      <c r="T26" s="0" t="n">
        <f aca="false">H26*($C26-H$3)</f>
        <v>249.999999999999</v>
      </c>
      <c r="U26" s="0" t="n">
        <f aca="false">I26*($C26-I$3)</f>
        <v>149.999999999997</v>
      </c>
      <c r="V26" s="0" t="n">
        <f aca="false">J26*($C26-J$3)</f>
        <v>0</v>
      </c>
      <c r="Y26" s="0" t="n">
        <f aca="false">SUM(P26:X26)</f>
        <v>2900</v>
      </c>
    </row>
    <row r="27" customFormat="false" ht="12.75" hidden="false" customHeight="false" outlineLevel="0" collapsed="false">
      <c r="A27" s="47" t="n">
        <v>36609</v>
      </c>
      <c r="B27" s="0" t="n">
        <f aca="false">B$2+B$3</f>
        <v>3.86</v>
      </c>
      <c r="C27" s="44" t="n">
        <f aca="false">GasDaily!AF27</f>
        <v>3.875</v>
      </c>
      <c r="D27" s="26" t="n">
        <v>5000</v>
      </c>
      <c r="E27" s="26" t="n">
        <v>15000</v>
      </c>
      <c r="F27" s="26" t="n">
        <v>10000</v>
      </c>
      <c r="G27" s="26" t="n">
        <v>-15000</v>
      </c>
      <c r="H27" s="26" t="n">
        <v>10000</v>
      </c>
      <c r="I27" s="26" t="n">
        <v>-15000</v>
      </c>
      <c r="J27" s="26"/>
      <c r="K27" s="26"/>
      <c r="L27" s="26"/>
      <c r="M27" s="26"/>
      <c r="N27" s="13" t="n">
        <f aca="false">SUM(D27:M27)</f>
        <v>10000</v>
      </c>
      <c r="O27" s="46"/>
      <c r="P27" s="0" t="n">
        <f aca="false">D27*($C27-D$3)</f>
        <v>1050</v>
      </c>
      <c r="Q27" s="0" t="n">
        <f aca="false">E27*($C27-E$3)</f>
        <v>1350</v>
      </c>
      <c r="R27" s="0" t="n">
        <f aca="false">F27*($C27-F$3)</f>
        <v>550.000000000002</v>
      </c>
      <c r="S27" s="0" t="n">
        <f aca="false">G27*($C27-G$3)</f>
        <v>-449.999999999997</v>
      </c>
      <c r="T27" s="0" t="n">
        <f aca="false">H27*($C27-H$3)</f>
        <v>249.999999999999</v>
      </c>
      <c r="U27" s="0" t="n">
        <f aca="false">I27*($C27-I$3)</f>
        <v>149.999999999997</v>
      </c>
      <c r="V27" s="0" t="n">
        <f aca="false">J27*($C27-J$3)</f>
        <v>0</v>
      </c>
      <c r="Y27" s="0" t="n">
        <f aca="false">SUM(P27:X27)</f>
        <v>2900</v>
      </c>
    </row>
    <row r="28" customFormat="false" ht="12.75" hidden="false" customHeight="false" outlineLevel="0" collapsed="false">
      <c r="A28" s="47" t="n">
        <v>36610</v>
      </c>
      <c r="B28" s="0" t="n">
        <f aca="false">B$2+B$3</f>
        <v>3.86</v>
      </c>
      <c r="C28" s="44" t="n">
        <f aca="false">GasDaily!AF28</f>
        <v>3.875</v>
      </c>
      <c r="D28" s="26" t="n">
        <v>5000</v>
      </c>
      <c r="E28" s="26" t="n">
        <v>15000</v>
      </c>
      <c r="F28" s="26" t="n">
        <v>10000</v>
      </c>
      <c r="G28" s="26" t="n">
        <v>-15000</v>
      </c>
      <c r="H28" s="26" t="n">
        <v>10000</v>
      </c>
      <c r="I28" s="26" t="n">
        <v>-15000</v>
      </c>
      <c r="J28" s="26"/>
      <c r="K28" s="26"/>
      <c r="L28" s="26"/>
      <c r="M28" s="26"/>
      <c r="N28" s="13" t="n">
        <f aca="false">SUM(D28:M28)</f>
        <v>10000</v>
      </c>
      <c r="O28" s="46"/>
      <c r="P28" s="0" t="n">
        <f aca="false">D28*($C28-D$3)</f>
        <v>1050</v>
      </c>
      <c r="Q28" s="0" t="n">
        <f aca="false">E28*($C28-E$3)</f>
        <v>1350</v>
      </c>
      <c r="R28" s="0" t="n">
        <f aca="false">F28*($C28-F$3)</f>
        <v>550.000000000002</v>
      </c>
      <c r="S28" s="0" t="n">
        <f aca="false">G28*($C28-G$3)</f>
        <v>-449.999999999997</v>
      </c>
      <c r="T28" s="0" t="n">
        <f aca="false">H28*($C28-H$3)</f>
        <v>249.999999999999</v>
      </c>
      <c r="U28" s="0" t="n">
        <f aca="false">I28*($C28-I$3)</f>
        <v>149.999999999997</v>
      </c>
      <c r="V28" s="0" t="n">
        <f aca="false">J28*($C28-J$3)</f>
        <v>0</v>
      </c>
      <c r="Y28" s="0" t="n">
        <f aca="false">SUM(P28:X28)</f>
        <v>2900</v>
      </c>
    </row>
    <row r="29" customFormat="false" ht="12.75" hidden="false" customHeight="false" outlineLevel="0" collapsed="false">
      <c r="A29" s="47" t="n">
        <v>36611</v>
      </c>
      <c r="B29" s="0" t="n">
        <f aca="false">B$2+B$3</f>
        <v>3.86</v>
      </c>
      <c r="C29" s="44" t="n">
        <f aca="false">GasDaily!AF29</f>
        <v>3.875</v>
      </c>
      <c r="D29" s="26" t="n">
        <v>5000</v>
      </c>
      <c r="E29" s="26" t="n">
        <v>15000</v>
      </c>
      <c r="F29" s="26" t="n">
        <v>10000</v>
      </c>
      <c r="G29" s="26" t="n">
        <v>-15000</v>
      </c>
      <c r="H29" s="26" t="n">
        <v>10000</v>
      </c>
      <c r="I29" s="26" t="n">
        <v>-15000</v>
      </c>
      <c r="J29" s="26"/>
      <c r="K29" s="26"/>
      <c r="L29" s="26"/>
      <c r="M29" s="26"/>
      <c r="N29" s="13" t="n">
        <f aca="false">SUM(D29:M29)</f>
        <v>10000</v>
      </c>
      <c r="O29" s="46"/>
      <c r="P29" s="0" t="n">
        <f aca="false">D29*($C29-D$3)</f>
        <v>1050</v>
      </c>
      <c r="Q29" s="0" t="n">
        <f aca="false">E29*($C29-E$3)</f>
        <v>1350</v>
      </c>
      <c r="R29" s="0" t="n">
        <f aca="false">F29*($C29-F$3)</f>
        <v>550.000000000002</v>
      </c>
      <c r="S29" s="0" t="n">
        <f aca="false">G29*($C29-G$3)</f>
        <v>-449.999999999997</v>
      </c>
      <c r="T29" s="0" t="n">
        <f aca="false">H29*($C29-H$3)</f>
        <v>249.999999999999</v>
      </c>
      <c r="U29" s="0" t="n">
        <f aca="false">I29*($C29-I$3)</f>
        <v>149.999999999997</v>
      </c>
      <c r="V29" s="0" t="n">
        <f aca="false">J29*($C29-J$3)</f>
        <v>0</v>
      </c>
      <c r="Y29" s="0" t="n">
        <f aca="false">SUM(P29:X29)</f>
        <v>2900</v>
      </c>
    </row>
    <row r="30" customFormat="false" ht="12.75" hidden="false" customHeight="false" outlineLevel="0" collapsed="false">
      <c r="A30" s="47" t="n">
        <v>36612</v>
      </c>
      <c r="B30" s="0" t="n">
        <f aca="false">B$2+B$3</f>
        <v>3.86</v>
      </c>
      <c r="C30" s="44" t="n">
        <f aca="false">GasDaily!AF30</f>
        <v>3.875</v>
      </c>
      <c r="D30" s="26" t="n">
        <v>5000</v>
      </c>
      <c r="E30" s="26" t="n">
        <v>15000</v>
      </c>
      <c r="F30" s="26" t="n">
        <v>10000</v>
      </c>
      <c r="G30" s="26" t="n">
        <v>-15000</v>
      </c>
      <c r="H30" s="26" t="n">
        <v>10000</v>
      </c>
      <c r="I30" s="26" t="n">
        <v>-15000</v>
      </c>
      <c r="J30" s="26"/>
      <c r="K30" s="26"/>
      <c r="L30" s="26"/>
      <c r="M30" s="26"/>
      <c r="N30" s="13" t="n">
        <f aca="false">SUM(D30:M30)</f>
        <v>10000</v>
      </c>
      <c r="O30" s="46"/>
      <c r="P30" s="0" t="n">
        <f aca="false">D30*($C30-D$3)</f>
        <v>1050</v>
      </c>
      <c r="Q30" s="0" t="n">
        <f aca="false">E30*($C30-E$3)</f>
        <v>1350</v>
      </c>
      <c r="R30" s="0" t="n">
        <f aca="false">F30*($C30-F$3)</f>
        <v>550.000000000002</v>
      </c>
      <c r="S30" s="0" t="n">
        <f aca="false">G30*($C30-G$3)</f>
        <v>-449.999999999997</v>
      </c>
      <c r="T30" s="0" t="n">
        <f aca="false">H30*($C30-H$3)</f>
        <v>249.999999999999</v>
      </c>
      <c r="U30" s="0" t="n">
        <f aca="false">I30*($C30-I$3)</f>
        <v>149.999999999997</v>
      </c>
      <c r="V30" s="0" t="n">
        <f aca="false">J30*($C30-J$3)</f>
        <v>0</v>
      </c>
      <c r="Y30" s="0" t="n">
        <f aca="false">SUM(P30:X30)</f>
        <v>2900</v>
      </c>
    </row>
    <row r="31" customFormat="false" ht="12.75" hidden="false" customHeight="false" outlineLevel="0" collapsed="false">
      <c r="A31" s="47" t="n">
        <v>36613</v>
      </c>
      <c r="B31" s="0" t="n">
        <f aca="false">B$2+B$3</f>
        <v>3.86</v>
      </c>
      <c r="C31" s="44" t="n">
        <f aca="false">GasDaily!AF31</f>
        <v>3.875</v>
      </c>
      <c r="D31" s="26" t="n">
        <v>5000</v>
      </c>
      <c r="E31" s="26" t="n">
        <v>15000</v>
      </c>
      <c r="F31" s="26" t="n">
        <v>10000</v>
      </c>
      <c r="G31" s="26" t="n">
        <v>-15000</v>
      </c>
      <c r="H31" s="26" t="n">
        <v>10000</v>
      </c>
      <c r="I31" s="26" t="n">
        <v>-15000</v>
      </c>
      <c r="J31" s="26"/>
      <c r="K31" s="26"/>
      <c r="L31" s="26"/>
      <c r="M31" s="26"/>
      <c r="N31" s="13" t="n">
        <f aca="false">SUM(D31:M31)</f>
        <v>10000</v>
      </c>
      <c r="O31" s="46"/>
      <c r="P31" s="0" t="n">
        <f aca="false">D31*($C31-D$3)</f>
        <v>1050</v>
      </c>
      <c r="Q31" s="0" t="n">
        <f aca="false">E31*($C31-E$3)</f>
        <v>1350</v>
      </c>
      <c r="R31" s="0" t="n">
        <f aca="false">F31*($C31-F$3)</f>
        <v>550.000000000002</v>
      </c>
      <c r="S31" s="0" t="n">
        <f aca="false">G31*($C31-G$3)</f>
        <v>-449.999999999997</v>
      </c>
      <c r="T31" s="0" t="n">
        <f aca="false">H31*($C31-H$3)</f>
        <v>249.999999999999</v>
      </c>
      <c r="U31" s="0" t="n">
        <f aca="false">I31*($C31-I$3)</f>
        <v>149.999999999997</v>
      </c>
      <c r="V31" s="0" t="n">
        <f aca="false">J31*($C31-J$3)</f>
        <v>0</v>
      </c>
      <c r="Y31" s="0" t="n">
        <f aca="false">SUM(P31:X31)</f>
        <v>2900</v>
      </c>
    </row>
    <row r="32" customFormat="false" ht="12.75" hidden="false" customHeight="false" outlineLevel="0" collapsed="false">
      <c r="A32" s="47" t="n">
        <v>36614</v>
      </c>
      <c r="B32" s="0" t="n">
        <f aca="false">B$2+B$3</f>
        <v>3.86</v>
      </c>
      <c r="C32" s="44" t="n">
        <f aca="false">GasDaily!AF32</f>
        <v>3.875</v>
      </c>
      <c r="D32" s="26" t="n">
        <v>5000</v>
      </c>
      <c r="E32" s="26" t="n">
        <v>15000</v>
      </c>
      <c r="F32" s="26" t="n">
        <v>10000</v>
      </c>
      <c r="G32" s="26" t="n">
        <v>-15000</v>
      </c>
      <c r="H32" s="26" t="n">
        <v>10000</v>
      </c>
      <c r="I32" s="26" t="n">
        <v>-15000</v>
      </c>
      <c r="J32" s="26"/>
      <c r="K32" s="26"/>
      <c r="L32" s="26"/>
      <c r="M32" s="26"/>
      <c r="N32" s="13" t="n">
        <f aca="false">SUM(D32:M32)</f>
        <v>10000</v>
      </c>
      <c r="O32" s="46"/>
      <c r="P32" s="0" t="n">
        <f aca="false">D32*(C32-D$3)</f>
        <v>1050</v>
      </c>
      <c r="Q32" s="0" t="n">
        <f aca="false">E32*($C32-E$3)</f>
        <v>1350</v>
      </c>
      <c r="R32" s="0" t="n">
        <f aca="false">F32*($C32-F$3)</f>
        <v>550.000000000002</v>
      </c>
      <c r="S32" s="0" t="n">
        <f aca="false">G32*($C32-G$3)</f>
        <v>-449.999999999997</v>
      </c>
      <c r="T32" s="0" t="n">
        <f aca="false">H32*($C32-H$3)</f>
        <v>249.999999999999</v>
      </c>
      <c r="U32" s="0" t="n">
        <f aca="false">I32*($C32-I$3)</f>
        <v>149.999999999997</v>
      </c>
      <c r="V32" s="0" t="n">
        <f aca="false">J32*($C32-J$3)</f>
        <v>0</v>
      </c>
      <c r="Y32" s="0" t="n">
        <f aca="false">SUM(P32:X32)</f>
        <v>2900</v>
      </c>
    </row>
    <row r="33" customFormat="false" ht="12.75" hidden="false" customHeight="false" outlineLevel="0" collapsed="false">
      <c r="A33" s="47" t="n">
        <v>36615</v>
      </c>
      <c r="B33" s="0" t="n">
        <f aca="false">B$2+B$3</f>
        <v>3.86</v>
      </c>
      <c r="C33" s="44" t="n">
        <f aca="false">GasDaily!AF33</f>
        <v>3.875</v>
      </c>
      <c r="D33" s="26" t="n">
        <v>5000</v>
      </c>
      <c r="E33" s="26" t="n">
        <v>15000</v>
      </c>
      <c r="F33" s="26" t="n">
        <v>10000</v>
      </c>
      <c r="G33" s="26" t="n">
        <v>-15000</v>
      </c>
      <c r="H33" s="26" t="n">
        <v>10000</v>
      </c>
      <c r="I33" s="26" t="n">
        <v>-15000</v>
      </c>
      <c r="J33" s="26"/>
      <c r="K33" s="26"/>
      <c r="L33" s="26"/>
      <c r="N33" s="13" t="n">
        <f aca="false">SUM(D33:M33)</f>
        <v>10000</v>
      </c>
      <c r="P33" s="0" t="n">
        <f aca="false">D33*(C33-D$3)</f>
        <v>1050</v>
      </c>
      <c r="Q33" s="0" t="n">
        <f aca="false">E33*($C33-E$3)</f>
        <v>1350</v>
      </c>
      <c r="R33" s="0" t="n">
        <f aca="false">F33*($C33-F$3)</f>
        <v>550.000000000002</v>
      </c>
      <c r="S33" s="0" t="n">
        <f aca="false">G33*($C33-G$3)</f>
        <v>-449.999999999997</v>
      </c>
      <c r="T33" s="0" t="n">
        <f aca="false">H33*($C33-H$3)</f>
        <v>249.999999999999</v>
      </c>
      <c r="U33" s="0" t="n">
        <f aca="false">I33*($C33-I$3)</f>
        <v>149.999999999997</v>
      </c>
      <c r="V33" s="0" t="n">
        <f aca="false">J33*($C33-J$3)</f>
        <v>0</v>
      </c>
      <c r="Y33" s="0" t="n">
        <f aca="false">SUM(P33:X33)</f>
        <v>2900</v>
      </c>
    </row>
    <row r="34" customFormat="false" ht="12.75" hidden="false" customHeight="false" outlineLevel="0" collapsed="false">
      <c r="A34" s="47" t="n">
        <v>36616</v>
      </c>
      <c r="B34" s="0" t="n">
        <f aca="false">B$2+B$3</f>
        <v>3.86</v>
      </c>
      <c r="C34" s="44" t="n">
        <f aca="false">GasDaily!AF34</f>
        <v>0.04</v>
      </c>
      <c r="D34" s="26"/>
      <c r="E34" s="26"/>
      <c r="F34" s="26"/>
      <c r="G34" s="26"/>
      <c r="H34" s="26"/>
      <c r="I34" s="26"/>
      <c r="J34" s="26"/>
      <c r="K34" s="26"/>
      <c r="L34" s="26"/>
      <c r="N34" s="13" t="n">
        <f aca="false">SUM(D34:M34)</f>
        <v>0</v>
      </c>
      <c r="P34" s="0" t="n">
        <f aca="false">D34*(C34-D$3)</f>
        <v>-0</v>
      </c>
      <c r="Q34" s="0" t="n">
        <f aca="false">E34*($C34-E$3)</f>
        <v>-0</v>
      </c>
      <c r="R34" s="0" t="n">
        <f aca="false">F34*($C34-F$3)</f>
        <v>-0</v>
      </c>
      <c r="S34" s="0" t="n">
        <f aca="false">G34*($C34-G$3)</f>
        <v>-0</v>
      </c>
      <c r="T34" s="0" t="n">
        <f aca="false">H34*($C34-H$3)</f>
        <v>-0</v>
      </c>
      <c r="U34" s="0" t="n">
        <f aca="false">I34*($C34-I$3)</f>
        <v>-0</v>
      </c>
      <c r="V34" s="0" t="n">
        <f aca="false">J34*($C34-J$3)</f>
        <v>0</v>
      </c>
      <c r="Y34" s="0" t="n">
        <f aca="false">SUM(P34:X34)</f>
        <v>0</v>
      </c>
    </row>
    <row r="35" customFormat="false" ht="12.75" hidden="false" customHeight="false" outlineLevel="0" collapsed="false">
      <c r="A35" s="47"/>
      <c r="C35" s="44"/>
      <c r="D35" s="26"/>
      <c r="E35" s="26"/>
      <c r="F35" s="26"/>
      <c r="G35" s="26"/>
      <c r="H35" s="26"/>
      <c r="I35" s="26"/>
      <c r="J35" s="26"/>
      <c r="K35" s="26"/>
      <c r="L35" s="26"/>
    </row>
    <row r="36" customFormat="false" ht="12.75" hidden="false" customHeight="false" outlineLevel="0" collapsed="false">
      <c r="N36" s="13" t="n">
        <f aca="false">SUM(N8:N34)</f>
        <v>260000</v>
      </c>
      <c r="Y36" s="48" t="n">
        <f aca="false">SUM(Y4:Y34)</f>
        <v>84500</v>
      </c>
    </row>
    <row r="37" customFormat="false" ht="12.75" hidden="false" customHeight="false" outlineLevel="0" collapsed="false">
      <c r="A37" s="0" t="n">
        <f aca="false">COUNT(A31:A33)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11" activeCellId="0" sqref="B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0" width="9.14"/>
    <col collapsed="false" customWidth="true" hidden="false" outlineLevel="0" max="2" min="2" style="0" width="9.41"/>
    <col collapsed="false" customWidth="true" hidden="false" outlineLevel="0" max="3" min="3" style="51" width="17.14"/>
    <col collapsed="false" customWidth="true" hidden="false" outlineLevel="0" max="4" min="4" style="0" width="3.14"/>
    <col collapsed="false" customWidth="true" hidden="false" outlineLevel="0" max="5" min="5" style="52" width="10.13"/>
    <col collapsed="false" customWidth="true" hidden="false" outlineLevel="0" max="6" min="6" style="0" width="9.41"/>
    <col collapsed="false" customWidth="true" hidden="false" outlineLevel="0" max="7" min="7" style="53" width="15.28"/>
    <col collapsed="false" customWidth="true" hidden="false" outlineLevel="0" max="8" min="8" style="0" width="2.84"/>
    <col collapsed="false" customWidth="true" hidden="false" outlineLevel="0" max="9" min="9" style="54" width="14.85"/>
    <col collapsed="false" customWidth="true" hidden="false" outlineLevel="0" max="10" min="10" style="0" width="2.13"/>
    <col collapsed="false" customWidth="true" hidden="false" outlineLevel="0" max="11" min="11" style="0" width="21.7"/>
  </cols>
  <sheetData>
    <row r="1" customFormat="false" ht="12.75" hidden="false" customHeight="false" outlineLevel="0" collapsed="false">
      <c r="A1" s="55" t="s">
        <v>49</v>
      </c>
      <c r="B1" s="3"/>
      <c r="C1" s="56"/>
      <c r="D1" s="17"/>
      <c r="E1" s="55" t="s">
        <v>50</v>
      </c>
      <c r="F1" s="3"/>
      <c r="G1" s="57"/>
      <c r="I1" s="58"/>
      <c r="K1" s="59"/>
    </row>
    <row r="2" customFormat="false" ht="12.75" hidden="false" customHeight="false" outlineLevel="0" collapsed="false">
      <c r="A2" s="60" t="n">
        <v>106</v>
      </c>
      <c r="B2" s="3" t="n">
        <v>3.81</v>
      </c>
      <c r="C2" s="56" t="n">
        <f aca="false">A2*B2*10000</f>
        <v>4038600</v>
      </c>
      <c r="D2" s="17"/>
      <c r="E2" s="61" t="n">
        <v>31</v>
      </c>
      <c r="F2" s="62" t="n">
        <v>3.76</v>
      </c>
      <c r="G2" s="63" t="n">
        <f aca="false">E2*F2*10000</f>
        <v>1165600</v>
      </c>
      <c r="I2" s="64"/>
    </row>
    <row r="3" customFormat="false" ht="12.75" hidden="false" customHeight="false" outlineLevel="0" collapsed="false">
      <c r="A3" s="60" t="n">
        <v>46.5</v>
      </c>
      <c r="B3" s="3" t="n">
        <v>3.79</v>
      </c>
      <c r="C3" s="56" t="n">
        <f aca="false">A3*B3*10000</f>
        <v>1762350</v>
      </c>
      <c r="D3" s="17"/>
      <c r="E3" s="65" t="n">
        <v>31</v>
      </c>
      <c r="F3" s="3" t="n">
        <v>3.76</v>
      </c>
      <c r="G3" s="63" t="n">
        <f aca="false">E3*F3*10000</f>
        <v>1165600</v>
      </c>
      <c r="I3" s="66"/>
      <c r="K3" s="67"/>
    </row>
    <row r="4" customFormat="false" ht="12.75" hidden="false" customHeight="false" outlineLevel="0" collapsed="false">
      <c r="A4" s="68" t="n">
        <v>23.25</v>
      </c>
      <c r="B4" s="62" t="n">
        <v>3.925</v>
      </c>
      <c r="C4" s="56" t="n">
        <f aca="false">A4*B4*10000</f>
        <v>912562.5</v>
      </c>
      <c r="D4" s="17"/>
      <c r="E4" s="65" t="n">
        <v>38.75</v>
      </c>
      <c r="F4" s="3" t="n">
        <v>3.705</v>
      </c>
      <c r="G4" s="63" t="n">
        <f aca="false">E4*F4*10000</f>
        <v>1435687.5</v>
      </c>
      <c r="J4" s="64"/>
      <c r="K4" s="17" t="n">
        <f aca="false">4.69+0.032</f>
        <v>4.722</v>
      </c>
    </row>
    <row r="5" customFormat="false" ht="12.75" hidden="false" customHeight="false" outlineLevel="0" collapsed="false">
      <c r="A5" s="68" t="n">
        <v>31</v>
      </c>
      <c r="B5" s="62" t="n">
        <v>4.065</v>
      </c>
      <c r="C5" s="56" t="n">
        <f aca="false">A5*B5*10000</f>
        <v>1260150</v>
      </c>
      <c r="D5" s="17"/>
      <c r="E5" s="61" t="n">
        <v>15.5</v>
      </c>
      <c r="F5" s="62" t="n">
        <v>3.695</v>
      </c>
      <c r="G5" s="63" t="n">
        <f aca="false">E5*F5*10000</f>
        <v>572725</v>
      </c>
      <c r="I5" s="64"/>
      <c r="J5" s="36"/>
      <c r="K5" s="17"/>
    </row>
    <row r="6" customFormat="false" ht="12.75" hidden="false" customHeight="false" outlineLevel="0" collapsed="false">
      <c r="A6" s="69" t="n">
        <v>15.5</v>
      </c>
      <c r="B6" s="3" t="n">
        <v>4.05</v>
      </c>
      <c r="C6" s="56" t="n">
        <f aca="false">A6*B6*10000</f>
        <v>627750</v>
      </c>
      <c r="D6" s="17"/>
      <c r="E6" s="65" t="n">
        <v>38.75</v>
      </c>
      <c r="F6" s="3" t="n">
        <v>3.905</v>
      </c>
      <c r="G6" s="63" t="n">
        <f aca="false">E6*F6*10000</f>
        <v>1513187.5</v>
      </c>
      <c r="I6" s="64"/>
      <c r="J6" s="36"/>
      <c r="K6" s="17"/>
    </row>
    <row r="7" customFormat="false" ht="12.75" hidden="false" customHeight="false" outlineLevel="0" collapsed="false">
      <c r="A7" s="65" t="n">
        <v>31</v>
      </c>
      <c r="B7" s="3" t="n">
        <v>3.98</v>
      </c>
      <c r="C7" s="56" t="n">
        <f aca="false">A7*B7*10000</f>
        <v>1233800</v>
      </c>
      <c r="D7" s="17"/>
      <c r="E7" s="65" t="n">
        <v>31</v>
      </c>
      <c r="F7" s="3" t="n">
        <v>3.81</v>
      </c>
      <c r="G7" s="63" t="n">
        <f aca="false">E7*F7*10000</f>
        <v>1181100</v>
      </c>
      <c r="I7" s="64"/>
    </row>
    <row r="8" customFormat="false" ht="12.75" hidden="false" customHeight="false" outlineLevel="0" collapsed="false">
      <c r="A8" s="65" t="n">
        <v>31</v>
      </c>
      <c r="B8" s="3" t="n">
        <v>3.985</v>
      </c>
      <c r="C8" s="56" t="n">
        <f aca="false">A8*B8*10000</f>
        <v>1235350</v>
      </c>
      <c r="D8" s="17"/>
      <c r="E8" s="65" t="n">
        <v>31</v>
      </c>
      <c r="F8" s="3" t="n">
        <v>3.895</v>
      </c>
      <c r="G8" s="63" t="n">
        <f aca="false">E8*F8*10000</f>
        <v>1207450</v>
      </c>
      <c r="I8" s="64"/>
      <c r="K8" s="17"/>
    </row>
    <row r="9" customFormat="false" ht="12.75" hidden="false" customHeight="false" outlineLevel="0" collapsed="false">
      <c r="A9" s="65" t="n">
        <v>31</v>
      </c>
      <c r="B9" s="3" t="n">
        <v>3.86</v>
      </c>
      <c r="C9" s="56" t="n">
        <f aca="false">A9*B9*10000</f>
        <v>1196600</v>
      </c>
      <c r="D9" s="17"/>
      <c r="E9" s="65" t="n">
        <v>23.25</v>
      </c>
      <c r="F9" s="3" t="n">
        <v>3.925</v>
      </c>
      <c r="G9" s="63" t="n">
        <f aca="false">E9*F9*10000</f>
        <v>912562.5</v>
      </c>
      <c r="I9" s="64"/>
    </row>
    <row r="10" customFormat="false" ht="12.75" hidden="false" customHeight="false" outlineLevel="0" collapsed="false">
      <c r="A10" s="65" t="n">
        <v>31</v>
      </c>
      <c r="B10" s="3" t="n">
        <v>3.95</v>
      </c>
      <c r="C10" s="56" t="n">
        <f aca="false">A10*B10*10000</f>
        <v>1224500</v>
      </c>
      <c r="D10" s="17"/>
      <c r="E10" s="65" t="n">
        <v>23.25</v>
      </c>
      <c r="F10" s="3" t="n">
        <v>3.82</v>
      </c>
      <c r="G10" s="63" t="n">
        <f aca="false">E10*F10*10000</f>
        <v>888150</v>
      </c>
      <c r="I10" s="64"/>
    </row>
    <row r="11" customFormat="false" ht="12.75" hidden="false" customHeight="false" outlineLevel="0" collapsed="false">
      <c r="A11" s="65"/>
      <c r="B11" s="3"/>
      <c r="C11" s="56" t="n">
        <f aca="false">A11*B11*10000</f>
        <v>0</v>
      </c>
      <c r="D11" s="17"/>
      <c r="E11" s="65"/>
      <c r="F11" s="3"/>
      <c r="G11" s="63" t="n">
        <f aca="false">E11*F11*10000</f>
        <v>0</v>
      </c>
      <c r="I11" s="64"/>
    </row>
    <row r="12" customFormat="false" ht="12.75" hidden="false" customHeight="false" outlineLevel="0" collapsed="false">
      <c r="A12" s="65"/>
      <c r="B12" s="3"/>
      <c r="C12" s="56" t="n">
        <f aca="false">A12*B12*10000</f>
        <v>0</v>
      </c>
      <c r="D12" s="17"/>
      <c r="E12" s="65"/>
      <c r="F12" s="3"/>
      <c r="G12" s="63" t="n">
        <f aca="false">E12*F12*10000</f>
        <v>0</v>
      </c>
      <c r="I12" s="64"/>
    </row>
    <row r="13" customFormat="false" ht="12.75" hidden="false" customHeight="false" outlineLevel="0" collapsed="false">
      <c r="A13" s="65"/>
      <c r="B13" s="3"/>
      <c r="C13" s="56" t="n">
        <f aca="false">A13*B13*10000</f>
        <v>0</v>
      </c>
      <c r="D13" s="17"/>
      <c r="E13" s="65"/>
      <c r="F13" s="3"/>
      <c r="G13" s="63" t="n">
        <f aca="false">E13*F13*10000</f>
        <v>0</v>
      </c>
      <c r="I13" s="64"/>
      <c r="L13" s="0" t="n">
        <f aca="false">2500*31</f>
        <v>77500</v>
      </c>
      <c r="M13" s="0" t="n">
        <f aca="false">L13/10000</f>
        <v>7.75</v>
      </c>
    </row>
    <row r="14" customFormat="false" ht="12.75" hidden="false" customHeight="false" outlineLevel="0" collapsed="false">
      <c r="A14" s="65"/>
      <c r="B14" s="3"/>
      <c r="C14" s="56" t="n">
        <f aca="false">A14*B14*10000</f>
        <v>0</v>
      </c>
      <c r="D14" s="17"/>
      <c r="E14" s="61"/>
      <c r="F14" s="62"/>
      <c r="G14" s="63" t="n">
        <f aca="false">E14*F14*10000</f>
        <v>0</v>
      </c>
      <c r="I14" s="64"/>
      <c r="L14" s="0" t="n">
        <f aca="false">5000*31</f>
        <v>155000</v>
      </c>
      <c r="M14" s="0" t="n">
        <f aca="false">L14/10000</f>
        <v>15.5</v>
      </c>
    </row>
    <row r="15" customFormat="false" ht="12.75" hidden="false" customHeight="false" outlineLevel="0" collapsed="false">
      <c r="A15" s="65"/>
      <c r="B15" s="3"/>
      <c r="C15" s="56" t="n">
        <f aca="false">A15*B15*10000</f>
        <v>0</v>
      </c>
      <c r="D15" s="17"/>
      <c r="E15" s="61"/>
      <c r="F15" s="62"/>
      <c r="G15" s="63" t="n">
        <f aca="false">E15*F15*10000</f>
        <v>0</v>
      </c>
      <c r="I15" s="64"/>
      <c r="L15" s="0" t="n">
        <f aca="false">7500*31</f>
        <v>232500</v>
      </c>
      <c r="M15" s="0" t="n">
        <f aca="false">L15/10000</f>
        <v>23.25</v>
      </c>
    </row>
    <row r="16" customFormat="false" ht="12.75" hidden="false" customHeight="false" outlineLevel="0" collapsed="false">
      <c r="A16" s="65"/>
      <c r="B16" s="3"/>
      <c r="C16" s="56" t="n">
        <f aca="false">A16*B16*10000</f>
        <v>0</v>
      </c>
      <c r="D16" s="17"/>
      <c r="E16" s="61"/>
      <c r="F16" s="62"/>
      <c r="G16" s="63" t="n">
        <f aca="false">E16*F16*10000</f>
        <v>0</v>
      </c>
      <c r="I16" s="64"/>
      <c r="L16" s="0" t="n">
        <f aca="false">12500*31</f>
        <v>387500</v>
      </c>
      <c r="M16" s="0" t="n">
        <f aca="false">L16/10000</f>
        <v>38.75</v>
      </c>
    </row>
    <row r="17" customFormat="false" ht="12.75" hidden="false" customHeight="false" outlineLevel="0" collapsed="false">
      <c r="A17" s="65"/>
      <c r="B17" s="3"/>
      <c r="C17" s="56" t="n">
        <f aca="false">A17*B17*10000</f>
        <v>0</v>
      </c>
      <c r="D17" s="17"/>
      <c r="E17" s="61"/>
      <c r="F17" s="62"/>
      <c r="G17" s="63" t="n">
        <f aca="false">E17*F17*10000</f>
        <v>0</v>
      </c>
      <c r="I17" s="64"/>
      <c r="L17" s="0" t="n">
        <f aca="false">17500*31</f>
        <v>542500</v>
      </c>
      <c r="M17" s="0" t="n">
        <f aca="false">L17/10000</f>
        <v>54.25</v>
      </c>
    </row>
    <row r="18" customFormat="false" ht="12.75" hidden="false" customHeight="false" outlineLevel="0" collapsed="false">
      <c r="A18" s="65"/>
      <c r="B18" s="3"/>
      <c r="C18" s="56" t="n">
        <f aca="false">A18*B18*10000</f>
        <v>0</v>
      </c>
      <c r="D18" s="17"/>
      <c r="E18" s="61"/>
      <c r="F18" s="62"/>
      <c r="G18" s="63" t="n">
        <f aca="false">E18*F18*10000</f>
        <v>0</v>
      </c>
      <c r="I18" s="64"/>
    </row>
    <row r="19" customFormat="false" ht="12.75" hidden="false" customHeight="false" outlineLevel="0" collapsed="false">
      <c r="A19" s="65"/>
      <c r="B19" s="3"/>
      <c r="C19" s="56" t="n">
        <f aca="false">A19*B19*10000</f>
        <v>0</v>
      </c>
      <c r="D19" s="17"/>
      <c r="E19" s="61"/>
      <c r="F19" s="62"/>
      <c r="G19" s="63" t="n">
        <f aca="false">E19*F19*10000</f>
        <v>0</v>
      </c>
      <c r="I19" s="64"/>
    </row>
    <row r="20" customFormat="false" ht="12.75" hidden="false" customHeight="false" outlineLevel="0" collapsed="false">
      <c r="A20" s="65"/>
      <c r="B20" s="3"/>
      <c r="C20" s="56" t="n">
        <f aca="false">A20*B20*10000</f>
        <v>0</v>
      </c>
      <c r="D20" s="17"/>
      <c r="E20" s="61"/>
      <c r="F20" s="62"/>
      <c r="G20" s="63" t="n">
        <f aca="false">E20*F20*10000</f>
        <v>0</v>
      </c>
      <c r="I20" s="64"/>
    </row>
    <row r="21" customFormat="false" ht="12.75" hidden="false" customHeight="false" outlineLevel="0" collapsed="false">
      <c r="A21" s="65"/>
      <c r="B21" s="3"/>
      <c r="C21" s="56" t="n">
        <f aca="false">A21*B21*10000</f>
        <v>0</v>
      </c>
      <c r="D21" s="17"/>
      <c r="E21" s="61"/>
      <c r="F21" s="62"/>
      <c r="G21" s="63" t="n">
        <f aca="false">E21*F21*10000</f>
        <v>0</v>
      </c>
      <c r="I21" s="64"/>
    </row>
    <row r="22" customFormat="false" ht="12.75" hidden="false" customHeight="false" outlineLevel="0" collapsed="false">
      <c r="A22" s="65"/>
      <c r="B22" s="3"/>
      <c r="C22" s="56" t="n">
        <f aca="false">A22*B22*10000</f>
        <v>0</v>
      </c>
      <c r="D22" s="17"/>
      <c r="E22" s="61"/>
      <c r="F22" s="62"/>
      <c r="G22" s="63" t="n">
        <f aca="false">E22*F22*10000</f>
        <v>0</v>
      </c>
      <c r="I22" s="64"/>
    </row>
    <row r="23" customFormat="false" ht="12.75" hidden="false" customHeight="false" outlineLevel="0" collapsed="false">
      <c r="A23" s="65"/>
      <c r="B23" s="3"/>
      <c r="C23" s="56" t="n">
        <f aca="false">A23*B23*10000</f>
        <v>0</v>
      </c>
      <c r="D23" s="17"/>
      <c r="E23" s="61"/>
      <c r="F23" s="62"/>
      <c r="G23" s="63" t="n">
        <f aca="false">E23*F23*10000</f>
        <v>0</v>
      </c>
      <c r="I23" s="64"/>
    </row>
    <row r="24" customFormat="false" ht="12" hidden="false" customHeight="true" outlineLevel="0" collapsed="false">
      <c r="A24" s="65"/>
      <c r="B24" s="3"/>
      <c r="C24" s="56" t="n">
        <f aca="false">A24*B24*10000</f>
        <v>0</v>
      </c>
      <c r="D24" s="17"/>
      <c r="E24" s="61"/>
      <c r="F24" s="62"/>
      <c r="G24" s="63" t="n">
        <f aca="false">E24*F24*10000</f>
        <v>0</v>
      </c>
      <c r="I24" s="64"/>
    </row>
    <row r="25" customFormat="false" ht="12" hidden="false" customHeight="true" outlineLevel="0" collapsed="false">
      <c r="A25" s="65"/>
      <c r="B25" s="3"/>
      <c r="C25" s="56" t="n">
        <f aca="false">A25*B25*10000</f>
        <v>0</v>
      </c>
      <c r="D25" s="17"/>
      <c r="E25" s="61"/>
      <c r="F25" s="62"/>
      <c r="G25" s="63" t="n">
        <f aca="false">E25*F25*10000</f>
        <v>0</v>
      </c>
      <c r="I25" s="64"/>
    </row>
    <row r="26" customFormat="false" ht="12" hidden="false" customHeight="true" outlineLevel="0" collapsed="false">
      <c r="A26" s="65"/>
      <c r="B26" s="3"/>
      <c r="C26" s="56" t="n">
        <f aca="false">A26*B26*10000</f>
        <v>0</v>
      </c>
      <c r="D26" s="17"/>
      <c r="E26" s="61"/>
      <c r="F26" s="62"/>
      <c r="G26" s="63" t="n">
        <f aca="false">E26*F26*10000</f>
        <v>0</v>
      </c>
      <c r="I26" s="64" t="s">
        <v>51</v>
      </c>
      <c r="K26" s="0" t="n">
        <f aca="false">7500*31</f>
        <v>232500</v>
      </c>
    </row>
    <row r="27" customFormat="false" ht="12" hidden="false" customHeight="true" outlineLevel="0" collapsed="false">
      <c r="A27" s="65"/>
      <c r="B27" s="3"/>
      <c r="C27" s="56" t="n">
        <f aca="false">A27*B27*10000</f>
        <v>0</v>
      </c>
      <c r="D27" s="17"/>
      <c r="E27" s="61"/>
      <c r="F27" s="62"/>
      <c r="G27" s="63" t="n">
        <f aca="false">E27*F27*10000</f>
        <v>0</v>
      </c>
      <c r="I27" s="64"/>
    </row>
    <row r="28" customFormat="false" ht="12" hidden="false" customHeight="true" outlineLevel="0" collapsed="false">
      <c r="A28" s="65"/>
      <c r="B28" s="3"/>
      <c r="C28" s="56" t="n">
        <f aca="false">A28*B28*10000</f>
        <v>0</v>
      </c>
      <c r="D28" s="17"/>
      <c r="E28" s="61"/>
      <c r="F28" s="62"/>
      <c r="G28" s="63" t="n">
        <f aca="false">E28*F28*10000</f>
        <v>0</v>
      </c>
      <c r="I28" s="64"/>
    </row>
    <row r="29" customFormat="false" ht="12" hidden="false" customHeight="true" outlineLevel="0" collapsed="false">
      <c r="A29" s="65"/>
      <c r="B29" s="3"/>
      <c r="C29" s="56" t="n">
        <f aca="false">A29*B29*10000</f>
        <v>0</v>
      </c>
      <c r="D29" s="17"/>
      <c r="E29" s="61"/>
      <c r="F29" s="62"/>
      <c r="G29" s="63" t="n">
        <f aca="false">E29*F29*10000</f>
        <v>0</v>
      </c>
      <c r="I29" s="64"/>
    </row>
    <row r="30" customFormat="false" ht="10.5" hidden="false" customHeight="true" outlineLevel="0" collapsed="false">
      <c r="A30" s="65"/>
      <c r="B30" s="3"/>
      <c r="C30" s="56" t="n">
        <f aca="false">A30*B30*10000</f>
        <v>0</v>
      </c>
      <c r="D30" s="17"/>
      <c r="E30" s="61"/>
      <c r="F30" s="62"/>
      <c r="G30" s="63" t="n">
        <f aca="false">E30*F30*10000</f>
        <v>0</v>
      </c>
      <c r="I30" s="64"/>
    </row>
    <row r="31" customFormat="false" ht="10.5" hidden="false" customHeight="true" outlineLevel="0" collapsed="false">
      <c r="A31" s="65"/>
      <c r="B31" s="3"/>
      <c r="C31" s="56" t="n">
        <f aca="false">A31*B31*10000</f>
        <v>0</v>
      </c>
      <c r="D31" s="17"/>
      <c r="E31" s="61"/>
      <c r="F31" s="62"/>
      <c r="G31" s="63" t="n">
        <f aca="false">E31*F31*10000</f>
        <v>0</v>
      </c>
      <c r="I31" s="64"/>
    </row>
    <row r="32" customFormat="false" ht="10.5" hidden="false" customHeight="true" outlineLevel="0" collapsed="false">
      <c r="A32" s="65"/>
      <c r="B32" s="3"/>
      <c r="C32" s="56" t="n">
        <f aca="false">A32*B32*10000</f>
        <v>0</v>
      </c>
      <c r="D32" s="17"/>
      <c r="E32" s="61"/>
      <c r="F32" s="62"/>
      <c r="G32" s="63" t="n">
        <f aca="false">E32*F32*10000</f>
        <v>0</v>
      </c>
      <c r="I32" s="64"/>
    </row>
    <row r="33" customFormat="false" ht="10.5" hidden="false" customHeight="true" outlineLevel="0" collapsed="false">
      <c r="A33" s="65"/>
      <c r="B33" s="3"/>
      <c r="C33" s="56" t="n">
        <f aca="false">A33*B33*10000</f>
        <v>0</v>
      </c>
      <c r="D33" s="17"/>
      <c r="E33" s="61"/>
      <c r="F33" s="62"/>
      <c r="G33" s="63" t="n">
        <f aca="false">E33*F33*10000</f>
        <v>0</v>
      </c>
      <c r="I33" s="64"/>
    </row>
    <row r="34" customFormat="false" ht="10.5" hidden="false" customHeight="true" outlineLevel="0" collapsed="false">
      <c r="A34" s="65"/>
      <c r="B34" s="3"/>
      <c r="C34" s="56" t="n">
        <f aca="false">A34*B34*10000</f>
        <v>0</v>
      </c>
      <c r="D34" s="17"/>
      <c r="E34" s="61"/>
      <c r="F34" s="62"/>
      <c r="G34" s="63" t="n">
        <f aca="false">E34*F34*10000</f>
        <v>0</v>
      </c>
      <c r="I34" s="64"/>
    </row>
    <row r="35" customFormat="false" ht="12" hidden="false" customHeight="true" outlineLevel="0" collapsed="false">
      <c r="A35" s="65"/>
      <c r="B35" s="3"/>
      <c r="C35" s="56" t="n">
        <f aca="false">A35*B35*10000</f>
        <v>0</v>
      </c>
      <c r="D35" s="17"/>
      <c r="E35" s="61"/>
      <c r="F35" s="62"/>
      <c r="G35" s="63" t="n">
        <f aca="false">E35*F35*10000</f>
        <v>0</v>
      </c>
      <c r="I35" s="64"/>
    </row>
    <row r="36" customFormat="false" ht="12.75" hidden="false" customHeight="false" outlineLevel="0" collapsed="false">
      <c r="E36" s="50"/>
      <c r="G36" s="70"/>
    </row>
    <row r="37" customFormat="false" ht="12.75" hidden="false" customHeight="false" outlineLevel="0" collapsed="false">
      <c r="A37" s="65" t="n">
        <f aca="false">SUM(A1:A36)</f>
        <v>346.25</v>
      </c>
      <c r="B37" s="3" t="n">
        <f aca="false">IF(A37=0,0,C37/A37/10000)</f>
        <v>3.89650902527076</v>
      </c>
      <c r="C37" s="56" t="n">
        <f aca="false">SUM(C1:C36)</f>
        <v>13491662.5</v>
      </c>
      <c r="E37" s="65" t="n">
        <f aca="false">SUM(E1:E36)</f>
        <v>263.5</v>
      </c>
      <c r="F37" s="3" t="n">
        <f aca="false">IF(E37=0,0,G37/E37/10000)</f>
        <v>3.81102941176471</v>
      </c>
      <c r="G37" s="63" t="n">
        <f aca="false">SUM(G1:G36)</f>
        <v>10042062.5</v>
      </c>
      <c r="I37" s="71" t="n">
        <f aca="false">MIN(A37,E37)*(B37-F37)*10000</f>
        <v>225238.781588448</v>
      </c>
      <c r="J37" s="72"/>
      <c r="K37" s="72" t="s">
        <v>52</v>
      </c>
      <c r="L37" s="17"/>
      <c r="M37" s="17"/>
    </row>
    <row r="38" customFormat="false" ht="12.75" hidden="false" customHeight="false" outlineLevel="0" collapsed="false">
      <c r="I38" s="71"/>
      <c r="J38" s="72"/>
      <c r="K38" s="72"/>
      <c r="L38" s="17"/>
      <c r="M38" s="17"/>
    </row>
    <row r="39" customFormat="false" ht="12.75" hidden="false" customHeight="false" outlineLevel="0" collapsed="false">
      <c r="E39" s="52" t="n">
        <f aca="false">-A37+E37</f>
        <v>-82.75</v>
      </c>
      <c r="F39" s="0" t="n">
        <f aca="false">IF(E39&lt;0,B37,F37)</f>
        <v>3.89650902527076</v>
      </c>
      <c r="G39" s="53" t="n">
        <f aca="false">IF(E39&lt;0,(F39-B42)*ABS(E39)*10000,-1*(F39-B42)*ABS(E39)*10000)</f>
        <v>-44263.781588448</v>
      </c>
      <c r="I39" s="71" t="n">
        <f aca="false">G39</f>
        <v>-44263.781588448</v>
      </c>
      <c r="J39" s="72"/>
      <c r="K39" s="72" t="s">
        <v>53</v>
      </c>
      <c r="L39" s="17"/>
      <c r="M39" s="17" t="s">
        <v>54</v>
      </c>
    </row>
    <row r="40" customFormat="false" ht="12.75" hidden="false" customHeight="false" outlineLevel="0" collapsed="false">
      <c r="L40" s="17"/>
      <c r="M40" s="17"/>
    </row>
    <row r="41" customFormat="false" ht="12.75" hidden="false" customHeight="false" outlineLevel="0" collapsed="false">
      <c r="E41" s="52" t="n">
        <f aca="false">-A37+E37</f>
        <v>-82.75</v>
      </c>
      <c r="F41" s="0" t="n">
        <f aca="false">IF(E41&lt;0,(B37+(I37/(ABS(E41)*10000))),IF(E41=0,0,(F37-(I37/(ABS(E41)*10000)))))</f>
        <v>4.16870090634441</v>
      </c>
      <c r="G41" s="53" t="n">
        <f aca="false">IF(E41&lt;0,(F41-B42)*ABS(E41)*10000,IF(E41=0,0,-1*(F41-B42)*ABS(E41)*10000))</f>
        <v>180975</v>
      </c>
      <c r="I41" s="73" t="n">
        <f aca="false">G41</f>
        <v>180975</v>
      </c>
      <c r="J41" s="74"/>
      <c r="K41" s="74" t="s">
        <v>55</v>
      </c>
      <c r="L41" s="17"/>
      <c r="M41" s="17" t="s">
        <v>56</v>
      </c>
    </row>
    <row r="42" customFormat="false" ht="12.75" hidden="false" customHeight="false" outlineLevel="0" collapsed="false">
      <c r="B42" s="0" t="n">
        <f aca="false">IF(ISBLANK(B43),'[1]Nymex Prices'!B10,B43)</f>
        <v>3.95</v>
      </c>
      <c r="C42" s="51" t="s">
        <v>57</v>
      </c>
      <c r="L42" s="17"/>
      <c r="M42" s="17"/>
    </row>
    <row r="43" customFormat="false" ht="12.75" hidden="false" customHeight="false" outlineLevel="0" collapsed="false">
      <c r="B43" s="0" t="n">
        <f aca="false">Summary!B5</f>
        <v>3.95</v>
      </c>
      <c r="C43" s="51" t="s">
        <v>58</v>
      </c>
      <c r="I43" s="75" t="n">
        <f aca="false">I37+I39</f>
        <v>180975</v>
      </c>
      <c r="J43" s="76"/>
      <c r="K43" s="76" t="s">
        <v>59</v>
      </c>
      <c r="L43" s="17"/>
      <c r="M43" s="17"/>
    </row>
    <row r="50" customFormat="false" ht="12.75" hidden="false" customHeight="false" outlineLevel="0" collapsed="false">
      <c r="A50" s="52"/>
    </row>
    <row r="53" customFormat="false" ht="12.75" hidden="false" customHeight="false" outlineLevel="0" collapsed="false">
      <c r="A53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6"/>
  <sheetViews>
    <sheetView showFormulas="false" showGridLines="true" showRowColHeaders="true" showZeros="true" rightToLeft="false" tabSelected="false" showOutlineSymbols="true" defaultGridColor="true" view="normal" topLeftCell="A13" colorId="64" zoomScale="85" zoomScaleNormal="85" zoomScalePageLayoutView="100" workbookViewId="0">
      <selection pane="topLeft" activeCell="I11" activeCellId="0" sqref="I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0" width="9.14"/>
    <col collapsed="false" customWidth="true" hidden="false" outlineLevel="0" max="2" min="2" style="0" width="9.41"/>
    <col collapsed="false" customWidth="true" hidden="false" outlineLevel="0" max="3" min="3" style="51" width="17.14"/>
    <col collapsed="false" customWidth="true" hidden="false" outlineLevel="0" max="4" min="4" style="0" width="3.14"/>
    <col collapsed="false" customWidth="true" hidden="false" outlineLevel="0" max="5" min="5" style="52" width="10.13"/>
    <col collapsed="false" customWidth="true" hidden="false" outlineLevel="0" max="6" min="6" style="0" width="9.41"/>
    <col collapsed="false" customWidth="true" hidden="false" outlineLevel="0" max="7" min="7" style="53" width="15.28"/>
    <col collapsed="false" customWidth="true" hidden="false" outlineLevel="0" max="8" min="8" style="0" width="2.84"/>
    <col collapsed="false" customWidth="true" hidden="false" outlineLevel="0" max="9" min="9" style="54" width="14.85"/>
    <col collapsed="false" customWidth="true" hidden="false" outlineLevel="0" max="10" min="10" style="0" width="2.13"/>
    <col collapsed="false" customWidth="true" hidden="false" outlineLevel="0" max="11" min="11" style="0" width="21.7"/>
  </cols>
  <sheetData>
    <row r="1" customFormat="false" ht="12.75" hidden="false" customHeight="false" outlineLevel="0" collapsed="false">
      <c r="A1" s="55" t="s">
        <v>49</v>
      </c>
      <c r="B1" s="3"/>
      <c r="C1" s="56"/>
      <c r="D1" s="17"/>
      <c r="E1" s="55" t="s">
        <v>50</v>
      </c>
      <c r="F1" s="3"/>
      <c r="G1" s="57"/>
      <c r="I1" s="58"/>
      <c r="K1" s="59"/>
    </row>
    <row r="2" customFormat="false" ht="12.75" hidden="false" customHeight="false" outlineLevel="0" collapsed="false">
      <c r="A2" s="60"/>
      <c r="B2" s="3"/>
      <c r="C2" s="56" t="n">
        <f aca="false">A2*B2*10000</f>
        <v>0</v>
      </c>
      <c r="D2" s="17"/>
      <c r="E2" s="61"/>
      <c r="F2" s="62"/>
      <c r="G2" s="63" t="n">
        <f aca="false">E2*F2*10000</f>
        <v>0</v>
      </c>
      <c r="I2" s="64"/>
    </row>
    <row r="3" customFormat="false" ht="12.75" hidden="false" customHeight="false" outlineLevel="0" collapsed="false">
      <c r="A3" s="60"/>
      <c r="B3" s="3"/>
      <c r="C3" s="56" t="n">
        <f aca="false">A3*B3*10000</f>
        <v>0</v>
      </c>
      <c r="D3" s="17"/>
      <c r="E3" s="65"/>
      <c r="F3" s="3"/>
      <c r="G3" s="63" t="n">
        <f aca="false">E3*F3*10000</f>
        <v>0</v>
      </c>
      <c r="I3" s="66"/>
      <c r="K3" s="67"/>
    </row>
    <row r="4" customFormat="false" ht="12.75" hidden="false" customHeight="false" outlineLevel="0" collapsed="false">
      <c r="A4" s="68"/>
      <c r="B4" s="62"/>
      <c r="C4" s="56" t="n">
        <f aca="false">A4*B4*10000</f>
        <v>0</v>
      </c>
      <c r="D4" s="17"/>
      <c r="E4" s="65"/>
      <c r="F4" s="3"/>
      <c r="G4" s="63" t="n">
        <f aca="false">E4*F4*10000</f>
        <v>0</v>
      </c>
      <c r="J4" s="64"/>
      <c r="K4" s="17" t="n">
        <f aca="false">4.69+0.032</f>
        <v>4.722</v>
      </c>
    </row>
    <row r="5" customFormat="false" ht="12.75" hidden="false" customHeight="false" outlineLevel="0" collapsed="false">
      <c r="A5" s="68"/>
      <c r="B5" s="62"/>
      <c r="C5" s="56" t="n">
        <f aca="false">A5*B5*10000</f>
        <v>0</v>
      </c>
      <c r="D5" s="17"/>
      <c r="E5" s="61"/>
      <c r="F5" s="62"/>
      <c r="G5" s="63" t="n">
        <f aca="false">E5*F5*10000</f>
        <v>0</v>
      </c>
      <c r="I5" s="64"/>
      <c r="J5" s="36"/>
      <c r="K5" s="17"/>
    </row>
    <row r="6" customFormat="false" ht="12.75" hidden="false" customHeight="false" outlineLevel="0" collapsed="false">
      <c r="A6" s="69"/>
      <c r="B6" s="3"/>
      <c r="C6" s="56" t="n">
        <f aca="false">A6*B6*10000</f>
        <v>0</v>
      </c>
      <c r="D6" s="17"/>
      <c r="E6" s="65"/>
      <c r="F6" s="3"/>
      <c r="G6" s="63" t="n">
        <f aca="false">E6*F6*10000</f>
        <v>0</v>
      </c>
      <c r="I6" s="64" t="s">
        <v>60</v>
      </c>
      <c r="J6" s="36"/>
      <c r="K6" s="17"/>
    </row>
    <row r="7" customFormat="false" ht="12.75" hidden="false" customHeight="false" outlineLevel="0" collapsed="false">
      <c r="A7" s="65"/>
      <c r="B7" s="3"/>
      <c r="C7" s="56" t="n">
        <f aca="false">A7*B7*10000</f>
        <v>0</v>
      </c>
      <c r="D7" s="17"/>
      <c r="E7" s="65"/>
      <c r="F7" s="3"/>
      <c r="G7" s="63" t="n">
        <f aca="false">E7*F7*10000</f>
        <v>0</v>
      </c>
      <c r="I7" s="64"/>
      <c r="M7" s="0" t="n">
        <v>15</v>
      </c>
      <c r="N7" s="0" t="n">
        <v>3.995</v>
      </c>
      <c r="O7" s="0" t="n">
        <f aca="false">M7*N7</f>
        <v>59.925</v>
      </c>
    </row>
    <row r="8" customFormat="false" ht="12.75" hidden="false" customHeight="false" outlineLevel="0" collapsed="false">
      <c r="A8" s="65"/>
      <c r="B8" s="3"/>
      <c r="C8" s="56" t="n">
        <f aca="false">A8*B8*10000</f>
        <v>0</v>
      </c>
      <c r="D8" s="17"/>
      <c r="E8" s="65"/>
      <c r="F8" s="3"/>
      <c r="G8" s="63" t="n">
        <f aca="false">E8*F8*10000</f>
        <v>0</v>
      </c>
      <c r="I8" s="64"/>
      <c r="K8" s="17"/>
      <c r="M8" s="0" t="n">
        <v>30</v>
      </c>
      <c r="N8" s="0" t="n">
        <v>4.02</v>
      </c>
      <c r="O8" s="0" t="n">
        <f aca="false">M8*N8</f>
        <v>120.6</v>
      </c>
    </row>
    <row r="9" customFormat="false" ht="12.75" hidden="false" customHeight="false" outlineLevel="0" collapsed="false">
      <c r="A9" s="65"/>
      <c r="B9" s="3"/>
      <c r="C9" s="56" t="n">
        <f aca="false">A9*B9*10000</f>
        <v>0</v>
      </c>
      <c r="D9" s="17"/>
      <c r="E9" s="65"/>
      <c r="F9" s="3"/>
      <c r="G9" s="63" t="n">
        <f aca="false">E9*F9*10000</f>
        <v>0</v>
      </c>
      <c r="I9" s="64"/>
      <c r="K9" s="0" t="n">
        <f aca="false">1250*30</f>
        <v>37500</v>
      </c>
      <c r="M9" s="0" t="n">
        <f aca="false">SUM(M7:M8)</f>
        <v>45</v>
      </c>
      <c r="O9" s="0" t="n">
        <f aca="false">SUM(O7:O8)</f>
        <v>180.525</v>
      </c>
    </row>
    <row r="10" customFormat="false" ht="12.75" hidden="false" customHeight="false" outlineLevel="0" collapsed="false">
      <c r="A10" s="65"/>
      <c r="B10" s="3"/>
      <c r="C10" s="56" t="n">
        <f aca="false">A10*B10*10000</f>
        <v>0</v>
      </c>
      <c r="D10" s="17"/>
      <c r="E10" s="65"/>
      <c r="F10" s="3"/>
      <c r="G10" s="63" t="n">
        <f aca="false">E10*F10*10000</f>
        <v>0</v>
      </c>
      <c r="I10" s="64"/>
      <c r="O10" s="0" t="n">
        <f aca="false">O9/M9</f>
        <v>4.01166666666667</v>
      </c>
    </row>
    <row r="11" customFormat="false" ht="12.75" hidden="false" customHeight="false" outlineLevel="0" collapsed="false">
      <c r="A11" s="65"/>
      <c r="B11" s="3"/>
      <c r="C11" s="56" t="n">
        <f aca="false">A11*B11*10000</f>
        <v>0</v>
      </c>
      <c r="D11" s="17"/>
      <c r="E11" s="65"/>
      <c r="F11" s="3"/>
      <c r="G11" s="63" t="n">
        <f aca="false">E11*F11*10000</f>
        <v>0</v>
      </c>
      <c r="I11" s="64"/>
    </row>
    <row r="12" customFormat="false" ht="12.75" hidden="false" customHeight="false" outlineLevel="0" collapsed="false">
      <c r="A12" s="65"/>
      <c r="B12" s="3"/>
      <c r="C12" s="56" t="n">
        <f aca="false">A12*B12*10000</f>
        <v>0</v>
      </c>
      <c r="D12" s="17"/>
      <c r="E12" s="65"/>
      <c r="F12" s="3"/>
      <c r="G12" s="63" t="n">
        <f aca="false">E12*F12*10000</f>
        <v>0</v>
      </c>
      <c r="I12" s="64"/>
    </row>
    <row r="13" customFormat="false" ht="12.75" hidden="false" customHeight="false" outlineLevel="0" collapsed="false">
      <c r="A13" s="65"/>
      <c r="B13" s="3"/>
      <c r="C13" s="56" t="n">
        <f aca="false">A13*B13*10000</f>
        <v>0</v>
      </c>
      <c r="D13" s="17"/>
      <c r="E13" s="65"/>
      <c r="F13" s="3"/>
      <c r="G13" s="63" t="n">
        <f aca="false">E13*F13*10000</f>
        <v>0</v>
      </c>
      <c r="I13" s="64"/>
    </row>
    <row r="14" customFormat="false" ht="12.75" hidden="false" customHeight="false" outlineLevel="0" collapsed="false">
      <c r="A14" s="65"/>
      <c r="B14" s="3"/>
      <c r="C14" s="56" t="n">
        <f aca="false">A14*B14*10000</f>
        <v>0</v>
      </c>
      <c r="D14" s="17"/>
      <c r="E14" s="61"/>
      <c r="F14" s="62"/>
      <c r="G14" s="63" t="n">
        <f aca="false">E14*F14*10000</f>
        <v>0</v>
      </c>
      <c r="I14" s="64"/>
    </row>
    <row r="15" customFormat="false" ht="12.75" hidden="false" customHeight="false" outlineLevel="0" collapsed="false">
      <c r="A15" s="65"/>
      <c r="B15" s="3"/>
      <c r="C15" s="56" t="n">
        <f aca="false">A15*B15*10000</f>
        <v>0</v>
      </c>
      <c r="D15" s="17"/>
      <c r="E15" s="61"/>
      <c r="F15" s="62"/>
      <c r="G15" s="63" t="n">
        <f aca="false">E15*F15*10000</f>
        <v>0</v>
      </c>
      <c r="I15" s="64"/>
    </row>
    <row r="16" customFormat="false" ht="12.75" hidden="false" customHeight="false" outlineLevel="0" collapsed="false">
      <c r="A16" s="65"/>
      <c r="B16" s="3"/>
      <c r="C16" s="56" t="n">
        <f aca="false">A16*B16*10000</f>
        <v>0</v>
      </c>
      <c r="D16" s="17"/>
      <c r="E16" s="61"/>
      <c r="F16" s="62"/>
      <c r="G16" s="63" t="n">
        <f aca="false">E16*F16*10000</f>
        <v>0</v>
      </c>
      <c r="I16" s="64"/>
      <c r="L16" s="0" t="n">
        <f aca="false">7500*31</f>
        <v>232500</v>
      </c>
    </row>
    <row r="17" customFormat="false" ht="12.75" hidden="false" customHeight="false" outlineLevel="0" collapsed="false">
      <c r="A17" s="65"/>
      <c r="B17" s="3"/>
      <c r="C17" s="56" t="n">
        <f aca="false">A17*B17*10000</f>
        <v>0</v>
      </c>
      <c r="D17" s="17"/>
      <c r="E17" s="61"/>
      <c r="F17" s="62"/>
      <c r="G17" s="63" t="n">
        <f aca="false">E17*F17*10000</f>
        <v>0</v>
      </c>
      <c r="I17" s="64"/>
    </row>
    <row r="18" customFormat="false" ht="12.75" hidden="false" customHeight="false" outlineLevel="0" collapsed="false">
      <c r="A18" s="65"/>
      <c r="B18" s="3"/>
      <c r="C18" s="56" t="n">
        <f aca="false">A18*B18*10000</f>
        <v>0</v>
      </c>
      <c r="D18" s="17"/>
      <c r="E18" s="61"/>
      <c r="F18" s="62"/>
      <c r="G18" s="63" t="n">
        <f aca="false">E18*F18*10000</f>
        <v>0</v>
      </c>
      <c r="I18" s="64"/>
    </row>
    <row r="19" customFormat="false" ht="12.75" hidden="false" customHeight="false" outlineLevel="0" collapsed="false">
      <c r="A19" s="65"/>
      <c r="B19" s="3"/>
      <c r="C19" s="56" t="n">
        <f aca="false">A19*B19*10000</f>
        <v>0</v>
      </c>
      <c r="D19" s="17"/>
      <c r="E19" s="61"/>
      <c r="F19" s="62"/>
      <c r="G19" s="63" t="n">
        <f aca="false">E19*F19*10000</f>
        <v>0</v>
      </c>
      <c r="I19" s="64"/>
    </row>
    <row r="20" customFormat="false" ht="12.75" hidden="false" customHeight="false" outlineLevel="0" collapsed="false">
      <c r="A20" s="65"/>
      <c r="B20" s="3"/>
      <c r="C20" s="56" t="n">
        <f aca="false">A20*B20*10000</f>
        <v>0</v>
      </c>
      <c r="D20" s="17"/>
      <c r="E20" s="61"/>
      <c r="F20" s="62"/>
      <c r="G20" s="63" t="n">
        <f aca="false">E20*F20*10000</f>
        <v>0</v>
      </c>
      <c r="I20" s="64"/>
    </row>
    <row r="21" customFormat="false" ht="12.75" hidden="false" customHeight="false" outlineLevel="0" collapsed="false">
      <c r="A21" s="65"/>
      <c r="B21" s="3"/>
      <c r="C21" s="56" t="n">
        <f aca="false">A21*B21*10000</f>
        <v>0</v>
      </c>
      <c r="D21" s="17"/>
      <c r="E21" s="61"/>
      <c r="F21" s="62"/>
      <c r="G21" s="63" t="n">
        <f aca="false">E21*F21*10000</f>
        <v>0</v>
      </c>
      <c r="I21" s="64"/>
    </row>
    <row r="22" customFormat="false" ht="12.75" hidden="false" customHeight="false" outlineLevel="0" collapsed="false">
      <c r="A22" s="65"/>
      <c r="B22" s="3"/>
      <c r="C22" s="56" t="n">
        <f aca="false">A22*B22*10000</f>
        <v>0</v>
      </c>
      <c r="D22" s="17"/>
      <c r="E22" s="61"/>
      <c r="F22" s="62"/>
      <c r="G22" s="63" t="n">
        <f aca="false">E22*F22*10000</f>
        <v>0</v>
      </c>
      <c r="I22" s="64"/>
    </row>
    <row r="23" customFormat="false" ht="12.75" hidden="false" customHeight="false" outlineLevel="0" collapsed="false">
      <c r="A23" s="65"/>
      <c r="B23" s="3"/>
      <c r="C23" s="56" t="n">
        <f aca="false">A23*B23*10000</f>
        <v>0</v>
      </c>
      <c r="D23" s="17"/>
      <c r="E23" s="61"/>
      <c r="F23" s="62"/>
      <c r="G23" s="63" t="n">
        <f aca="false">E23*F23*10000</f>
        <v>0</v>
      </c>
      <c r="I23" s="64"/>
    </row>
    <row r="24" customFormat="false" ht="12" hidden="false" customHeight="true" outlineLevel="0" collapsed="false">
      <c r="A24" s="65"/>
      <c r="B24" s="3"/>
      <c r="C24" s="56" t="n">
        <f aca="false">A24*B24*10000</f>
        <v>0</v>
      </c>
      <c r="D24" s="17"/>
      <c r="E24" s="61"/>
      <c r="F24" s="62"/>
      <c r="G24" s="63" t="n">
        <f aca="false">E24*F24*10000</f>
        <v>0</v>
      </c>
      <c r="I24" s="64"/>
    </row>
    <row r="25" customFormat="false" ht="12" hidden="false" customHeight="true" outlineLevel="0" collapsed="false">
      <c r="A25" s="65"/>
      <c r="B25" s="3"/>
      <c r="C25" s="56" t="n">
        <f aca="false">A25*B25*10000</f>
        <v>0</v>
      </c>
      <c r="D25" s="17"/>
      <c r="E25" s="61"/>
      <c r="F25" s="62"/>
      <c r="G25" s="63" t="n">
        <f aca="false">E25*F25*10000</f>
        <v>0</v>
      </c>
      <c r="I25" s="64"/>
    </row>
    <row r="26" customFormat="false" ht="12" hidden="false" customHeight="true" outlineLevel="0" collapsed="false">
      <c r="A26" s="65"/>
      <c r="B26" s="3"/>
      <c r="C26" s="56" t="n">
        <f aca="false">A26*B26*10000</f>
        <v>0</v>
      </c>
      <c r="D26" s="17"/>
      <c r="E26" s="61"/>
      <c r="F26" s="62"/>
      <c r="G26" s="63" t="n">
        <f aca="false">E26*F26*10000</f>
        <v>0</v>
      </c>
      <c r="I26" s="64" t="s">
        <v>51</v>
      </c>
      <c r="K26" s="0" t="n">
        <f aca="false">7500*30</f>
        <v>225000</v>
      </c>
    </row>
    <row r="27" customFormat="false" ht="12" hidden="false" customHeight="true" outlineLevel="0" collapsed="false">
      <c r="A27" s="65"/>
      <c r="B27" s="3"/>
      <c r="C27" s="56" t="n">
        <f aca="false">A27*B27*10000</f>
        <v>0</v>
      </c>
      <c r="D27" s="17"/>
      <c r="E27" s="61"/>
      <c r="F27" s="62"/>
      <c r="G27" s="63" t="n">
        <f aca="false">E27*F27*10000</f>
        <v>0</v>
      </c>
      <c r="I27" s="64"/>
    </row>
    <row r="28" customFormat="false" ht="12" hidden="false" customHeight="true" outlineLevel="0" collapsed="false">
      <c r="A28" s="65"/>
      <c r="B28" s="3"/>
      <c r="C28" s="56" t="n">
        <f aca="false">A28*B28*10000</f>
        <v>0</v>
      </c>
      <c r="D28" s="17"/>
      <c r="E28" s="61"/>
      <c r="F28" s="62"/>
      <c r="G28" s="63" t="n">
        <f aca="false">E28*F28*10000</f>
        <v>0</v>
      </c>
      <c r="I28" s="64"/>
    </row>
    <row r="29" customFormat="false" ht="12" hidden="false" customHeight="true" outlineLevel="0" collapsed="false">
      <c r="A29" s="65"/>
      <c r="B29" s="3"/>
      <c r="C29" s="56" t="n">
        <f aca="false">A29*B29*10000</f>
        <v>0</v>
      </c>
      <c r="D29" s="17"/>
      <c r="E29" s="61"/>
      <c r="F29" s="62"/>
      <c r="G29" s="63" t="n">
        <f aca="false">E29*F29*10000</f>
        <v>0</v>
      </c>
      <c r="I29" s="64"/>
    </row>
    <row r="30" customFormat="false" ht="6" hidden="false" customHeight="true" outlineLevel="0" collapsed="false">
      <c r="A30" s="65"/>
      <c r="B30" s="3"/>
      <c r="C30" s="56" t="n">
        <f aca="false">A30*B30*10000</f>
        <v>0</v>
      </c>
      <c r="D30" s="17"/>
      <c r="E30" s="61"/>
      <c r="F30" s="62"/>
      <c r="G30" s="63" t="n">
        <f aca="false">E30*F30*10000</f>
        <v>0</v>
      </c>
      <c r="I30" s="64"/>
    </row>
    <row r="31" customFormat="false" ht="6" hidden="false" customHeight="true" outlineLevel="0" collapsed="false">
      <c r="A31" s="65"/>
      <c r="B31" s="3"/>
      <c r="C31" s="56" t="n">
        <f aca="false">A31*B31*10000</f>
        <v>0</v>
      </c>
      <c r="D31" s="17"/>
      <c r="E31" s="61"/>
      <c r="F31" s="62"/>
      <c r="G31" s="63" t="n">
        <f aca="false">E31*F31*10000</f>
        <v>0</v>
      </c>
      <c r="I31" s="64"/>
    </row>
    <row r="32" customFormat="false" ht="6" hidden="false" customHeight="true" outlineLevel="0" collapsed="false">
      <c r="A32" s="65"/>
      <c r="B32" s="3"/>
      <c r="C32" s="56" t="n">
        <f aca="false">A32*B32*10000</f>
        <v>0</v>
      </c>
      <c r="D32" s="17"/>
      <c r="E32" s="61"/>
      <c r="F32" s="62"/>
      <c r="G32" s="63" t="n">
        <f aca="false">E32*F32*10000</f>
        <v>0</v>
      </c>
      <c r="I32" s="64"/>
    </row>
    <row r="33" customFormat="false" ht="10.5" hidden="false" customHeight="true" outlineLevel="0" collapsed="false">
      <c r="A33" s="65"/>
      <c r="B33" s="3"/>
      <c r="C33" s="56" t="n">
        <f aca="false">A33*B33*10000</f>
        <v>0</v>
      </c>
      <c r="D33" s="17"/>
      <c r="E33" s="61"/>
      <c r="F33" s="62"/>
      <c r="G33" s="63" t="n">
        <f aca="false">E33*F33*10000</f>
        <v>0</v>
      </c>
      <c r="I33" s="64"/>
    </row>
    <row r="34" customFormat="false" ht="10.5" hidden="false" customHeight="true" outlineLevel="0" collapsed="false">
      <c r="A34" s="65"/>
      <c r="B34" s="3"/>
      <c r="C34" s="56" t="n">
        <f aca="false">A34*B34*10000</f>
        <v>0</v>
      </c>
      <c r="D34" s="17"/>
      <c r="E34" s="61"/>
      <c r="F34" s="62"/>
      <c r="G34" s="63" t="n">
        <f aca="false">E34*F34*10000</f>
        <v>0</v>
      </c>
      <c r="I34" s="64"/>
    </row>
    <row r="35" customFormat="false" ht="10.5" hidden="false" customHeight="true" outlineLevel="0" collapsed="false">
      <c r="A35" s="65"/>
      <c r="B35" s="3"/>
      <c r="C35" s="56" t="n">
        <f aca="false">A35*B35*10000</f>
        <v>0</v>
      </c>
      <c r="D35" s="17"/>
      <c r="E35" s="61"/>
      <c r="F35" s="62"/>
      <c r="G35" s="63" t="n">
        <f aca="false">E35*F35*10000</f>
        <v>0</v>
      </c>
      <c r="I35" s="64"/>
    </row>
    <row r="36" customFormat="false" ht="10.5" hidden="false" customHeight="true" outlineLevel="0" collapsed="false">
      <c r="A36" s="65"/>
      <c r="B36" s="3"/>
      <c r="C36" s="56" t="n">
        <f aca="false">A36*B36*10000</f>
        <v>0</v>
      </c>
      <c r="D36" s="17"/>
      <c r="E36" s="61"/>
      <c r="F36" s="62"/>
      <c r="G36" s="63" t="n">
        <f aca="false">E36*F36*10000</f>
        <v>0</v>
      </c>
      <c r="I36" s="64"/>
    </row>
    <row r="37" customFormat="false" ht="10.5" hidden="false" customHeight="true" outlineLevel="0" collapsed="false">
      <c r="A37" s="65"/>
      <c r="B37" s="3"/>
      <c r="C37" s="56" t="n">
        <f aca="false">A37*B37*10000</f>
        <v>0</v>
      </c>
      <c r="D37" s="17"/>
      <c r="E37" s="61"/>
      <c r="F37" s="62"/>
      <c r="G37" s="63" t="n">
        <f aca="false">E37*F37*10000</f>
        <v>0</v>
      </c>
      <c r="I37" s="64"/>
    </row>
    <row r="38" customFormat="false" ht="12" hidden="false" customHeight="true" outlineLevel="0" collapsed="false">
      <c r="A38" s="65"/>
      <c r="B38" s="3"/>
      <c r="C38" s="56" t="n">
        <f aca="false">A38*B38*10000</f>
        <v>0</v>
      </c>
      <c r="D38" s="17"/>
      <c r="E38" s="61"/>
      <c r="F38" s="62"/>
      <c r="G38" s="63" t="n">
        <f aca="false">E38*F38*10000</f>
        <v>0</v>
      </c>
      <c r="I38" s="64"/>
    </row>
    <row r="39" customFormat="false" ht="12.75" hidden="false" customHeight="false" outlineLevel="0" collapsed="false">
      <c r="E39" s="50"/>
      <c r="G39" s="70"/>
    </row>
    <row r="40" customFormat="false" ht="12.75" hidden="false" customHeight="false" outlineLevel="0" collapsed="false">
      <c r="A40" s="65" t="n">
        <f aca="false">SUM(A1:A39)</f>
        <v>0</v>
      </c>
      <c r="B40" s="3" t="n">
        <f aca="false">IF(A40=0,0,C40/A40/10000)</f>
        <v>0</v>
      </c>
      <c r="C40" s="56" t="n">
        <f aca="false">SUM(C1:C39)</f>
        <v>0</v>
      </c>
      <c r="E40" s="65" t="n">
        <f aca="false">SUM(E1:E39)</f>
        <v>0</v>
      </c>
      <c r="F40" s="3" t="n">
        <f aca="false">IF(E40=0,0,G40/E40/10000)</f>
        <v>0</v>
      </c>
      <c r="G40" s="63" t="n">
        <f aca="false">SUM(G1:G39)</f>
        <v>0</v>
      </c>
      <c r="I40" s="71" t="n">
        <f aca="false">MIN(A40,E40)*(B40-F40)*10000</f>
        <v>0</v>
      </c>
      <c r="J40" s="72"/>
      <c r="K40" s="72" t="s">
        <v>52</v>
      </c>
      <c r="L40" s="17"/>
      <c r="M40" s="17"/>
    </row>
    <row r="41" customFormat="false" ht="12.75" hidden="false" customHeight="false" outlineLevel="0" collapsed="false">
      <c r="I41" s="71"/>
      <c r="J41" s="72"/>
      <c r="K41" s="72"/>
      <c r="L41" s="17"/>
      <c r="M41" s="17"/>
    </row>
    <row r="42" customFormat="false" ht="12.75" hidden="false" customHeight="false" outlineLevel="0" collapsed="false">
      <c r="E42" s="52" t="n">
        <f aca="false">-A40+E40</f>
        <v>0</v>
      </c>
      <c r="F42" s="0" t="n">
        <f aca="false">IF(E42&lt;0,B40,F40)</f>
        <v>0</v>
      </c>
      <c r="G42" s="53" t="n">
        <f aca="false">IF(E42&lt;0,(F42-B45)*ABS(E42)*10000,-1*(F42-B45)*ABS(E42)*10000)</f>
        <v>0</v>
      </c>
      <c r="I42" s="71" t="n">
        <f aca="false">G42</f>
        <v>0</v>
      </c>
      <c r="J42" s="72"/>
      <c r="K42" s="72" t="s">
        <v>53</v>
      </c>
      <c r="L42" s="17"/>
      <c r="M42" s="17" t="s">
        <v>54</v>
      </c>
    </row>
    <row r="43" customFormat="false" ht="12.75" hidden="false" customHeight="false" outlineLevel="0" collapsed="false">
      <c r="L43" s="17"/>
      <c r="M43" s="17"/>
    </row>
    <row r="44" customFormat="false" ht="12.75" hidden="false" customHeight="false" outlineLevel="0" collapsed="false">
      <c r="E44" s="52" t="n">
        <f aca="false">-A40+E40</f>
        <v>0</v>
      </c>
      <c r="F44" s="0" t="n">
        <f aca="false">IF(E44&lt;0,(B40+(I40/(ABS(E44)*10000))),IF(E44=0,0,(F40-(I40/(ABS(E44)*10000)))))</f>
        <v>0</v>
      </c>
      <c r="G44" s="53" t="n">
        <f aca="false">IF(E44&lt;0,(F44-B45)*ABS(E44)*10000,IF(E44=0,0,-1*(F44-B45)*ABS(E44)*10000))</f>
        <v>0</v>
      </c>
      <c r="I44" s="73" t="n">
        <f aca="false">G44</f>
        <v>0</v>
      </c>
      <c r="J44" s="74"/>
      <c r="K44" s="74" t="s">
        <v>55</v>
      </c>
      <c r="L44" s="17"/>
      <c r="M44" s="17" t="s">
        <v>56</v>
      </c>
    </row>
    <row r="45" customFormat="false" ht="12.75" hidden="false" customHeight="false" outlineLevel="0" collapsed="false">
      <c r="B45" s="0" t="n">
        <f aca="false">IF(ISBLANK(B46),'[1]Nymex Prices'!B10,B46)</f>
        <v>3.95</v>
      </c>
      <c r="C45" s="51" t="s">
        <v>57</v>
      </c>
      <c r="L45" s="17"/>
      <c r="M45" s="17"/>
    </row>
    <row r="46" customFormat="false" ht="12.75" hidden="false" customHeight="false" outlineLevel="0" collapsed="false">
      <c r="B46" s="0" t="n">
        <f aca="false">Summary!B5</f>
        <v>3.95</v>
      </c>
      <c r="C46" s="51" t="s">
        <v>58</v>
      </c>
      <c r="I46" s="75" t="n">
        <f aca="false">I40+I42</f>
        <v>0</v>
      </c>
      <c r="J46" s="76"/>
      <c r="K46" s="76" t="s">
        <v>59</v>
      </c>
      <c r="L46" s="17"/>
      <c r="M46" s="17"/>
    </row>
    <row r="53" customFormat="false" ht="12.75" hidden="false" customHeight="false" outlineLevel="0" collapsed="false">
      <c r="A53" s="52"/>
    </row>
    <row r="56" customFormat="false" ht="12.75" hidden="false" customHeight="false" outlineLevel="0" collapsed="false">
      <c r="A56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2" activeCellId="0" sqref="A2: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0" width="9.14"/>
    <col collapsed="false" customWidth="true" hidden="false" outlineLevel="0" max="2" min="2" style="0" width="9.41"/>
    <col collapsed="false" customWidth="true" hidden="false" outlineLevel="0" max="3" min="3" style="51" width="17.14"/>
    <col collapsed="false" customWidth="true" hidden="false" outlineLevel="0" max="4" min="4" style="0" width="3.14"/>
    <col collapsed="false" customWidth="true" hidden="false" outlineLevel="0" max="5" min="5" style="52" width="10.13"/>
    <col collapsed="false" customWidth="true" hidden="false" outlineLevel="0" max="6" min="6" style="0" width="9.41"/>
    <col collapsed="false" customWidth="true" hidden="false" outlineLevel="0" max="7" min="7" style="53" width="15.28"/>
    <col collapsed="false" customWidth="true" hidden="false" outlineLevel="0" max="8" min="8" style="0" width="2.84"/>
    <col collapsed="false" customWidth="true" hidden="false" outlineLevel="0" max="9" min="9" style="54" width="14.85"/>
    <col collapsed="false" customWidth="true" hidden="false" outlineLevel="0" max="10" min="10" style="0" width="2.13"/>
    <col collapsed="false" customWidth="true" hidden="false" outlineLevel="0" max="11" min="11" style="0" width="21.7"/>
  </cols>
  <sheetData>
    <row r="1" customFormat="false" ht="12.75" hidden="false" customHeight="false" outlineLevel="0" collapsed="false">
      <c r="A1" s="55" t="s">
        <v>49</v>
      </c>
      <c r="B1" s="3"/>
      <c r="C1" s="56"/>
      <c r="D1" s="17"/>
      <c r="E1" s="55" t="s">
        <v>50</v>
      </c>
      <c r="F1" s="3"/>
      <c r="G1" s="57"/>
      <c r="I1" s="58"/>
      <c r="K1" s="59"/>
    </row>
    <row r="2" customFormat="false" ht="12.75" hidden="false" customHeight="false" outlineLevel="0" collapsed="false">
      <c r="A2" s="60"/>
      <c r="B2" s="3"/>
      <c r="C2" s="56" t="n">
        <f aca="false">A2*B2*10000</f>
        <v>0</v>
      </c>
      <c r="D2" s="17"/>
      <c r="E2" s="61"/>
      <c r="F2" s="62"/>
      <c r="G2" s="63" t="n">
        <f aca="false">E2*F2*10000</f>
        <v>0</v>
      </c>
      <c r="I2" s="64" t="s">
        <v>23</v>
      </c>
    </row>
    <row r="3" customFormat="false" ht="12.75" hidden="false" customHeight="false" outlineLevel="0" collapsed="false">
      <c r="A3" s="60"/>
      <c r="B3" s="3"/>
      <c r="C3" s="56" t="n">
        <f aca="false">A3*B3*10000</f>
        <v>0</v>
      </c>
      <c r="D3" s="17"/>
      <c r="E3" s="65"/>
      <c r="F3" s="3"/>
      <c r="G3" s="63" t="n">
        <f aca="false">E3*F3*10000</f>
        <v>0</v>
      </c>
      <c r="I3" s="66" t="s">
        <v>27</v>
      </c>
      <c r="K3" s="67"/>
    </row>
    <row r="4" customFormat="false" ht="12.75" hidden="false" customHeight="false" outlineLevel="0" collapsed="false">
      <c r="A4" s="68"/>
      <c r="B4" s="62"/>
      <c r="C4" s="56" t="n">
        <f aca="false">A4*B4*10000</f>
        <v>0</v>
      </c>
      <c r="D4" s="17"/>
      <c r="E4" s="65"/>
      <c r="F4" s="3"/>
      <c r="G4" s="63" t="n">
        <f aca="false">E4*F4*10000</f>
        <v>0</v>
      </c>
      <c r="J4" s="64"/>
      <c r="K4" s="17" t="n">
        <f aca="false">7500*31</f>
        <v>232500</v>
      </c>
    </row>
    <row r="5" customFormat="false" ht="12.75" hidden="false" customHeight="false" outlineLevel="0" collapsed="false">
      <c r="A5" s="68"/>
      <c r="B5" s="62"/>
      <c r="C5" s="56" t="n">
        <f aca="false">A5*B5*10000</f>
        <v>0</v>
      </c>
      <c r="D5" s="17"/>
      <c r="E5" s="61"/>
      <c r="F5" s="62"/>
      <c r="G5" s="63" t="n">
        <f aca="false">E5*F5*10000</f>
        <v>0</v>
      </c>
      <c r="I5" s="64"/>
      <c r="J5" s="36"/>
      <c r="K5" s="17" t="n">
        <f aca="false">15000*31</f>
        <v>465000</v>
      </c>
    </row>
    <row r="6" customFormat="false" ht="12.75" hidden="false" customHeight="false" outlineLevel="0" collapsed="false">
      <c r="A6" s="69"/>
      <c r="B6" s="3"/>
      <c r="C6" s="56" t="n">
        <f aca="false">A6*B6*10000</f>
        <v>0</v>
      </c>
      <c r="D6" s="17"/>
      <c r="E6" s="65"/>
      <c r="F6" s="3"/>
      <c r="G6" s="63" t="n">
        <f aca="false">E6*F6*10000</f>
        <v>0</v>
      </c>
      <c r="I6" s="64"/>
      <c r="J6" s="36"/>
      <c r="K6" s="17"/>
    </row>
    <row r="7" customFormat="false" ht="12.75" hidden="false" customHeight="false" outlineLevel="0" collapsed="false">
      <c r="A7" s="65"/>
      <c r="B7" s="3"/>
      <c r="C7" s="56" t="n">
        <f aca="false">A7*B7*10000</f>
        <v>0</v>
      </c>
      <c r="D7" s="17"/>
      <c r="E7" s="65"/>
      <c r="F7" s="3"/>
      <c r="G7" s="63" t="n">
        <f aca="false">E7*F7*10000</f>
        <v>0</v>
      </c>
      <c r="I7" s="64"/>
    </row>
    <row r="8" customFormat="false" ht="12.75" hidden="false" customHeight="false" outlineLevel="0" collapsed="false">
      <c r="A8" s="65"/>
      <c r="B8" s="3"/>
      <c r="C8" s="56" t="n">
        <f aca="false">A8*B8*10000</f>
        <v>0</v>
      </c>
      <c r="D8" s="17"/>
      <c r="E8" s="65"/>
      <c r="F8" s="3"/>
      <c r="G8" s="63" t="n">
        <f aca="false">E8*F8*10000</f>
        <v>0</v>
      </c>
      <c r="I8" s="64"/>
      <c r="K8" s="17"/>
    </row>
    <row r="9" customFormat="false" ht="12.75" hidden="false" customHeight="false" outlineLevel="0" collapsed="false">
      <c r="A9" s="65"/>
      <c r="B9" s="3"/>
      <c r="C9" s="56" t="n">
        <f aca="false">A9*B9*10000</f>
        <v>0</v>
      </c>
      <c r="D9" s="17"/>
      <c r="E9" s="65"/>
      <c r="F9" s="3"/>
      <c r="G9" s="63" t="n">
        <f aca="false">E9*F9*10000</f>
        <v>0</v>
      </c>
      <c r="I9" s="64"/>
    </row>
    <row r="10" customFormat="false" ht="12.75" hidden="false" customHeight="false" outlineLevel="0" collapsed="false">
      <c r="A10" s="65"/>
      <c r="B10" s="3"/>
      <c r="C10" s="56" t="n">
        <f aca="false">A10*B10*10000</f>
        <v>0</v>
      </c>
      <c r="D10" s="17"/>
      <c r="E10" s="65"/>
      <c r="F10" s="3"/>
      <c r="G10" s="63" t="n">
        <f aca="false">E10*F10*10000</f>
        <v>0</v>
      </c>
      <c r="I10" s="64"/>
    </row>
    <row r="11" customFormat="false" ht="12.75" hidden="false" customHeight="false" outlineLevel="0" collapsed="false">
      <c r="A11" s="65"/>
      <c r="B11" s="3"/>
      <c r="C11" s="56" t="n">
        <f aca="false">A11*B11*10000</f>
        <v>0</v>
      </c>
      <c r="D11" s="17"/>
      <c r="E11" s="65"/>
      <c r="F11" s="3"/>
      <c r="G11" s="63" t="n">
        <f aca="false">E11*F11*10000</f>
        <v>0</v>
      </c>
      <c r="I11" s="64"/>
    </row>
    <row r="12" customFormat="false" ht="12.75" hidden="false" customHeight="false" outlineLevel="0" collapsed="false">
      <c r="A12" s="65"/>
      <c r="B12" s="3"/>
      <c r="C12" s="56" t="n">
        <f aca="false">A12*B12*10000</f>
        <v>0</v>
      </c>
      <c r="D12" s="17"/>
      <c r="E12" s="65"/>
      <c r="F12" s="3"/>
      <c r="G12" s="63" t="n">
        <f aca="false">E12*F12*10000</f>
        <v>0</v>
      </c>
      <c r="I12" s="64"/>
    </row>
    <row r="13" customFormat="false" ht="12.75" hidden="false" customHeight="false" outlineLevel="0" collapsed="false">
      <c r="A13" s="65"/>
      <c r="B13" s="3"/>
      <c r="C13" s="56" t="n">
        <f aca="false">A13*B13*10000</f>
        <v>0</v>
      </c>
      <c r="D13" s="17"/>
      <c r="E13" s="65"/>
      <c r="F13" s="3"/>
      <c r="G13" s="63" t="n">
        <f aca="false">E13*F13*10000</f>
        <v>0</v>
      </c>
      <c r="I13" s="64"/>
    </row>
    <row r="14" customFormat="false" ht="12.75" hidden="false" customHeight="false" outlineLevel="0" collapsed="false">
      <c r="A14" s="65"/>
      <c r="B14" s="3"/>
      <c r="C14" s="56" t="n">
        <f aca="false">A14*B14*10000</f>
        <v>0</v>
      </c>
      <c r="D14" s="17"/>
      <c r="E14" s="61"/>
      <c r="F14" s="62"/>
      <c r="G14" s="63" t="n">
        <f aca="false">E14*F14*10000</f>
        <v>0</v>
      </c>
      <c r="I14" s="64"/>
    </row>
    <row r="15" customFormat="false" ht="12.75" hidden="false" customHeight="false" outlineLevel="0" collapsed="false">
      <c r="A15" s="65"/>
      <c r="B15" s="3"/>
      <c r="C15" s="56" t="n">
        <f aca="false">A15*B15*10000</f>
        <v>0</v>
      </c>
      <c r="D15" s="17"/>
      <c r="E15" s="61"/>
      <c r="F15" s="62"/>
      <c r="G15" s="63" t="n">
        <f aca="false">E15*F15*10000</f>
        <v>0</v>
      </c>
      <c r="I15" s="64"/>
    </row>
    <row r="16" customFormat="false" ht="12.75" hidden="false" customHeight="false" outlineLevel="0" collapsed="false">
      <c r="A16" s="65"/>
      <c r="B16" s="3"/>
      <c r="C16" s="56" t="n">
        <f aca="false">A16*B16*10000</f>
        <v>0</v>
      </c>
      <c r="D16" s="17"/>
      <c r="E16" s="61"/>
      <c r="F16" s="62"/>
      <c r="G16" s="63" t="n">
        <f aca="false">E16*F16*10000</f>
        <v>0</v>
      </c>
      <c r="I16" s="64"/>
    </row>
    <row r="17" customFormat="false" ht="12.75" hidden="false" customHeight="false" outlineLevel="0" collapsed="false">
      <c r="A17" s="65"/>
      <c r="B17" s="3"/>
      <c r="C17" s="56" t="n">
        <f aca="false">A17*B17*10000</f>
        <v>0</v>
      </c>
      <c r="D17" s="17"/>
      <c r="E17" s="61"/>
      <c r="F17" s="62"/>
      <c r="G17" s="63" t="n">
        <f aca="false">E17*F17*10000</f>
        <v>0</v>
      </c>
      <c r="I17" s="64"/>
    </row>
    <row r="18" customFormat="false" ht="12.75" hidden="false" customHeight="false" outlineLevel="0" collapsed="false">
      <c r="A18" s="65"/>
      <c r="B18" s="3"/>
      <c r="C18" s="56" t="n">
        <f aca="false">A18*B18*10000</f>
        <v>0</v>
      </c>
      <c r="D18" s="17"/>
      <c r="E18" s="61"/>
      <c r="F18" s="62"/>
      <c r="G18" s="63" t="n">
        <f aca="false">E18*F18*10000</f>
        <v>0</v>
      </c>
      <c r="I18" s="64"/>
    </row>
    <row r="19" customFormat="false" ht="12.75" hidden="false" customHeight="false" outlineLevel="0" collapsed="false">
      <c r="A19" s="65"/>
      <c r="B19" s="3"/>
      <c r="C19" s="56" t="n">
        <f aca="false">A19*B19*10000</f>
        <v>0</v>
      </c>
      <c r="D19" s="17"/>
      <c r="E19" s="61"/>
      <c r="F19" s="62"/>
      <c r="G19" s="63" t="n">
        <f aca="false">E19*F19*10000</f>
        <v>0</v>
      </c>
      <c r="I19" s="64"/>
    </row>
    <row r="20" customFormat="false" ht="12.75" hidden="false" customHeight="false" outlineLevel="0" collapsed="false">
      <c r="A20" s="65"/>
      <c r="B20" s="3"/>
      <c r="C20" s="56" t="n">
        <f aca="false">A20*B20*10000</f>
        <v>0</v>
      </c>
      <c r="D20" s="17"/>
      <c r="E20" s="61"/>
      <c r="F20" s="62"/>
      <c r="G20" s="63" t="n">
        <f aca="false">E20*F20*10000</f>
        <v>0</v>
      </c>
      <c r="I20" s="64"/>
    </row>
    <row r="21" customFormat="false" ht="12.75" hidden="false" customHeight="false" outlineLevel="0" collapsed="false">
      <c r="A21" s="65"/>
      <c r="B21" s="3"/>
      <c r="C21" s="56" t="n">
        <f aca="false">A21*B21*10000</f>
        <v>0</v>
      </c>
      <c r="D21" s="17"/>
      <c r="E21" s="61"/>
      <c r="F21" s="62"/>
      <c r="G21" s="63" t="n">
        <f aca="false">E21*F21*10000</f>
        <v>0</v>
      </c>
      <c r="I21" s="64"/>
    </row>
    <row r="22" customFormat="false" ht="12.75" hidden="false" customHeight="false" outlineLevel="0" collapsed="false">
      <c r="A22" s="65"/>
      <c r="B22" s="3"/>
      <c r="C22" s="56" t="n">
        <f aca="false">A22*B22*10000</f>
        <v>0</v>
      </c>
      <c r="D22" s="17"/>
      <c r="E22" s="61"/>
      <c r="F22" s="62"/>
      <c r="G22" s="63" t="n">
        <f aca="false">E22*F22*10000</f>
        <v>0</v>
      </c>
      <c r="I22" s="64"/>
    </row>
    <row r="23" customFormat="false" ht="12.75" hidden="false" customHeight="false" outlineLevel="0" collapsed="false">
      <c r="A23" s="65"/>
      <c r="B23" s="3"/>
      <c r="C23" s="56" t="n">
        <f aca="false">A23*B23*10000</f>
        <v>0</v>
      </c>
      <c r="D23" s="17"/>
      <c r="E23" s="61"/>
      <c r="F23" s="62"/>
      <c r="G23" s="63" t="n">
        <f aca="false">E23*F23*10000</f>
        <v>0</v>
      </c>
      <c r="I23" s="64"/>
    </row>
    <row r="24" customFormat="false" ht="6.75" hidden="false" customHeight="true" outlineLevel="0" collapsed="false">
      <c r="A24" s="65"/>
      <c r="B24" s="3"/>
      <c r="C24" s="56" t="n">
        <f aca="false">A24*B24*10000</f>
        <v>0</v>
      </c>
      <c r="D24" s="17"/>
      <c r="E24" s="61"/>
      <c r="F24" s="62"/>
      <c r="G24" s="63" t="n">
        <f aca="false">E24*F24*10000</f>
        <v>0</v>
      </c>
      <c r="I24" s="64"/>
    </row>
    <row r="25" customFormat="false" ht="6.75" hidden="false" customHeight="true" outlineLevel="0" collapsed="false">
      <c r="A25" s="65"/>
      <c r="B25" s="3"/>
      <c r="C25" s="56" t="n">
        <f aca="false">A25*B25*10000</f>
        <v>0</v>
      </c>
      <c r="D25" s="17"/>
      <c r="E25" s="61"/>
      <c r="F25" s="62"/>
      <c r="G25" s="63" t="n">
        <f aca="false">E25*F25*10000</f>
        <v>0</v>
      </c>
      <c r="I25" s="64"/>
    </row>
    <row r="26" customFormat="false" ht="6.75" hidden="false" customHeight="true" outlineLevel="0" collapsed="false">
      <c r="A26" s="65"/>
      <c r="B26" s="3"/>
      <c r="C26" s="56" t="n">
        <f aca="false">A26*B26*10000</f>
        <v>0</v>
      </c>
      <c r="D26" s="17"/>
      <c r="E26" s="61"/>
      <c r="F26" s="62"/>
      <c r="G26" s="63" t="n">
        <f aca="false">E26*F26*10000</f>
        <v>0</v>
      </c>
      <c r="I26" s="64"/>
    </row>
    <row r="27" customFormat="false" ht="9" hidden="false" customHeight="true" outlineLevel="0" collapsed="false">
      <c r="A27" s="65"/>
      <c r="B27" s="3"/>
      <c r="C27" s="56" t="n">
        <f aca="false">A27*B27*10000</f>
        <v>0</v>
      </c>
      <c r="D27" s="17"/>
      <c r="E27" s="61"/>
      <c r="F27" s="62"/>
      <c r="G27" s="63" t="n">
        <f aca="false">E27*F27*10000</f>
        <v>0</v>
      </c>
      <c r="I27" s="64"/>
    </row>
    <row r="28" customFormat="false" ht="9" hidden="false" customHeight="true" outlineLevel="0" collapsed="false">
      <c r="A28" s="65"/>
      <c r="B28" s="3"/>
      <c r="C28" s="56" t="n">
        <f aca="false">A28*B28*10000</f>
        <v>0</v>
      </c>
      <c r="D28" s="17"/>
      <c r="E28" s="61"/>
      <c r="F28" s="62"/>
      <c r="G28" s="63" t="n">
        <f aca="false">E28*F28*10000</f>
        <v>0</v>
      </c>
      <c r="I28" s="64"/>
    </row>
    <row r="29" customFormat="false" ht="9" hidden="false" customHeight="true" outlineLevel="0" collapsed="false">
      <c r="A29" s="65"/>
      <c r="B29" s="3"/>
      <c r="C29" s="56" t="n">
        <f aca="false">A29*B29*10000</f>
        <v>0</v>
      </c>
      <c r="D29" s="17"/>
      <c r="E29" s="65"/>
      <c r="F29" s="3"/>
      <c r="G29" s="63" t="n">
        <f aca="false">E29*F29*10000</f>
        <v>0</v>
      </c>
      <c r="I29" s="64"/>
    </row>
    <row r="30" customFormat="false" ht="9" hidden="false" customHeight="true" outlineLevel="0" collapsed="false">
      <c r="A30" s="65"/>
      <c r="B30" s="3"/>
      <c r="C30" s="56" t="n">
        <f aca="false">A30*B30*10000</f>
        <v>0</v>
      </c>
      <c r="D30" s="17"/>
      <c r="E30" s="65"/>
      <c r="F30" s="3"/>
      <c r="G30" s="63" t="n">
        <f aca="false">E30*F30*10000</f>
        <v>0</v>
      </c>
      <c r="I30" s="64"/>
    </row>
    <row r="31" customFormat="false" ht="12.75" hidden="false" customHeight="false" outlineLevel="0" collapsed="false">
      <c r="A31" s="65"/>
      <c r="B31" s="3"/>
      <c r="C31" s="56" t="n">
        <f aca="false">A31*B31*10000</f>
        <v>0</v>
      </c>
      <c r="D31" s="17"/>
      <c r="E31" s="65"/>
      <c r="F31" s="3"/>
      <c r="G31" s="63" t="n">
        <f aca="false">E31*F31*10000</f>
        <v>0</v>
      </c>
      <c r="I31" s="64"/>
    </row>
    <row r="32" customFormat="false" ht="12.75" hidden="false" customHeight="false" outlineLevel="0" collapsed="false">
      <c r="E32" s="50"/>
      <c r="G32" s="70"/>
    </row>
    <row r="33" customFormat="false" ht="12.75" hidden="false" customHeight="false" outlineLevel="0" collapsed="false">
      <c r="A33" s="65" t="n">
        <f aca="false">SUM(A1:A32)</f>
        <v>0</v>
      </c>
      <c r="B33" s="3" t="n">
        <f aca="false">IF(A33=0,0,C33/A33/10000)</f>
        <v>0</v>
      </c>
      <c r="C33" s="56" t="n">
        <f aca="false">SUM(C1:C32)</f>
        <v>0</v>
      </c>
      <c r="E33" s="65" t="n">
        <f aca="false">SUM(E1:E32)</f>
        <v>0</v>
      </c>
      <c r="F33" s="3" t="n">
        <f aca="false">IF(E33=0,0,G33/E33/10000)</f>
        <v>0</v>
      </c>
      <c r="G33" s="63" t="n">
        <f aca="false">SUM(G1:G32)</f>
        <v>0</v>
      </c>
      <c r="I33" s="71" t="n">
        <f aca="false">MIN(A33,E33)*(B33-F33)*10000</f>
        <v>0</v>
      </c>
      <c r="J33" s="72"/>
      <c r="K33" s="72" t="s">
        <v>52</v>
      </c>
      <c r="L33" s="17"/>
      <c r="M33" s="17"/>
    </row>
    <row r="34" customFormat="false" ht="12.75" hidden="false" customHeight="false" outlineLevel="0" collapsed="false">
      <c r="I34" s="71"/>
      <c r="J34" s="72"/>
      <c r="K34" s="72"/>
      <c r="L34" s="17"/>
      <c r="M34" s="17"/>
    </row>
    <row r="35" customFormat="false" ht="12.75" hidden="false" customHeight="false" outlineLevel="0" collapsed="false">
      <c r="E35" s="52" t="n">
        <f aca="false">-A33+E33</f>
        <v>0</v>
      </c>
      <c r="F35" s="0" t="n">
        <f aca="false">IF(E35&lt;0,B33,F33)</f>
        <v>0</v>
      </c>
      <c r="G35" s="53" t="n">
        <f aca="false">IF(E35&lt;0,(F35-B38)*ABS(E35)*10000,-1*(F35-B38)*ABS(E35)*10000)</f>
        <v>0</v>
      </c>
      <c r="I35" s="71" t="n">
        <f aca="false">G35</f>
        <v>0</v>
      </c>
      <c r="J35" s="72"/>
      <c r="K35" s="72" t="s">
        <v>53</v>
      </c>
      <c r="L35" s="17"/>
      <c r="M35" s="17" t="s">
        <v>54</v>
      </c>
    </row>
    <row r="36" customFormat="false" ht="12.75" hidden="false" customHeight="false" outlineLevel="0" collapsed="false">
      <c r="L36" s="17"/>
      <c r="M36" s="17"/>
    </row>
    <row r="37" customFormat="false" ht="12.75" hidden="false" customHeight="false" outlineLevel="0" collapsed="false">
      <c r="E37" s="52" t="n">
        <f aca="false">-A33+E33</f>
        <v>0</v>
      </c>
      <c r="F37" s="0" t="n">
        <f aca="false">IF(E37&lt;0,(B33+(I33/(ABS(E37)*10000))),IF(E37=0,0,(F33-(I33/(ABS(E37)*10000)))))</f>
        <v>0</v>
      </c>
      <c r="G37" s="53" t="n">
        <f aca="false">IF(E37&lt;0,(F37-B38)*ABS(E37)*10000,IF(E37=0,0,-1*(F37-B38)*ABS(E37)*10000))</f>
        <v>0</v>
      </c>
      <c r="I37" s="73" t="n">
        <f aca="false">G37</f>
        <v>0</v>
      </c>
      <c r="J37" s="74"/>
      <c r="K37" s="74" t="s">
        <v>55</v>
      </c>
      <c r="L37" s="17"/>
      <c r="M37" s="17" t="s">
        <v>56</v>
      </c>
    </row>
    <row r="38" customFormat="false" ht="12.75" hidden="false" customHeight="false" outlineLevel="0" collapsed="false">
      <c r="B38" s="0" t="n">
        <f aca="false">IF(ISBLANK(B39),'[1]Nymex Prices'!B10,B39)</f>
        <v>3.95</v>
      </c>
      <c r="C38" s="51" t="s">
        <v>57</v>
      </c>
      <c r="L38" s="17"/>
      <c r="M38" s="17"/>
    </row>
    <row r="39" customFormat="false" ht="12.75" hidden="false" customHeight="false" outlineLevel="0" collapsed="false">
      <c r="B39" s="0" t="n">
        <f aca="false">Summary!B5</f>
        <v>3.95</v>
      </c>
      <c r="C39" s="51" t="s">
        <v>58</v>
      </c>
      <c r="I39" s="75" t="n">
        <f aca="false">I33+I35</f>
        <v>0</v>
      </c>
      <c r="J39" s="76"/>
      <c r="K39" s="76" t="s">
        <v>59</v>
      </c>
      <c r="L39" s="17"/>
      <c r="M39" s="17"/>
    </row>
    <row r="46" customFormat="false" ht="12.75" hidden="false" customHeight="false" outlineLevel="0" collapsed="false">
      <c r="A46" s="52"/>
    </row>
    <row r="49" customFormat="false" ht="12.75" hidden="false" customHeight="false" outlineLevel="0" collapsed="false">
      <c r="A49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2000-01-26T14:56:34Z</dcterms:created>
  <dc:creator>Joe Parks</dc:creator>
  <dc:description/>
  <dc:language>en-US</dc:language>
  <cp:lastModifiedBy>jparks</cp:lastModifiedBy>
  <cp:lastPrinted>2001-06-01T10:08:11Z</cp:lastPrinted>
  <dcterms:modified xsi:type="dcterms:W3CDTF">2001-06-01T15:46:22Z</dcterms:modified>
  <cp:revision>0</cp:revision>
  <dc:subject/>
  <dc:title/>
</cp:coreProperties>
</file>